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07375328-214E-4741-ACF8-D7770C06C6C1}" xr6:coauthVersionLast="47" xr6:coauthVersionMax="47" xr10:uidLastSave="{00000000-0000-0000-0000-000000000000}"/>
  <bookViews>
    <workbookView xWindow="-120" yWindow="-120" windowWidth="29040" windowHeight="15840" tabRatio="945" firstSheet="1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state="hidden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72" r:id="rId38"/>
    <pivotCache cacheId="73" r:id="rId39"/>
    <pivotCache cacheId="74" r:id="rId40"/>
    <pivotCache cacheId="75" r:id="rId41"/>
    <pivotCache cacheId="76" r:id="rId42"/>
    <pivotCache cacheId="77" r:id="rId43"/>
    <pivotCache cacheId="78" r:id="rId44"/>
    <pivotCache cacheId="79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63" l="1"/>
  <c r="C61" i="63"/>
  <c r="C60" i="63"/>
  <c r="C57" i="63"/>
  <c r="C56" i="63"/>
  <c r="C55" i="63"/>
  <c r="C54" i="63"/>
  <c r="C53" i="63"/>
  <c r="C51" i="63"/>
  <c r="C50" i="63"/>
  <c r="C47" i="63"/>
  <c r="C46" i="63"/>
  <c r="C45" i="63"/>
  <c r="C44" i="63"/>
  <c r="C43" i="63"/>
  <c r="C41" i="63"/>
  <c r="C40" i="63"/>
  <c r="C37" i="63"/>
  <c r="C36" i="63"/>
  <c r="C35" i="63"/>
  <c r="C34" i="63"/>
  <c r="C33" i="63"/>
  <c r="C31" i="63"/>
  <c r="C30" i="63"/>
  <c r="C27" i="63"/>
  <c r="C26" i="63"/>
  <c r="C25" i="63"/>
  <c r="C24" i="63"/>
  <c r="C23" i="63"/>
  <c r="C21" i="63"/>
  <c r="C20" i="63"/>
  <c r="C17" i="63"/>
  <c r="C16" i="63"/>
  <c r="C15" i="63"/>
  <c r="C14" i="63"/>
  <c r="C13" i="63"/>
  <c r="C11" i="63"/>
  <c r="C10" i="63"/>
  <c r="C9" i="63"/>
  <c r="C8" i="63"/>
  <c r="C7" i="63"/>
  <c r="C6" i="63"/>
  <c r="C5" i="63"/>
  <c r="C4" i="63"/>
  <c r="C3" i="63"/>
  <c r="D7" i="39" l="1"/>
  <c r="D5" i="39"/>
  <c r="D4" i="39"/>
  <c r="D3" i="39"/>
  <c r="E8" i="34" l="1"/>
  <c r="E9" i="34"/>
  <c r="E34" i="17"/>
  <c r="E39" i="17"/>
  <c r="E32" i="17"/>
  <c r="C6" i="9" l="1"/>
  <c r="C4" i="9"/>
  <c r="C3" i="9"/>
  <c r="C5" i="17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C35" i="17"/>
  <c r="C36" i="17"/>
  <c r="D36" i="17" s="1"/>
  <c r="E36" i="17" s="1"/>
  <c r="C37" i="17"/>
  <c r="D37" i="17" s="1"/>
  <c r="E37" i="17" s="1"/>
  <c r="C38" i="17"/>
  <c r="D38" i="17" s="1"/>
  <c r="E38" i="17" s="1"/>
  <c r="C39" i="17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D45" i="17" l="1"/>
  <c r="E45" i="17" s="1"/>
  <c r="C60" i="26"/>
  <c r="D60" i="26" s="1"/>
  <c r="B61" i="26"/>
  <c r="D59" i="26" l="1"/>
  <c r="D61" i="26" s="1"/>
  <c r="C61" i="26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A3" i="34"/>
  <c r="C3" i="34" s="1"/>
  <c r="A4" i="34"/>
  <c r="A5" i="34"/>
  <c r="A6" i="34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B26" i="6"/>
  <c r="D17" i="34" l="1"/>
  <c r="E17" i="34" s="1"/>
  <c r="D13" i="34"/>
  <c r="E13" i="34" s="1"/>
  <c r="D10" i="34"/>
  <c r="E10" i="34" s="1"/>
  <c r="D11" i="34"/>
  <c r="E11" i="34" s="1"/>
  <c r="D12" i="34"/>
  <c r="E12" i="34" s="1"/>
  <c r="D7" i="34"/>
  <c r="E7" i="34" s="1"/>
  <c r="C191" i="38"/>
  <c r="C6" i="34"/>
  <c r="C190" i="38"/>
  <c r="C5" i="34"/>
  <c r="C201" i="38"/>
  <c r="C16" i="34"/>
  <c r="C189" i="38"/>
  <c r="C4" i="34"/>
  <c r="C198" i="38"/>
  <c r="C197" i="38"/>
  <c r="E14" i="34"/>
  <c r="C196" i="38"/>
  <c r="C200" i="38"/>
  <c r="C199" i="38"/>
  <c r="C195" i="38"/>
  <c r="C194" i="38"/>
  <c r="C193" i="38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D6" i="34" l="1"/>
  <c r="E6" i="34" s="1"/>
  <c r="D4" i="34"/>
  <c r="D16" i="34"/>
  <c r="E16" i="34" s="1"/>
  <c r="D5" i="34"/>
  <c r="E5" i="34" s="1"/>
  <c r="A227" i="66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E4" i="34" l="1"/>
  <c r="E18" i="34" s="1"/>
  <c r="D18" i="34"/>
  <c r="A275" i="66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7" i="70"/>
  <c r="Q38" i="70"/>
  <c r="Q36" i="70"/>
  <c r="D121" i="66" l="1"/>
  <c r="D185" i="38"/>
  <c r="R36" i="70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C24" i="20"/>
  <c r="P2" i="18" s="1"/>
  <c r="F3" i="35"/>
  <c r="F87" i="35"/>
  <c r="R54" i="66"/>
  <c r="C31" i="17"/>
  <c r="C3" i="32"/>
  <c r="C10" i="17"/>
  <c r="D269" i="38"/>
  <c r="E31" i="17"/>
  <c r="E3" i="32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D5" i="17" s="1"/>
  <c r="G6" i="17" s="1"/>
  <c r="D35" i="17" s="1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D46" i="17" l="1"/>
  <c r="E35" i="17"/>
  <c r="D7" i="17"/>
  <c r="D8" i="17"/>
  <c r="E5" i="17"/>
  <c r="H6" i="17" s="1"/>
  <c r="E188" i="72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D220" i="72" l="1" a="1"/>
  <c r="D220" i="72" s="1"/>
  <c r="D33" i="72" a="1"/>
  <c r="D33" i="72" s="1"/>
  <c r="D219" i="72" a="1"/>
  <c r="D219" i="72" s="1"/>
  <c r="D95" i="72" a="1"/>
  <c r="D95" i="72" s="1"/>
  <c r="D34" i="72" a="1"/>
  <c r="D34" i="72" s="1"/>
  <c r="D281" i="72" a="1"/>
  <c r="D281" i="72" s="1"/>
  <c r="D158" i="72" a="1"/>
  <c r="D158" i="72" s="1"/>
  <c r="D159" i="72" s="1" a="1"/>
  <c r="D159" i="72" s="1"/>
  <c r="D157" i="72" a="1"/>
  <c r="D157" i="72" s="1"/>
  <c r="D96" i="72" a="1"/>
  <c r="D96" i="72" s="1"/>
  <c r="D98" i="72" s="1" a="1"/>
  <c r="D98" i="72" s="1"/>
  <c r="D282" i="72" a="1"/>
  <c r="D282" i="72" s="1"/>
  <c r="D283" i="72" s="1" a="1"/>
  <c r="D283" i="72" s="1"/>
  <c r="D221" i="72" a="1"/>
  <c r="D221" i="72" s="1"/>
  <c r="D35" i="72" a="1"/>
  <c r="D35" i="72" s="1"/>
  <c r="D97" i="72" a="1"/>
  <c r="D97" i="72" s="1"/>
  <c r="D284" i="72" a="1"/>
  <c r="D284" i="72" s="1"/>
  <c r="D36" i="72" a="1"/>
  <c r="D36" i="72" s="1"/>
  <c r="D37" i="72" s="1" a="1"/>
  <c r="D37" i="72" s="1"/>
  <c r="D38" i="72" s="1" a="1"/>
  <c r="D38" i="72" s="1"/>
  <c r="D188" i="72" a="1"/>
  <c r="D188" i="72" s="1"/>
  <c r="D126" i="72" a="1"/>
  <c r="D126" i="72" s="1"/>
  <c r="D2" i="72" a="1"/>
  <c r="D2" i="72" s="1"/>
  <c r="D3" i="72" s="1" a="1"/>
  <c r="D3" i="72" s="1"/>
  <c r="D251" i="72" a="1"/>
  <c r="D251" i="72" s="1"/>
  <c r="D127" i="72" a="1"/>
  <c r="D127" i="72" s="1"/>
  <c r="D250" i="72" a="1"/>
  <c r="D250" i="72" s="1"/>
  <c r="D64" i="72" a="1"/>
  <c r="D64" i="72" s="1"/>
  <c r="D129" i="72" a="1"/>
  <c r="D129" i="72" s="1"/>
  <c r="D130" i="72" s="1" a="1"/>
  <c r="D130" i="72" s="1"/>
  <c r="D128" i="72" a="1"/>
  <c r="D128" i="72" s="1"/>
  <c r="D189" i="72" a="1"/>
  <c r="D189" i="72" s="1"/>
  <c r="D65" i="72" a="1"/>
  <c r="D65" i="72" s="1"/>
  <c r="E46" i="17"/>
  <c r="G51" i="20"/>
  <c r="D51" i="20" s="1"/>
  <c r="E8" i="17"/>
  <c r="E7" i="17"/>
  <c r="D24" i="20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D99" i="72" l="1" a="1"/>
  <c r="D99" i="72" s="1"/>
  <c r="D100" i="72" s="1" a="1"/>
  <c r="D100" i="72" s="1"/>
  <c r="D160" i="72" a="1"/>
  <c r="D160" i="72" s="1"/>
  <c r="D67" i="72" a="1"/>
  <c r="D67" i="72" s="1"/>
  <c r="D4" i="72" a="1"/>
  <c r="D4" i="72" s="1"/>
  <c r="D190" i="72" a="1"/>
  <c r="D190" i="72" s="1"/>
  <c r="D191" i="72" s="1" a="1"/>
  <c r="D191" i="72" s="1"/>
  <c r="D285" i="72" a="1"/>
  <c r="D285" i="72" s="1"/>
  <c r="D286" i="72" s="1" a="1"/>
  <c r="D286" i="72" s="1"/>
  <c r="D222" i="72" a="1"/>
  <c r="D222" i="72" s="1"/>
  <c r="D39" i="72" a="1"/>
  <c r="D39" i="72" s="1"/>
  <c r="D131" i="72" a="1"/>
  <c r="D131" i="72" s="1"/>
  <c r="D66" i="72" a="1"/>
  <c r="D66" i="72" s="1"/>
  <c r="D68" i="72" s="1" a="1"/>
  <c r="D68" i="72" s="1"/>
  <c r="D252" i="72" a="1"/>
  <c r="D252" i="72" s="1"/>
  <c r="H14" i="41"/>
  <c r="AL126" i="72"/>
  <c r="C49" i="26"/>
  <c r="H185" i="35"/>
  <c r="I14" i="37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D288" i="72" l="1" a="1"/>
  <c r="D288" i="72" s="1"/>
  <c r="D289" i="72" a="1"/>
  <c r="D289" i="72" s="1"/>
  <c r="D287" i="72" a="1"/>
  <c r="D287" i="72" s="1"/>
  <c r="D192" i="72" a="1"/>
  <c r="D192" i="72" s="1"/>
  <c r="D132" i="72" a="1"/>
  <c r="D132" i="72" s="1"/>
  <c r="D161" i="72" a="1"/>
  <c r="D161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133" i="72" a="1"/>
  <c r="D133" i="72" s="1"/>
  <c r="D101" i="72" a="1"/>
  <c r="D101" i="72" s="1"/>
  <c r="D5" i="72" a="1"/>
  <c r="D5" i="72" s="1"/>
  <c r="D69" i="72" a="1"/>
  <c r="D69" i="72" s="1"/>
  <c r="D162" i="72" a="1"/>
  <c r="D162" i="72" s="1"/>
  <c r="D253" i="72" a="1"/>
  <c r="D253" i="72" s="1"/>
  <c r="D40" i="72" a="1"/>
  <c r="D40" i="72" s="1"/>
  <c r="D163" i="72" a="1"/>
  <c r="D163" i="72" s="1"/>
  <c r="D223" i="72" a="1"/>
  <c r="D223" i="72" s="1"/>
  <c r="D224" i="72" s="1" a="1"/>
  <c r="D224" i="72" s="1"/>
  <c r="I14" i="41"/>
  <c r="I49" i="26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225" i="72" l="1" a="1"/>
  <c r="D225" i="72" s="1"/>
  <c r="D135" i="72" a="1"/>
  <c r="D135" i="72" s="1"/>
  <c r="D164" i="72" a="1"/>
  <c r="D164" i="72" s="1"/>
  <c r="D226" i="72" a="1"/>
  <c r="D226" i="72" s="1"/>
  <c r="D193" i="72" a="1"/>
  <c r="D193" i="72" s="1"/>
  <c r="D134" i="72" a="1"/>
  <c r="D134" i="72" s="1"/>
  <c r="D41" i="72" a="1"/>
  <c r="D41" i="72" s="1"/>
  <c r="D70" i="72" a="1"/>
  <c r="D70" i="72" s="1"/>
  <c r="D254" i="72" a="1"/>
  <c r="D254" i="72" s="1"/>
  <c r="D255" i="72" s="1" a="1"/>
  <c r="D255" i="72" s="1"/>
  <c r="D165" i="72" a="1"/>
  <c r="D165" i="72" s="1"/>
  <c r="D166" i="72" s="1" a="1"/>
  <c r="D166" i="72" s="1"/>
  <c r="D42" i="72" a="1"/>
  <c r="D42" i="72" s="1"/>
  <c r="D43" i="72" s="1" a="1"/>
  <c r="D43" i="72" s="1"/>
  <c r="D194" i="72" a="1"/>
  <c r="D194" i="72" s="1"/>
  <c r="D195" i="72" s="1" a="1"/>
  <c r="D195" i="72" s="1"/>
  <c r="D6" i="72" a="1"/>
  <c r="D6" i="72" s="1"/>
  <c r="D103" i="72" a="1"/>
  <c r="D103" i="72" s="1"/>
  <c r="D104" i="72" s="1" a="1"/>
  <c r="D104" i="72" s="1"/>
  <c r="D105" i="72" s="1" a="1"/>
  <c r="D105" i="72" s="1"/>
  <c r="D102" i="72" a="1"/>
  <c r="D102" i="72" s="1"/>
  <c r="Z5" i="20"/>
  <c r="P28" i="18"/>
  <c r="P26" i="18"/>
  <c r="Z3" i="20"/>
  <c r="Z4" i="20"/>
  <c r="C265" i="38"/>
  <c r="C268" i="38"/>
  <c r="A32" i="53"/>
  <c r="A36" i="53"/>
  <c r="C275" i="38"/>
  <c r="D256" i="72" l="1" a="1"/>
  <c r="D256" i="72" s="1"/>
  <c r="D197" i="72" a="1"/>
  <c r="D197" i="72" s="1"/>
  <c r="D198" i="72" s="1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44" i="72" a="1"/>
  <c r="D44" i="72" s="1"/>
  <c r="D45" i="72" s="1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196" i="72" a="1"/>
  <c r="D196" i="72" s="1"/>
  <c r="D227" i="72" a="1"/>
  <c r="D227" i="72" s="1"/>
  <c r="D228" i="72" s="1" a="1"/>
  <c r="D228" i="72" s="1"/>
  <c r="D229" i="72" s="1" a="1"/>
  <c r="D229" i="72" s="1"/>
  <c r="D8" i="72" a="1"/>
  <c r="D8" i="72" s="1"/>
  <c r="D9" i="72" s="1" a="1"/>
  <c r="D9" i="72" s="1"/>
  <c r="D10" i="72" s="1" a="1"/>
  <c r="D10" i="72" s="1"/>
  <c r="D11" i="72" s="1" a="1"/>
  <c r="D11" i="72" s="1"/>
  <c r="D136" i="72" a="1"/>
  <c r="D136" i="72" s="1"/>
  <c r="D106" i="72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137" i="72" a="1"/>
  <c r="D137" i="72" s="1"/>
  <c r="D138" i="72" s="1" a="1"/>
  <c r="D138" i="72" s="1"/>
  <c r="D139" i="72" s="1" a="1"/>
  <c r="D139" i="72" s="1"/>
  <c r="D71" i="72" a="1"/>
  <c r="D71" i="72" s="1"/>
  <c r="D72" i="72" s="1" a="1"/>
  <c r="D72" i="72" s="1"/>
  <c r="D7" i="72" a="1"/>
  <c r="D7" i="72" s="1"/>
  <c r="D10" i="53"/>
  <c r="D11" i="53"/>
  <c r="D34" i="53"/>
  <c r="D9" i="53"/>
  <c r="D23" i="53"/>
  <c r="D22" i="53"/>
  <c r="D35" i="53"/>
  <c r="D33" i="53"/>
  <c r="D21" i="53"/>
  <c r="D230" i="72" l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D257" i="72" a="1"/>
  <c r="D257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40" i="72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204" i="72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52" i="72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258" i="72" l="1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J139" i="58" l="1"/>
  <c r="J138" i="58"/>
  <c r="J133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H98" i="41"/>
  <c r="J124" i="41"/>
  <c r="O5" i="41" s="1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F285" i="66"/>
  <c r="M39" i="39"/>
  <c r="E171" i="38" s="1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J436" i="41"/>
  <c r="F139" i="66"/>
  <c r="I461" i="37"/>
  <c r="J75" i="66"/>
  <c r="P59" i="66"/>
  <c r="S59" i="66"/>
  <c r="J461" i="37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F92" i="66"/>
  <c r="Y133" i="66"/>
  <c r="I437" i="41"/>
  <c r="F90" i="66"/>
  <c r="N90" i="66" s="1"/>
  <c r="P57" i="66"/>
  <c r="S57" i="66"/>
  <c r="J461" i="58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F140" i="66"/>
  <c r="J459" i="41"/>
  <c r="I435" i="41"/>
  <c r="F284" i="66"/>
  <c r="O12" i="39" l="1"/>
  <c r="H460" i="37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T11" i="66"/>
  <c r="T155" i="66"/>
  <c r="K27" i="66"/>
  <c r="H476" i="41"/>
  <c r="P13" i="39"/>
  <c r="Q13" i="39" s="1"/>
  <c r="O13" i="39"/>
  <c r="Y90" i="66"/>
  <c r="Y234" i="66"/>
  <c r="Z90" i="66"/>
  <c r="Z234" i="66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Z282" i="66"/>
  <c r="Z138" i="66"/>
  <c r="Y138" i="66"/>
  <c r="Y282" i="66"/>
  <c r="J189" i="66"/>
  <c r="H459" i="58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J153" i="66"/>
  <c r="R153" i="66" s="1"/>
  <c r="P16" i="39"/>
  <c r="Q16" i="39" s="1"/>
  <c r="H478" i="41"/>
  <c r="H459" i="41"/>
  <c r="R189" i="66"/>
  <c r="S189" i="66"/>
  <c r="P189" i="66"/>
  <c r="P9" i="66"/>
  <c r="S9" i="66"/>
  <c r="R9" i="66"/>
  <c r="S45" i="66"/>
  <c r="P45" i="66"/>
  <c r="R45" i="66"/>
  <c r="S27" i="66"/>
  <c r="P27" i="66"/>
  <c r="R27" i="66"/>
  <c r="H461" i="41"/>
  <c r="S153" i="66" l="1"/>
  <c r="T153" i="66" s="1"/>
  <c r="P153" i="66"/>
  <c r="T9" i="66"/>
  <c r="T27" i="66"/>
  <c r="T189" i="66"/>
  <c r="T45" i="66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C15" i="39" l="1"/>
  <c r="AA3" i="39" s="1"/>
  <c r="C6" i="39"/>
  <c r="R7" i="9"/>
  <c r="E32" i="22"/>
  <c r="R40" i="9"/>
  <c r="O40" i="9"/>
  <c r="O30" i="9"/>
  <c r="E39" i="22"/>
  <c r="P9" i="9"/>
  <c r="K42" i="39"/>
  <c r="E140" i="38" s="1"/>
  <c r="C42" i="39"/>
  <c r="E89" i="38" s="1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5" i="39" l="1"/>
  <c r="P15" i="39"/>
  <c r="D6" i="39"/>
  <c r="L42" i="39"/>
  <c r="E157" i="38" s="1"/>
  <c r="J236" i="66" s="1"/>
  <c r="D42" i="39"/>
  <c r="E106" i="38" s="1"/>
  <c r="J92" i="66" s="1"/>
  <c r="D15" i="39"/>
  <c r="AB3" i="39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N92" i="66" l="1"/>
  <c r="F15" i="39"/>
  <c r="P92" i="66"/>
  <c r="S92" i="66"/>
  <c r="N236" i="66"/>
  <c r="O236" i="66" s="1"/>
  <c r="Q236" i="66" s="1"/>
  <c r="R236" i="66" s="1"/>
  <c r="T236" i="66" s="1"/>
  <c r="P236" i="66"/>
  <c r="S236" i="66"/>
  <c r="E42" i="39"/>
  <c r="E123" i="38" s="1"/>
  <c r="J140" i="66" s="1"/>
  <c r="M42" i="39"/>
  <c r="E174" i="38" s="1"/>
  <c r="J284" i="66" s="1"/>
  <c r="E15" i="39"/>
  <c r="AC3" i="39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N284" i="66" l="1"/>
  <c r="S284" i="66"/>
  <c r="P284" i="66"/>
  <c r="N140" i="66"/>
  <c r="G15" i="39"/>
  <c r="P140" i="66"/>
  <c r="S140" i="66"/>
  <c r="Y92" i="66"/>
  <c r="Z92" i="66"/>
  <c r="O92" i="66"/>
  <c r="Q92" i="66" s="1"/>
  <c r="R92" i="66" s="1"/>
  <c r="T92" i="66" s="1"/>
  <c r="Z236" i="66"/>
  <c r="Y236" i="66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O284" i="66" l="1"/>
  <c r="Q284" i="66" s="1"/>
  <c r="R284" i="66" s="1"/>
  <c r="T284" i="66" s="1"/>
  <c r="Z284" i="66"/>
  <c r="Z140" i="66"/>
  <c r="Y140" i="66"/>
  <c r="O140" i="66"/>
  <c r="Q140" i="66" s="1"/>
  <c r="R140" i="66" s="1"/>
  <c r="T140" i="66" s="1"/>
  <c r="Y284" i="66"/>
  <c r="Q44" i="66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I69" i="18"/>
  <c r="H61" i="18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68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I156" i="58"/>
  <c r="H160" i="58"/>
  <c r="H156" i="58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I240" i="41"/>
  <c r="I152" i="58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H152" i="41"/>
  <c r="J152" i="41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Q123" i="66"/>
  <c r="R123" i="66" s="1"/>
  <c r="T123" i="66" s="1"/>
  <c r="E9" i="53"/>
  <c r="F9" i="53" s="1"/>
  <c r="F184" i="66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I148" i="41"/>
  <c r="I464" i="58" l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H457" i="37"/>
  <c r="G21" i="53"/>
  <c r="Y182" i="66"/>
  <c r="H495" i="58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I495" i="41"/>
  <c r="T160" i="66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M67" i="66" s="1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C16" i="8" l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158" i="72" l="1"/>
  <c r="G127" i="72"/>
  <c r="G65" i="72"/>
  <c r="G96" i="72"/>
  <c r="I4" i="58"/>
  <c r="I4" i="37"/>
  <c r="G189" i="72"/>
  <c r="G220" i="72"/>
  <c r="J4" i="58"/>
  <c r="J4" i="37"/>
  <c r="G282" i="72"/>
  <c r="G251" i="72"/>
  <c r="G34" i="72"/>
  <c r="G3" i="72"/>
  <c r="H252" i="72" l="1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J4" i="41"/>
  <c r="E45" i="39" s="1"/>
  <c r="F101" i="66"/>
  <c r="E31" i="53"/>
  <c r="E282" i="72"/>
  <c r="F282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F245" i="66"/>
  <c r="O4" i="58"/>
  <c r="E37" i="53"/>
  <c r="M45" i="39"/>
  <c r="E220" i="72"/>
  <c r="F220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189" i="72"/>
  <c r="F189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I4" i="41"/>
  <c r="D45" i="39" s="1"/>
  <c r="E19" i="53"/>
  <c r="F53" i="66"/>
  <c r="E25" i="53"/>
  <c r="N4" i="58"/>
  <c r="F197" i="66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E127" i="72"/>
  <c r="F127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H4" i="58"/>
  <c r="H4" i="37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L45" i="39" l="1"/>
  <c r="L59" i="39" s="1"/>
  <c r="L60" i="39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E175" i="38"/>
  <c r="M56" i="39"/>
  <c r="M59" i="39"/>
  <c r="M60" i="39" s="1"/>
  <c r="F5" i="66"/>
  <c r="H4" i="41"/>
  <c r="K45" i="39" s="1"/>
  <c r="E7" i="53"/>
  <c r="C45" i="39"/>
  <c r="E13" i="53"/>
  <c r="F149" i="66"/>
  <c r="M4" i="58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D59" i="39"/>
  <c r="D60" i="39" s="1"/>
  <c r="E107" i="38"/>
  <c r="D56" i="39"/>
  <c r="E124" i="38"/>
  <c r="E59" i="39"/>
  <c r="E60" i="39" s="1"/>
  <c r="E56" i="39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L56" i="39" l="1"/>
  <c r="L57" i="39" s="1"/>
  <c r="E158" i="38"/>
  <c r="I466" i="58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E252" i="72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J466" i="58"/>
  <c r="J474" i="58"/>
  <c r="J245" i="66"/>
  <c r="D37" i="53"/>
  <c r="F37" i="53" s="1"/>
  <c r="D25" i="53"/>
  <c r="F25" i="53" s="1"/>
  <c r="J197" i="66"/>
  <c r="I474" i="58"/>
  <c r="E190" i="72"/>
  <c r="F190" i="72" s="1"/>
  <c r="E35" i="72"/>
  <c r="F35" i="72" s="1"/>
  <c r="C56" i="39"/>
  <c r="E90" i="38"/>
  <c r="C59" i="39"/>
  <c r="C60" i="39" s="1"/>
  <c r="E4" i="72"/>
  <c r="F4" i="72" s="1"/>
  <c r="E221" i="72"/>
  <c r="F221" i="72" s="1"/>
  <c r="E57" i="39"/>
  <c r="E58" i="39"/>
  <c r="E141" i="38"/>
  <c r="K59" i="39"/>
  <c r="K60" i="39" s="1"/>
  <c r="K56" i="39"/>
  <c r="D58" i="39"/>
  <c r="D57" i="39"/>
  <c r="D19" i="53"/>
  <c r="F19" i="53" s="1"/>
  <c r="H25" i="53" s="1"/>
  <c r="J53" i="66"/>
  <c r="I466" i="37"/>
  <c r="I474" i="37"/>
  <c r="E128" i="72"/>
  <c r="F128" i="72" s="1"/>
  <c r="E97" i="72"/>
  <c r="F97" i="72" s="1"/>
  <c r="D31" i="53"/>
  <c r="F31" i="53" s="1"/>
  <c r="H37" i="53" s="1"/>
  <c r="J474" i="37"/>
  <c r="J101" i="66"/>
  <c r="J466" i="37"/>
  <c r="E283" i="72"/>
  <c r="F283" i="72" s="1"/>
  <c r="E159" i="72"/>
  <c r="F159" i="72" s="1"/>
  <c r="M57" i="39"/>
  <c r="M58" i="39"/>
  <c r="L58" i="39" l="1"/>
  <c r="E67" i="72"/>
  <c r="F67" i="72" s="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W197" i="66"/>
  <c r="S197" i="66"/>
  <c r="H19" i="53"/>
  <c r="G19" i="53" s="1"/>
  <c r="G25" i="53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I466" i="41"/>
  <c r="F198" i="66"/>
  <c r="I489" i="58"/>
  <c r="F55" i="66"/>
  <c r="I479" i="37"/>
  <c r="I474" i="4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I489" i="37"/>
  <c r="F54" i="66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W53" i="66"/>
  <c r="S53" i="66"/>
  <c r="J5" i="66"/>
  <c r="H474" i="37"/>
  <c r="H466" i="37"/>
  <c r="D7" i="53"/>
  <c r="F7" i="53" s="1"/>
  <c r="J489" i="37"/>
  <c r="F102" i="66"/>
  <c r="J466" i="41"/>
  <c r="C58" i="39"/>
  <c r="C57" i="39"/>
  <c r="E253" i="72"/>
  <c r="F253" i="72" s="1"/>
  <c r="W101" i="66"/>
  <c r="S101" i="66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J474" i="41"/>
  <c r="J479" i="37"/>
  <c r="F103" i="66"/>
  <c r="G37" i="53"/>
  <c r="H31" i="53"/>
  <c r="G31" i="53" s="1"/>
  <c r="K57" i="39"/>
  <c r="K58" i="39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W245" i="66"/>
  <c r="S245" i="66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J479" i="58"/>
  <c r="F247" i="66"/>
  <c r="J149" i="66"/>
  <c r="H474" i="58"/>
  <c r="D13" i="53"/>
  <c r="F13" i="53" s="1"/>
  <c r="H7" i="53" s="1"/>
  <c r="H466" i="58"/>
  <c r="F199" i="66"/>
  <c r="I479" i="58"/>
  <c r="J489" i="58"/>
  <c r="F246" i="66"/>
  <c r="E191" i="72" l="1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5" i="72"/>
  <c r="F5" i="72" s="1"/>
  <c r="E36" i="72"/>
  <c r="F36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60" i="72"/>
  <c r="F160" i="72" s="1"/>
  <c r="G161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H489" i="58"/>
  <c r="F150" i="66"/>
  <c r="H466" i="41"/>
  <c r="H489" i="37"/>
  <c r="F6" i="66"/>
  <c r="S149" i="66"/>
  <c r="W149" i="66"/>
  <c r="E319" i="38"/>
  <c r="E325" i="38"/>
  <c r="M197" i="66" s="1"/>
  <c r="H13" i="53"/>
  <c r="G13" i="53" s="1"/>
  <c r="G7" i="53"/>
  <c r="E313" i="38"/>
  <c r="E307" i="38"/>
  <c r="E384" i="38"/>
  <c r="K247" i="66" s="1"/>
  <c r="N247" i="66" s="1"/>
  <c r="J480" i="58"/>
  <c r="E385" i="38" s="1"/>
  <c r="K266" i="66" s="1"/>
  <c r="N266" i="66" s="1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S5" i="66"/>
  <c r="W5" i="66"/>
  <c r="E337" i="38"/>
  <c r="E331" i="38"/>
  <c r="E343" i="38"/>
  <c r="E349" i="38"/>
  <c r="M245" i="66" s="1"/>
  <c r="E284" i="72"/>
  <c r="F284" i="72" s="1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L246" i="66"/>
  <c r="P246" i="66" s="1"/>
  <c r="E98" i="72"/>
  <c r="F98" i="72" s="1"/>
  <c r="I480" i="37"/>
  <c r="E360" i="38"/>
  <c r="K55" i="66" s="1"/>
  <c r="N55" i="66" s="1"/>
  <c r="E366" i="38"/>
  <c r="K103" i="66" s="1"/>
  <c r="N103" i="66" s="1"/>
  <c r="J479" i="41"/>
  <c r="J480" i="37"/>
  <c r="L102" i="66"/>
  <c r="P102" i="66" s="1"/>
  <c r="L54" i="66"/>
  <c r="P54" i="66" s="1"/>
  <c r="H474" i="41"/>
  <c r="F7" i="66"/>
  <c r="H479" i="37"/>
  <c r="H479" i="58"/>
  <c r="F151" i="66"/>
  <c r="I479" i="41"/>
  <c r="E378" i="38"/>
  <c r="K199" i="66" s="1"/>
  <c r="N199" i="66" s="1"/>
  <c r="I480" i="58"/>
  <c r="E379" i="38" s="1"/>
  <c r="K218" i="66" s="1"/>
  <c r="N218" i="66" s="1"/>
  <c r="J489" i="41"/>
  <c r="I489" i="41"/>
  <c r="E129" i="72"/>
  <c r="F129" i="72" s="1"/>
  <c r="L198" i="66"/>
  <c r="P198" i="66" s="1"/>
  <c r="Z55" i="66" l="1"/>
  <c r="H489" i="41"/>
  <c r="H162" i="72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161" i="72"/>
  <c r="F161" i="72" s="1"/>
  <c r="G162" i="72" s="1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N198" i="66"/>
  <c r="O198" i="66" s="1"/>
  <c r="U198" i="66" s="1"/>
  <c r="E6" i="72"/>
  <c r="F6" i="72" s="1"/>
  <c r="G7" i="72" s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N54" i="66"/>
  <c r="E367" i="38"/>
  <c r="K122" i="66" s="1"/>
  <c r="N122" i="66" s="1"/>
  <c r="J480" i="41"/>
  <c r="I486" i="37"/>
  <c r="L53" i="66"/>
  <c r="E37" i="72"/>
  <c r="F37" i="72" s="1"/>
  <c r="M53" i="66"/>
  <c r="F18" i="39" s="1"/>
  <c r="C20" i="8"/>
  <c r="Z247" i="66"/>
  <c r="Y247" i="66"/>
  <c r="Z103" i="66"/>
  <c r="Y103" i="66"/>
  <c r="E283" i="38"/>
  <c r="E289" i="38"/>
  <c r="E301" i="38"/>
  <c r="M149" i="66" s="1"/>
  <c r="E295" i="38"/>
  <c r="E223" i="72"/>
  <c r="F223" i="72" s="1"/>
  <c r="H480" i="58"/>
  <c r="E373" i="38" s="1"/>
  <c r="K170" i="66" s="1"/>
  <c r="N170" i="66" s="1"/>
  <c r="E372" i="38"/>
  <c r="K151" i="66" s="1"/>
  <c r="N151" i="66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H480" i="37"/>
  <c r="E354" i="38"/>
  <c r="K7" i="66" s="1"/>
  <c r="N7" i="66" s="1"/>
  <c r="H479" i="41"/>
  <c r="E69" i="72"/>
  <c r="F69" i="72" s="1"/>
  <c r="I486" i="58"/>
  <c r="L197" i="66"/>
  <c r="J486" i="58"/>
  <c r="L245" i="66"/>
  <c r="L6" i="66"/>
  <c r="P6" i="66" s="1"/>
  <c r="V6" i="66" s="1"/>
  <c r="X6" i="66" s="1"/>
  <c r="Z199" i="66"/>
  <c r="Y199" i="66"/>
  <c r="Y55" i="66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Z198" i="66"/>
  <c r="E361" i="38"/>
  <c r="K74" i="66" s="1"/>
  <c r="N74" i="66" s="1"/>
  <c r="I480" i="41"/>
  <c r="E254" i="72"/>
  <c r="F254" i="72" s="1"/>
  <c r="J486" i="37"/>
  <c r="L101" i="66"/>
  <c r="L150" i="66"/>
  <c r="P150" i="66" s="1"/>
  <c r="V150" i="66" s="1"/>
  <c r="X150" i="66" s="1"/>
  <c r="N102" i="66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M101" i="66"/>
  <c r="G18" i="39" s="1"/>
  <c r="D20" i="8"/>
  <c r="N246" i="66"/>
  <c r="E192" i="72"/>
  <c r="F192" i="72" s="1"/>
  <c r="O54" i="66" l="1"/>
  <c r="Z54" i="66"/>
  <c r="Y198" i="66"/>
  <c r="Y54" i="66"/>
  <c r="O246" i="66"/>
  <c r="V246" i="66" s="1"/>
  <c r="X246" i="66" s="1"/>
  <c r="Q198" i="66"/>
  <c r="V198" i="66"/>
  <c r="X198" i="66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J486" i="41"/>
  <c r="N245" i="66"/>
  <c r="P245" i="66"/>
  <c r="Z74" i="66"/>
  <c r="Y74" i="66"/>
  <c r="Y218" i="66"/>
  <c r="Z218" i="66"/>
  <c r="Q54" i="66"/>
  <c r="U54" i="66"/>
  <c r="V54" i="66"/>
  <c r="X54" i="66" s="1"/>
  <c r="O102" i="66"/>
  <c r="Z102" i="66"/>
  <c r="Z246" i="66"/>
  <c r="Y246" i="66"/>
  <c r="Y102" i="66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P101" i="66"/>
  <c r="N101" i="66"/>
  <c r="N150" i="66"/>
  <c r="H486" i="58"/>
  <c r="L149" i="66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P197" i="66"/>
  <c r="N197" i="66"/>
  <c r="E162" i="72"/>
  <c r="F162" i="72" s="1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P53" i="66"/>
  <c r="N53" i="66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B20" i="8"/>
  <c r="M5" i="66"/>
  <c r="I486" i="41"/>
  <c r="U246" i="66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Z7" i="66"/>
  <c r="Y151" i="66"/>
  <c r="Y7" i="66"/>
  <c r="Z151" i="66"/>
  <c r="H486" i="37"/>
  <c r="L5" i="66"/>
  <c r="E7" i="72"/>
  <c r="F7" i="72" s="1"/>
  <c r="E355" i="38"/>
  <c r="K26" i="66" s="1"/>
  <c r="N26" i="66" s="1"/>
  <c r="H480" i="41"/>
  <c r="Y266" i="66"/>
  <c r="Y122" i="66"/>
  <c r="Z266" i="66"/>
  <c r="Z122" i="66"/>
  <c r="N6" i="66"/>
  <c r="E193" i="72" l="1"/>
  <c r="F193" i="72" s="1"/>
  <c r="Q246" i="66"/>
  <c r="H486" i="4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O245" i="66"/>
  <c r="V245" i="66" s="1"/>
  <c r="X245" i="66" s="1"/>
  <c r="Y101" i="66"/>
  <c r="O101" i="66"/>
  <c r="Z245" i="66"/>
  <c r="Y245" i="66"/>
  <c r="Z101" i="66"/>
  <c r="E255" i="72"/>
  <c r="F255" i="72" s="1"/>
  <c r="E70" i="72"/>
  <c r="F70" i="72" s="1"/>
  <c r="E224" i="72"/>
  <c r="F224" i="72" s="1"/>
  <c r="Z170" i="66"/>
  <c r="Z26" i="66"/>
  <c r="Y26" i="66"/>
  <c r="Y170" i="66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O197" i="66"/>
  <c r="E38" i="72"/>
  <c r="F38" i="72" s="1"/>
  <c r="P5" i="66"/>
  <c r="V5" i="66" s="1"/>
  <c r="X5" i="66" s="1"/>
  <c r="R5" i="66"/>
  <c r="T5" i="66" s="1"/>
  <c r="N5" i="66"/>
  <c r="R149" i="66"/>
  <c r="T149" i="66" s="1"/>
  <c r="P149" i="66"/>
  <c r="V149" i="66" s="1"/>
  <c r="X149" i="66" s="1"/>
  <c r="N149" i="66"/>
  <c r="Y6" i="66"/>
  <c r="Y150" i="66"/>
  <c r="Z6" i="66"/>
  <c r="O6" i="66"/>
  <c r="Z150" i="66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Q102" i="66"/>
  <c r="V102" i="66"/>
  <c r="X102" i="66" s="1"/>
  <c r="U102" i="66"/>
  <c r="O150" i="66"/>
  <c r="E100" i="72"/>
  <c r="F100" i="72" s="1"/>
  <c r="E131" i="72"/>
  <c r="F131" i="72" s="1"/>
  <c r="Y197" i="66"/>
  <c r="O53" i="66"/>
  <c r="Y53" i="66"/>
  <c r="Z53" i="66"/>
  <c r="Z197" i="66"/>
  <c r="Q245" i="66" l="1"/>
  <c r="R245" i="66" s="1"/>
  <c r="T245" i="66" s="1"/>
  <c r="U245" i="66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O149" i="66"/>
  <c r="Q149" i="66" s="1"/>
  <c r="U150" i="66"/>
  <c r="Q150" i="66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V197" i="66"/>
  <c r="X197" i="66" s="1"/>
  <c r="U197" i="66"/>
  <c r="Q197" i="66"/>
  <c r="R197" i="66" s="1"/>
  <c r="T197" i="66" s="1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8" i="72"/>
  <c r="F8" i="72" s="1"/>
  <c r="Y5" i="66"/>
  <c r="O5" i="66"/>
  <c r="Y149" i="66"/>
  <c r="Z149" i="66"/>
  <c r="Z5" i="66"/>
  <c r="E163" i="72"/>
  <c r="F163" i="72" s="1"/>
  <c r="U53" i="66"/>
  <c r="Q53" i="66"/>
  <c r="R53" i="66" s="1"/>
  <c r="T53" i="66" s="1"/>
  <c r="V53" i="66"/>
  <c r="X53" i="66" s="1"/>
  <c r="Q101" i="66"/>
  <c r="R101" i="66" s="1"/>
  <c r="T101" i="66" s="1"/>
  <c r="U101" i="66"/>
  <c r="V101" i="66"/>
  <c r="X101" i="66" s="1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Q6" i="66"/>
  <c r="U6" i="66"/>
  <c r="E287" i="72"/>
  <c r="F287" i="72" s="1"/>
  <c r="U149" i="66" l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32" i="72"/>
  <c r="F132" i="72" s="1"/>
  <c r="E256" i="72"/>
  <c r="F256" i="72" s="1"/>
  <c r="E225" i="72"/>
  <c r="F225" i="72" s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71" i="72"/>
  <c r="F71" i="72" s="1"/>
  <c r="E39" i="72"/>
  <c r="F39" i="72" s="1"/>
  <c r="E101" i="72"/>
  <c r="F101" i="72" s="1"/>
  <c r="U5" i="66"/>
  <c r="Q5" i="66"/>
  <c r="G102" i="72" l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64" i="72"/>
  <c r="F164" i="72" s="1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9" i="72"/>
  <c r="F9" i="72" s="1"/>
  <c r="E288" i="72"/>
  <c r="F288" i="72" s="1"/>
  <c r="E196" i="72"/>
  <c r="F196" i="72" s="1"/>
  <c r="E257" i="72" l="1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72" i="72"/>
  <c r="F72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33" i="72"/>
  <c r="F133" i="72" s="1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40" i="72"/>
  <c r="F40" i="72" s="1"/>
  <c r="E102" i="72"/>
  <c r="F102" i="72" s="1"/>
  <c r="E258" i="72" l="1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10" i="72"/>
  <c r="F10" i="72" s="1"/>
  <c r="E289" i="72"/>
  <c r="F289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197" i="72"/>
  <c r="F197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165" i="72"/>
  <c r="F165" i="72" s="1"/>
  <c r="E227" i="72"/>
  <c r="F227" i="72" s="1"/>
  <c r="E73" i="72" l="1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134" i="72"/>
  <c r="F134" i="72" s="1"/>
  <c r="G135" i="72" s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41" i="72"/>
  <c r="F41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259" i="72"/>
  <c r="F259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03" i="72"/>
  <c r="F103" i="72" s="1"/>
  <c r="E290" i="72" l="1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198" i="72"/>
  <c r="F198" i="72" s="1"/>
  <c r="E74" i="72"/>
  <c r="F74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1" i="72"/>
  <c r="F11" i="72" s="1"/>
  <c r="E166" i="72"/>
  <c r="F166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135" i="72"/>
  <c r="F135" i="72" s="1"/>
  <c r="E228" i="72"/>
  <c r="F228" i="72" s="1"/>
  <c r="E104" i="72" l="1"/>
  <c r="F104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42" i="72"/>
  <c r="F42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291" i="72"/>
  <c r="F291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260" i="72"/>
  <c r="F260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75" i="72" l="1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136" i="72"/>
  <c r="F136" i="72" s="1"/>
  <c r="G137" i="72" s="1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229" i="72"/>
  <c r="F229" i="72" s="1"/>
  <c r="E12" i="72"/>
  <c r="F12" i="72" s="1"/>
  <c r="E167" i="72"/>
  <c r="F167" i="72" s="1"/>
  <c r="E199" i="72"/>
  <c r="F199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43" i="72" l="1"/>
  <c r="F43" i="72" s="1"/>
  <c r="G44" i="72" s="1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76" i="72"/>
  <c r="F76" i="72" s="1"/>
  <c r="G77" i="72" s="1"/>
  <c r="E137" i="72"/>
  <c r="F137" i="72" s="1"/>
  <c r="G138" i="72" s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292" i="72"/>
  <c r="F292" i="72" s="1"/>
  <c r="E261" i="72"/>
  <c r="F261" i="72" s="1"/>
  <c r="E105" i="72"/>
  <c r="F105" i="72" s="1"/>
  <c r="H78" i="72" l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44" i="72"/>
  <c r="F44" i="72" s="1"/>
  <c r="G45" i="72" s="1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38" i="72"/>
  <c r="F138" i="72" s="1"/>
  <c r="G139" i="72" s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230" i="72"/>
  <c r="F230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13" i="72"/>
  <c r="F13" i="72" s="1"/>
  <c r="E168" i="72"/>
  <c r="F168" i="72" s="1"/>
  <c r="E200" i="72"/>
  <c r="F200" i="72" s="1"/>
  <c r="E139" i="72" l="1"/>
  <c r="F139" i="72" s="1"/>
  <c r="G140" i="72" s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262" i="72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293" i="72"/>
  <c r="F293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78" i="72"/>
  <c r="F78" i="72" s="1"/>
  <c r="E106" i="72"/>
  <c r="F106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45" i="72"/>
  <c r="F45" i="72" s="1"/>
  <c r="E201" i="72" l="1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40" i="72"/>
  <c r="F140" i="72" s="1"/>
  <c r="G141" i="72" s="1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231" i="72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4" i="72"/>
  <c r="F14" i="72" s="1"/>
  <c r="E169" i="72"/>
  <c r="F169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63" i="72"/>
  <c r="F263" i="72" s="1"/>
  <c r="E202" i="72" l="1"/>
  <c r="F202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232" i="72"/>
  <c r="F232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46" i="72"/>
  <c r="F46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79" i="72"/>
  <c r="F79" i="72" s="1"/>
  <c r="E141" i="72"/>
  <c r="F141" i="72" s="1"/>
  <c r="E107" i="72"/>
  <c r="F107" i="72" s="1"/>
  <c r="E294" i="72"/>
  <c r="F294" i="72" s="1"/>
  <c r="E264" i="72" l="1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15" i="72"/>
  <c r="F15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170" i="72"/>
  <c r="F170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233" i="72" l="1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47" i="72"/>
  <c r="F47" i="72" s="1"/>
  <c r="E203" i="72"/>
  <c r="F203" i="72" s="1"/>
  <c r="E80" i="72"/>
  <c r="F80" i="72" s="1"/>
  <c r="E142" i="72"/>
  <c r="F142" i="72" s="1"/>
  <c r="E265" i="72"/>
  <c r="F265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108" i="72"/>
  <c r="F108" i="72" s="1"/>
  <c r="E234" i="72" l="1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171" i="72"/>
  <c r="F171" i="72" s="1"/>
  <c r="G172" i="72" s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296" i="72"/>
  <c r="F296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16" i="72"/>
  <c r="F16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297" i="72" l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48" i="72"/>
  <c r="F48" i="72" s="1"/>
  <c r="G49" i="72" s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204" i="72"/>
  <c r="F204" i="72" s="1"/>
  <c r="E143" i="72"/>
  <c r="F143" i="72" s="1"/>
  <c r="E266" i="72"/>
  <c r="F266" i="72" s="1"/>
  <c r="E172" i="72"/>
  <c r="F172" i="72" s="1"/>
  <c r="E235" i="72"/>
  <c r="F235" i="72" s="1"/>
  <c r="E49" i="72" l="1"/>
  <c r="F49" i="72" s="1"/>
  <c r="G50" i="72" s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82" i="72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17" i="72"/>
  <c r="F17" i="72" s="1"/>
  <c r="E298" i="72" l="1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73" i="72"/>
  <c r="F173" i="72" s="1"/>
  <c r="E267" i="72"/>
  <c r="F267" i="72" s="1"/>
  <c r="E83" i="72"/>
  <c r="F83" i="72" s="1"/>
  <c r="E50" i="72"/>
  <c r="F50" i="72" s="1"/>
  <c r="E236" i="72"/>
  <c r="F236" i="72" s="1"/>
  <c r="E205" i="72"/>
  <c r="F205" i="72" s="1"/>
  <c r="E111" i="72"/>
  <c r="F111" i="72" s="1"/>
  <c r="E144" i="72"/>
  <c r="F144" i="72" s="1"/>
  <c r="E299" i="72" l="1"/>
  <c r="F299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18" i="72"/>
  <c r="F18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174" i="72" l="1"/>
  <c r="F174" i="72" s="1"/>
  <c r="G175" i="72" s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268" i="72"/>
  <c r="F268" i="72" s="1"/>
  <c r="G269" i="72" s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37" i="72"/>
  <c r="F237" i="72" s="1"/>
  <c r="E300" i="72"/>
  <c r="F300" i="72" s="1"/>
  <c r="E84" i="72"/>
  <c r="F84" i="72" s="1"/>
  <c r="E145" i="72"/>
  <c r="F145" i="72" s="1"/>
  <c r="E51" i="72"/>
  <c r="F51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12" i="72"/>
  <c r="F112" i="72" s="1"/>
  <c r="E206" i="72"/>
  <c r="F206" i="72" s="1"/>
  <c r="E175" i="72" l="1"/>
  <c r="F175" i="72" s="1"/>
  <c r="G176" i="72" s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69" i="72"/>
  <c r="F269" i="72" s="1"/>
  <c r="G270" i="72" s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19" i="72"/>
  <c r="F19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113" i="72" l="1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85" i="72"/>
  <c r="F85" i="72" s="1"/>
  <c r="E176" i="72"/>
  <c r="F176" i="72" s="1"/>
  <c r="E238" i="72"/>
  <c r="F238" i="72" s="1"/>
  <c r="E207" i="72"/>
  <c r="F207" i="72" s="1"/>
  <c r="E301" i="72"/>
  <c r="F301" i="72" s="1"/>
  <c r="E146" i="72"/>
  <c r="F146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52" i="72"/>
  <c r="F52" i="72" s="1"/>
  <c r="E270" i="72"/>
  <c r="F270" i="72" s="1"/>
  <c r="E114" i="72" l="1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20" i="72"/>
  <c r="F20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G86" i="72"/>
  <c r="H87" i="72" s="1"/>
  <c r="I88" i="72" s="1"/>
  <c r="J89" i="72" s="1"/>
  <c r="K90" i="72" s="1"/>
  <c r="L91" i="72" s="1"/>
  <c r="M92" i="72" s="1"/>
  <c r="N93" i="72" s="1"/>
  <c r="O94" i="72" s="1"/>
  <c r="E271" i="72" l="1"/>
  <c r="F271" i="72" s="1"/>
  <c r="G272" i="72" s="1"/>
  <c r="H273" i="72" s="1"/>
  <c r="I274" i="72" s="1"/>
  <c r="J275" i="72" s="1"/>
  <c r="K276" i="72" s="1"/>
  <c r="L277" i="72" s="1"/>
  <c r="M278" i="72" s="1"/>
  <c r="N279" i="72" s="1"/>
  <c r="O280" i="72" s="1"/>
  <c r="E147" i="72"/>
  <c r="F147" i="72" s="1"/>
  <c r="G148" i="72" s="1"/>
  <c r="H149" i="72" s="1"/>
  <c r="I150" i="72" s="1"/>
  <c r="J151" i="72" s="1"/>
  <c r="K152" i="72" s="1"/>
  <c r="L153" i="72" s="1"/>
  <c r="M154" i="72" s="1"/>
  <c r="N155" i="72" s="1"/>
  <c r="O156" i="72" s="1"/>
  <c r="E53" i="72"/>
  <c r="F53" i="72" s="1"/>
  <c r="G54" i="72" s="1"/>
  <c r="H55" i="72" s="1"/>
  <c r="I56" i="72" s="1"/>
  <c r="J57" i="72" s="1"/>
  <c r="K58" i="72" s="1"/>
  <c r="L59" i="72" s="1"/>
  <c r="M60" i="72" s="1"/>
  <c r="N61" i="72" s="1"/>
  <c r="O62" i="72" s="1"/>
  <c r="P63" i="72" s="1"/>
  <c r="E208" i="72"/>
  <c r="F208" i="72" s="1"/>
  <c r="E86" i="72"/>
  <c r="F86" i="72" s="1"/>
  <c r="E302" i="72"/>
  <c r="F302" i="72" s="1"/>
  <c r="E177" i="72"/>
  <c r="F177" i="72" s="1"/>
  <c r="E239" i="72"/>
  <c r="F239" i="72" s="1"/>
  <c r="E115" i="72"/>
  <c r="F115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148" i="72" l="1"/>
  <c r="F148" i="72" s="1"/>
  <c r="G149" i="72" s="1"/>
  <c r="H150" i="72" s="1"/>
  <c r="I151" i="72" s="1"/>
  <c r="J152" i="72" s="1"/>
  <c r="K153" i="72" s="1"/>
  <c r="L154" i="72" s="1"/>
  <c r="M155" i="72" s="1"/>
  <c r="N156" i="72" s="1"/>
  <c r="E54" i="72"/>
  <c r="F54" i="72" s="1"/>
  <c r="G55" i="72" s="1"/>
  <c r="H56" i="72" s="1"/>
  <c r="I57" i="72" s="1"/>
  <c r="J58" i="72" s="1"/>
  <c r="K59" i="72" s="1"/>
  <c r="L60" i="72" s="1"/>
  <c r="M61" i="72" s="1"/>
  <c r="N62" i="72" s="1"/>
  <c r="O63" i="72" s="1"/>
  <c r="E21" i="72"/>
  <c r="F21" i="72" s="1"/>
  <c r="G22" i="72" s="1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G87" i="72"/>
  <c r="H88" i="72" s="1"/>
  <c r="I89" i="72" s="1"/>
  <c r="J90" i="72" s="1"/>
  <c r="K91" i="72" s="1"/>
  <c r="L92" i="72" s="1"/>
  <c r="M93" i="72" s="1"/>
  <c r="N94" i="72" s="1"/>
  <c r="E272" i="72"/>
  <c r="F272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E87" i="72" l="1"/>
  <c r="F87" i="72" s="1"/>
  <c r="G88" i="72" s="1"/>
  <c r="H89" i="72" s="1"/>
  <c r="I90" i="72" s="1"/>
  <c r="J91" i="72" s="1"/>
  <c r="K92" i="72" s="1"/>
  <c r="L93" i="72" s="1"/>
  <c r="M94" i="72" s="1"/>
  <c r="E55" i="72"/>
  <c r="F55" i="72" s="1"/>
  <c r="G56" i="72" s="1"/>
  <c r="H57" i="72" s="1"/>
  <c r="I58" i="72" s="1"/>
  <c r="J59" i="72" s="1"/>
  <c r="K60" i="72" s="1"/>
  <c r="L61" i="72" s="1"/>
  <c r="M62" i="72" s="1"/>
  <c r="N63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E240" i="72"/>
  <c r="F240" i="72" s="1"/>
  <c r="E22" i="72"/>
  <c r="F22" i="72" s="1"/>
  <c r="E178" i="72"/>
  <c r="F178" i="72" s="1"/>
  <c r="E149" i="72"/>
  <c r="F149" i="72" s="1"/>
  <c r="E303" i="72"/>
  <c r="F303" i="72" s="1"/>
  <c r="G273" i="72"/>
  <c r="H274" i="72" s="1"/>
  <c r="I275" i="72" s="1"/>
  <c r="J276" i="72" s="1"/>
  <c r="K277" i="72" s="1"/>
  <c r="L278" i="72" s="1"/>
  <c r="M279" i="72" s="1"/>
  <c r="N280" i="72" s="1"/>
  <c r="E88" i="72" l="1"/>
  <c r="F88" i="72" s="1"/>
  <c r="G89" i="72" s="1"/>
  <c r="H90" i="72" s="1"/>
  <c r="I91" i="72" s="1"/>
  <c r="J92" i="72" s="1"/>
  <c r="K93" i="72" s="1"/>
  <c r="L94" i="72" s="1"/>
  <c r="G304" i="72"/>
  <c r="H305" i="72" s="1"/>
  <c r="I306" i="72" s="1"/>
  <c r="J307" i="72" s="1"/>
  <c r="K308" i="72" s="1"/>
  <c r="L309" i="72" s="1"/>
  <c r="M310" i="72" s="1"/>
  <c r="N311" i="72" s="1"/>
  <c r="E117" i="72"/>
  <c r="F117" i="72" s="1"/>
  <c r="G150" i="72"/>
  <c r="H151" i="72" s="1"/>
  <c r="I152" i="72" s="1"/>
  <c r="J153" i="72" s="1"/>
  <c r="K154" i="72" s="1"/>
  <c r="L155" i="72" s="1"/>
  <c r="M156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E56" i="72"/>
  <c r="F56" i="72" s="1"/>
  <c r="E210" i="72"/>
  <c r="F210" i="72" s="1"/>
  <c r="E273" i="72"/>
  <c r="F273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E241" i="72" l="1"/>
  <c r="F241" i="72" s="1"/>
  <c r="G242" i="72" s="1"/>
  <c r="H243" i="72" s="1"/>
  <c r="I244" i="72" s="1"/>
  <c r="J245" i="72" s="1"/>
  <c r="K246" i="72" s="1"/>
  <c r="L247" i="72" s="1"/>
  <c r="M248" i="72" s="1"/>
  <c r="N249" i="72" s="1"/>
  <c r="E23" i="72"/>
  <c r="F23" i="72" s="1"/>
  <c r="G24" i="72" s="1"/>
  <c r="H25" i="72" s="1"/>
  <c r="I26" i="72" s="1"/>
  <c r="J27" i="72" s="1"/>
  <c r="K28" i="72" s="1"/>
  <c r="L29" i="72" s="1"/>
  <c r="M30" i="72" s="1"/>
  <c r="N31" i="72" s="1"/>
  <c r="O32" i="72" s="1"/>
  <c r="G211" i="72"/>
  <c r="H212" i="72" s="1"/>
  <c r="I213" i="72" s="1"/>
  <c r="J214" i="72" s="1"/>
  <c r="K215" i="72" s="1"/>
  <c r="L216" i="72" s="1"/>
  <c r="M217" i="72" s="1"/>
  <c r="N218" i="72" s="1"/>
  <c r="G57" i="72"/>
  <c r="H58" i="72" s="1"/>
  <c r="I59" i="72" s="1"/>
  <c r="J60" i="72" s="1"/>
  <c r="K61" i="72" s="1"/>
  <c r="L62" i="72" s="1"/>
  <c r="M63" i="72" s="1"/>
  <c r="E179" i="72"/>
  <c r="F179" i="72" s="1"/>
  <c r="E150" i="72"/>
  <c r="F150" i="72" s="1"/>
  <c r="G118" i="72"/>
  <c r="H119" i="72" s="1"/>
  <c r="I120" i="72" s="1"/>
  <c r="J121" i="72" s="1"/>
  <c r="K122" i="72" s="1"/>
  <c r="L123" i="72" s="1"/>
  <c r="M124" i="72" s="1"/>
  <c r="N125" i="72" s="1"/>
  <c r="E89" i="72"/>
  <c r="F89" i="72" s="1"/>
  <c r="E304" i="72"/>
  <c r="F304" i="72" s="1"/>
  <c r="G274" i="72"/>
  <c r="H275" i="72" s="1"/>
  <c r="I276" i="72" s="1"/>
  <c r="J277" i="72" s="1"/>
  <c r="K278" i="72" s="1"/>
  <c r="L279" i="72" s="1"/>
  <c r="M280" i="72" s="1"/>
  <c r="E24" i="72" l="1"/>
  <c r="F24" i="72" s="1"/>
  <c r="G25" i="72" s="1"/>
  <c r="H26" i="72" s="1"/>
  <c r="I27" i="72" s="1"/>
  <c r="J28" i="72" s="1"/>
  <c r="K29" i="72" s="1"/>
  <c r="L30" i="72" s="1"/>
  <c r="M31" i="72" s="1"/>
  <c r="N32" i="72" s="1"/>
  <c r="E274" i="72"/>
  <c r="F274" i="72" s="1"/>
  <c r="G275" i="72" s="1"/>
  <c r="H276" i="72" s="1"/>
  <c r="I277" i="72" s="1"/>
  <c r="J278" i="72" s="1"/>
  <c r="K279" i="72" s="1"/>
  <c r="L280" i="72" s="1"/>
  <c r="E242" i="72"/>
  <c r="F242" i="72" s="1"/>
  <c r="G151" i="72"/>
  <c r="H152" i="72" s="1"/>
  <c r="I153" i="72" s="1"/>
  <c r="J154" i="72" s="1"/>
  <c r="K155" i="72" s="1"/>
  <c r="L156" i="72" s="1"/>
  <c r="G180" i="72"/>
  <c r="H181" i="72" s="1"/>
  <c r="I182" i="72" s="1"/>
  <c r="J183" i="72" s="1"/>
  <c r="K184" i="72" s="1"/>
  <c r="L185" i="72" s="1"/>
  <c r="M186" i="72" s="1"/>
  <c r="N187" i="72" s="1"/>
  <c r="E57" i="72"/>
  <c r="F57" i="72" s="1"/>
  <c r="G90" i="72"/>
  <c r="H91" i="72" s="1"/>
  <c r="I92" i="72" s="1"/>
  <c r="J93" i="72" s="1"/>
  <c r="K94" i="72" s="1"/>
  <c r="E118" i="72"/>
  <c r="F118" i="72" s="1"/>
  <c r="E211" i="72"/>
  <c r="F211" i="72" s="1"/>
  <c r="G305" i="72"/>
  <c r="H306" i="72" s="1"/>
  <c r="I307" i="72" s="1"/>
  <c r="J308" i="72" s="1"/>
  <c r="K309" i="72" s="1"/>
  <c r="L310" i="72" s="1"/>
  <c r="M311" i="72" s="1"/>
  <c r="E305" i="72" l="1"/>
  <c r="F305" i="72" s="1"/>
  <c r="G306" i="72" s="1"/>
  <c r="H307" i="72" s="1"/>
  <c r="I308" i="72" s="1"/>
  <c r="J309" i="72" s="1"/>
  <c r="K310" i="72" s="1"/>
  <c r="L311" i="72" s="1"/>
  <c r="E90" i="72"/>
  <c r="F90" i="72" s="1"/>
  <c r="G91" i="72" s="1"/>
  <c r="H92" i="72" s="1"/>
  <c r="I93" i="72" s="1"/>
  <c r="J94" i="72" s="1"/>
  <c r="E25" i="72"/>
  <c r="F25" i="72" s="1"/>
  <c r="G26" i="72" s="1"/>
  <c r="H27" i="72" s="1"/>
  <c r="I28" i="72" s="1"/>
  <c r="J29" i="72" s="1"/>
  <c r="K30" i="72" s="1"/>
  <c r="L31" i="72" s="1"/>
  <c r="M32" i="72" s="1"/>
  <c r="G58" i="72"/>
  <c r="H59" i="72" s="1"/>
  <c r="I60" i="72" s="1"/>
  <c r="J61" i="72" s="1"/>
  <c r="K62" i="72" s="1"/>
  <c r="L63" i="72" s="1"/>
  <c r="E180" i="72"/>
  <c r="F180" i="72" s="1"/>
  <c r="E151" i="72"/>
  <c r="F151" i="72" s="1"/>
  <c r="E275" i="72"/>
  <c r="F275" i="72" s="1"/>
  <c r="G212" i="72"/>
  <c r="H213" i="72" s="1"/>
  <c r="I214" i="72" s="1"/>
  <c r="J215" i="72" s="1"/>
  <c r="K216" i="72" s="1"/>
  <c r="L217" i="72" s="1"/>
  <c r="M218" i="72" s="1"/>
  <c r="G119" i="72"/>
  <c r="H120" i="72" s="1"/>
  <c r="I121" i="72" s="1"/>
  <c r="J122" i="72" s="1"/>
  <c r="K123" i="72" s="1"/>
  <c r="L124" i="72" s="1"/>
  <c r="M125" i="72" s="1"/>
  <c r="G243" i="72"/>
  <c r="H244" i="72" s="1"/>
  <c r="I245" i="72" s="1"/>
  <c r="J246" i="72" s="1"/>
  <c r="K247" i="72" s="1"/>
  <c r="L248" i="72" s="1"/>
  <c r="M249" i="72" s="1"/>
  <c r="E243" i="72" l="1"/>
  <c r="F243" i="72" s="1"/>
  <c r="G244" i="72" s="1"/>
  <c r="H245" i="72" s="1"/>
  <c r="I246" i="72" s="1"/>
  <c r="J247" i="72" s="1"/>
  <c r="K248" i="72" s="1"/>
  <c r="L249" i="72" s="1"/>
  <c r="G276" i="72"/>
  <c r="H277" i="72" s="1"/>
  <c r="I278" i="72" s="1"/>
  <c r="J279" i="72" s="1"/>
  <c r="K280" i="72" s="1"/>
  <c r="E91" i="72"/>
  <c r="F91" i="72" s="1"/>
  <c r="E26" i="72"/>
  <c r="F26" i="72" s="1"/>
  <c r="E119" i="72"/>
  <c r="F119" i="72" s="1"/>
  <c r="G181" i="72"/>
  <c r="H182" i="72" s="1"/>
  <c r="I183" i="72" s="1"/>
  <c r="J184" i="72" s="1"/>
  <c r="K185" i="72" s="1"/>
  <c r="L186" i="72" s="1"/>
  <c r="M187" i="72" s="1"/>
  <c r="E306" i="72"/>
  <c r="F306" i="72" s="1"/>
  <c r="E58" i="72"/>
  <c r="F58" i="72" s="1"/>
  <c r="E212" i="72"/>
  <c r="F212" i="72" s="1"/>
  <c r="G152" i="72"/>
  <c r="H153" i="72" s="1"/>
  <c r="I154" i="72" s="1"/>
  <c r="J155" i="72" s="1"/>
  <c r="K156" i="72" s="1"/>
  <c r="E244" i="72" l="1"/>
  <c r="F244" i="72" s="1"/>
  <c r="G245" i="72" s="1"/>
  <c r="H246" i="72" s="1"/>
  <c r="I247" i="72" s="1"/>
  <c r="J248" i="72" s="1"/>
  <c r="K249" i="72" s="1"/>
  <c r="E152" i="72"/>
  <c r="F152" i="72" s="1"/>
  <c r="G153" i="72" s="1"/>
  <c r="H154" i="72" s="1"/>
  <c r="I155" i="72" s="1"/>
  <c r="J156" i="72" s="1"/>
  <c r="G307" i="72"/>
  <c r="H308" i="72" s="1"/>
  <c r="I309" i="72" s="1"/>
  <c r="J310" i="72" s="1"/>
  <c r="K311" i="72" s="1"/>
  <c r="E181" i="72"/>
  <c r="F181" i="72" s="1"/>
  <c r="G120" i="72"/>
  <c r="H121" i="72" s="1"/>
  <c r="I122" i="72" s="1"/>
  <c r="J123" i="72" s="1"/>
  <c r="K124" i="72" s="1"/>
  <c r="L125" i="72" s="1"/>
  <c r="G27" i="72"/>
  <c r="H28" i="72" s="1"/>
  <c r="I29" i="72" s="1"/>
  <c r="J30" i="72" s="1"/>
  <c r="K31" i="72" s="1"/>
  <c r="L32" i="72" s="1"/>
  <c r="G92" i="72"/>
  <c r="H93" i="72" s="1"/>
  <c r="I94" i="72" s="1"/>
  <c r="E276" i="72"/>
  <c r="F276" i="72" s="1"/>
  <c r="G213" i="72"/>
  <c r="H214" i="72" s="1"/>
  <c r="I215" i="72" s="1"/>
  <c r="J216" i="72" s="1"/>
  <c r="K217" i="72" s="1"/>
  <c r="L218" i="72" s="1"/>
  <c r="G59" i="72"/>
  <c r="H60" i="72" s="1"/>
  <c r="I61" i="72" s="1"/>
  <c r="J62" i="72" s="1"/>
  <c r="K63" i="72" s="1"/>
  <c r="E213" i="72" l="1"/>
  <c r="F213" i="72" s="1"/>
  <c r="G214" i="72" s="1"/>
  <c r="H215" i="72" s="1"/>
  <c r="I216" i="72" s="1"/>
  <c r="J217" i="72" s="1"/>
  <c r="K218" i="72" s="1"/>
  <c r="E27" i="72"/>
  <c r="F27" i="72" s="1"/>
  <c r="E120" i="72"/>
  <c r="F120" i="72" s="1"/>
  <c r="E59" i="72"/>
  <c r="F59" i="72" s="1"/>
  <c r="E153" i="72"/>
  <c r="F153" i="72" s="1"/>
  <c r="E245" i="72"/>
  <c r="F245" i="72" s="1"/>
  <c r="G277" i="72"/>
  <c r="H278" i="72" s="1"/>
  <c r="I279" i="72" s="1"/>
  <c r="J280" i="72" s="1"/>
  <c r="E92" i="72"/>
  <c r="F92" i="72" s="1"/>
  <c r="G182" i="72"/>
  <c r="H183" i="72" s="1"/>
  <c r="I184" i="72" s="1"/>
  <c r="J185" i="72" s="1"/>
  <c r="K186" i="72" s="1"/>
  <c r="L187" i="72" s="1"/>
  <c r="E307" i="72"/>
  <c r="F307" i="72" s="1"/>
  <c r="E214" i="72" l="1"/>
  <c r="F214" i="72" s="1"/>
  <c r="E182" i="72"/>
  <c r="F182" i="72" s="1"/>
  <c r="G93" i="72"/>
  <c r="H94" i="72" s="1"/>
  <c r="E277" i="72"/>
  <c r="F277" i="72" s="1"/>
  <c r="G246" i="72"/>
  <c r="H247" i="72" s="1"/>
  <c r="I248" i="72" s="1"/>
  <c r="J249" i="72" s="1"/>
  <c r="G154" i="72"/>
  <c r="H155" i="72" s="1"/>
  <c r="I156" i="72" s="1"/>
  <c r="G60" i="72"/>
  <c r="H61" i="72" s="1"/>
  <c r="I62" i="72" s="1"/>
  <c r="J63" i="72" s="1"/>
  <c r="G121" i="72"/>
  <c r="H122" i="72" s="1"/>
  <c r="I123" i="72" s="1"/>
  <c r="J124" i="72" s="1"/>
  <c r="K125" i="72" s="1"/>
  <c r="G308" i="72"/>
  <c r="H309" i="72" s="1"/>
  <c r="I310" i="72" s="1"/>
  <c r="J311" i="72" s="1"/>
  <c r="G28" i="72"/>
  <c r="H29" i="72" s="1"/>
  <c r="I30" i="72" s="1"/>
  <c r="J31" i="72" s="1"/>
  <c r="K32" i="72" s="1"/>
  <c r="E28" i="72" l="1"/>
  <c r="F28" i="72" s="1"/>
  <c r="G29" i="72" s="1"/>
  <c r="H30" i="72" s="1"/>
  <c r="I31" i="72" s="1"/>
  <c r="J32" i="72" s="1"/>
  <c r="E60" i="72"/>
  <c r="F60" i="72" s="1"/>
  <c r="E154" i="72"/>
  <c r="F154" i="72" s="1"/>
  <c r="E246" i="72"/>
  <c r="F246" i="72" s="1"/>
  <c r="G278" i="72"/>
  <c r="H279" i="72" s="1"/>
  <c r="I280" i="72" s="1"/>
  <c r="E93" i="72"/>
  <c r="F93" i="72" s="1"/>
  <c r="G94" i="72" s="1"/>
  <c r="E94" i="72" s="1"/>
  <c r="F94" i="72" s="1"/>
  <c r="AL94" i="72" s="1"/>
  <c r="E308" i="72"/>
  <c r="F308" i="72" s="1"/>
  <c r="G183" i="72"/>
  <c r="H184" i="72" s="1"/>
  <c r="I185" i="72" s="1"/>
  <c r="J186" i="72" s="1"/>
  <c r="K187" i="72" s="1"/>
  <c r="E121" i="72"/>
  <c r="F121" i="72" s="1"/>
  <c r="G215" i="72"/>
  <c r="H216" i="72" s="1"/>
  <c r="I217" i="72" s="1"/>
  <c r="J218" i="72" s="1"/>
  <c r="E183" i="72" l="1"/>
  <c r="F183" i="72" s="1"/>
  <c r="G184" i="72" s="1"/>
  <c r="H185" i="72" s="1"/>
  <c r="I186" i="72" s="1"/>
  <c r="J187" i="72" s="1"/>
  <c r="E278" i="72"/>
  <c r="F278" i="72" s="1"/>
  <c r="G279" i="72" s="1"/>
  <c r="H280" i="72" s="1"/>
  <c r="E215" i="72"/>
  <c r="F215" i="72" s="1"/>
  <c r="G216" i="72" s="1"/>
  <c r="H217" i="72" s="1"/>
  <c r="I218" i="72" s="1"/>
  <c r="G309" i="72"/>
  <c r="H310" i="72" s="1"/>
  <c r="I311" i="72" s="1"/>
  <c r="G122" i="72"/>
  <c r="H123" i="72" s="1"/>
  <c r="I124" i="72" s="1"/>
  <c r="J125" i="72" s="1"/>
  <c r="E29" i="72"/>
  <c r="F29" i="72" s="1"/>
  <c r="G247" i="72"/>
  <c r="H248" i="72" s="1"/>
  <c r="I249" i="72" s="1"/>
  <c r="G155" i="72"/>
  <c r="H156" i="72" s="1"/>
  <c r="G61" i="72"/>
  <c r="H62" i="72" s="1"/>
  <c r="I63" i="72" s="1"/>
  <c r="E247" i="72" l="1"/>
  <c r="F247" i="72" s="1"/>
  <c r="G248" i="72" s="1"/>
  <c r="H249" i="72" s="1"/>
  <c r="E184" i="72"/>
  <c r="F184" i="72" s="1"/>
  <c r="G185" i="72" s="1"/>
  <c r="H186" i="72" s="1"/>
  <c r="I187" i="72" s="1"/>
  <c r="E61" i="72"/>
  <c r="F61" i="72" s="1"/>
  <c r="G62" i="72" s="1"/>
  <c r="H63" i="72" s="1"/>
  <c r="E155" i="72"/>
  <c r="F155" i="72" s="1"/>
  <c r="G156" i="72" s="1"/>
  <c r="E156" i="72" s="1"/>
  <c r="F156" i="72" s="1"/>
  <c r="G30" i="72"/>
  <c r="H31" i="72" s="1"/>
  <c r="I32" i="72" s="1"/>
  <c r="E279" i="72"/>
  <c r="F279" i="72" s="1"/>
  <c r="G280" i="72" s="1"/>
  <c r="E280" i="72" s="1"/>
  <c r="F280" i="72" s="1"/>
  <c r="E122" i="72"/>
  <c r="F122" i="72" s="1"/>
  <c r="E309" i="72"/>
  <c r="F309" i="72" s="1"/>
  <c r="E216" i="72"/>
  <c r="F216" i="72" s="1"/>
  <c r="E248" i="72" l="1"/>
  <c r="F248" i="72" s="1"/>
  <c r="G249" i="72" s="1"/>
  <c r="E249" i="72" s="1"/>
  <c r="F249" i="72" s="1"/>
  <c r="G217" i="72"/>
  <c r="H218" i="72" s="1"/>
  <c r="G310" i="72"/>
  <c r="H311" i="72" s="1"/>
  <c r="E62" i="72"/>
  <c r="F62" i="72" s="1"/>
  <c r="G63" i="72" s="1"/>
  <c r="E63" i="72" s="1"/>
  <c r="F63" i="72" s="1"/>
  <c r="AL63" i="72" s="1"/>
  <c r="G123" i="72"/>
  <c r="H124" i="72" s="1"/>
  <c r="I125" i="72" s="1"/>
  <c r="E30" i="72"/>
  <c r="F30" i="72" s="1"/>
  <c r="E185" i="72"/>
  <c r="F185" i="72" s="1"/>
  <c r="G186" i="72" l="1"/>
  <c r="H187" i="72" s="1"/>
  <c r="G31" i="72"/>
  <c r="H32" i="72" s="1"/>
  <c r="E123" i="72"/>
  <c r="F123" i="72" s="1"/>
  <c r="E310" i="72"/>
  <c r="F310" i="72" s="1"/>
  <c r="G311" i="72" s="1"/>
  <c r="E311" i="72" s="1"/>
  <c r="F311" i="72" s="1"/>
  <c r="E217" i="72"/>
  <c r="F217" i="72" s="1"/>
  <c r="G218" i="72" s="1"/>
  <c r="E218" i="72" s="1"/>
  <c r="F218" i="72" s="1"/>
  <c r="G124" i="72" l="1"/>
  <c r="H125" i="72" s="1"/>
  <c r="E31" i="72"/>
  <c r="F31" i="72" s="1"/>
  <c r="E186" i="72"/>
  <c r="F186" i="72" s="1"/>
  <c r="G187" i="72" s="1"/>
  <c r="E187" i="72" l="1"/>
  <c r="F187" i="72" s="1"/>
  <c r="G32" i="72"/>
  <c r="E32" i="72" s="1"/>
  <c r="F32" i="72" s="1"/>
  <c r="D37" i="26" s="1" a="1"/>
  <c r="D37" i="26" s="1"/>
  <c r="H200" i="35" s="1"/>
  <c r="E124" i="72"/>
  <c r="F124" i="72" s="1"/>
  <c r="G125" i="72" s="1"/>
  <c r="E125" i="72" s="1"/>
  <c r="F125" i="72" s="1"/>
  <c r="AL125" i="72" s="1"/>
  <c r="AL127" i="72" s="1"/>
  <c r="E38" i="26" l="1" a="1"/>
  <c r="E38" i="26" s="1"/>
  <c r="I201" i="35" s="1"/>
  <c r="F42" i="26" a="1"/>
  <c r="F42" i="26" s="1"/>
  <c r="G226" i="35" s="1"/>
  <c r="H32" i="26" a="1"/>
  <c r="H32" i="26" s="1"/>
  <c r="I216" i="35" s="1"/>
  <c r="J52" i="58" s="1"/>
  <c r="G42" i="26" a="1"/>
  <c r="G42" i="26" s="1"/>
  <c r="H226" i="35" s="1"/>
  <c r="E41" i="26" a="1"/>
  <c r="E41" i="26" s="1"/>
  <c r="I204" i="35" s="1"/>
  <c r="F37" i="26" a="1"/>
  <c r="F37" i="26" s="1"/>
  <c r="G221" i="35" s="1"/>
  <c r="F40" i="26" a="1"/>
  <c r="F40" i="26" s="1"/>
  <c r="G224" i="35" s="1"/>
  <c r="H86" i="58" s="1"/>
  <c r="H86" i="41" s="1"/>
  <c r="F33" i="26" a="1"/>
  <c r="F33" i="26" s="1"/>
  <c r="G217" i="35" s="1"/>
  <c r="H57" i="58" s="1"/>
  <c r="H57" i="41" s="1"/>
  <c r="D41" i="26" a="1"/>
  <c r="D41" i="26" s="1"/>
  <c r="H204" i="35" s="1"/>
  <c r="G34" i="26" a="1"/>
  <c r="G34" i="26" s="1"/>
  <c r="H218" i="35" s="1"/>
  <c r="G38" i="26" a="1"/>
  <c r="G38" i="26" s="1"/>
  <c r="H222" i="35" s="1"/>
  <c r="E42" i="26" a="1"/>
  <c r="E42" i="26" s="1"/>
  <c r="I205" i="35" s="1"/>
  <c r="F26" i="26" a="1"/>
  <c r="F26" i="26" s="1"/>
  <c r="G210" i="35" s="1"/>
  <c r="H35" i="26" a="1"/>
  <c r="H35" i="26" s="1"/>
  <c r="H30" i="26" a="1"/>
  <c r="H30" i="26" s="1"/>
  <c r="I214" i="35" s="1"/>
  <c r="E36" i="26" a="1"/>
  <c r="E36" i="26" s="1"/>
  <c r="I199" i="35" s="1"/>
  <c r="G28" i="26" a="1"/>
  <c r="G28" i="26" s="1"/>
  <c r="H212" i="35" s="1"/>
  <c r="F27" i="26" a="1"/>
  <c r="F27" i="26" s="1"/>
  <c r="H55" i="58"/>
  <c r="H55" i="41" s="1"/>
  <c r="H28" i="26" a="1"/>
  <c r="H28" i="26" s="1"/>
  <c r="I212" i="35" s="1"/>
  <c r="D27" i="26" a="1"/>
  <c r="D27" i="26" s="1"/>
  <c r="F41" i="26" a="1"/>
  <c r="F41" i="26" s="1"/>
  <c r="G225" i="35" s="1"/>
  <c r="E37" i="26" a="1"/>
  <c r="E37" i="26" s="1"/>
  <c r="I200" i="35" s="1"/>
  <c r="E35" i="26" a="1"/>
  <c r="E35" i="26" s="1"/>
  <c r="E30" i="26" a="1"/>
  <c r="E30" i="26" s="1"/>
  <c r="I193" i="35" s="1"/>
  <c r="D39" i="26" a="1"/>
  <c r="D39" i="26" s="1"/>
  <c r="H94" i="58"/>
  <c r="H94" i="41" s="1"/>
  <c r="H91" i="58"/>
  <c r="H91" i="41" s="1"/>
  <c r="H92" i="58"/>
  <c r="H92" i="41" s="1"/>
  <c r="H93" i="58"/>
  <c r="H93" i="41" s="1"/>
  <c r="E34" i="26" a="1"/>
  <c r="E34" i="26" s="1"/>
  <c r="I197" i="35" s="1"/>
  <c r="F25" i="26" a="1"/>
  <c r="F25" i="26" s="1"/>
  <c r="G209" i="35" s="1"/>
  <c r="G37" i="26" a="1"/>
  <c r="G37" i="26" s="1"/>
  <c r="H221" i="35" s="1"/>
  <c r="D36" i="26" a="1"/>
  <c r="D36" i="26" s="1"/>
  <c r="H199" i="35" s="1"/>
  <c r="G33" i="26" a="1"/>
  <c r="G33" i="26" s="1"/>
  <c r="H217" i="35" s="1"/>
  <c r="D30" i="26" a="1"/>
  <c r="D30" i="26" s="1"/>
  <c r="H193" i="35" s="1"/>
  <c r="D34" i="26" a="1"/>
  <c r="D34" i="26" s="1"/>
  <c r="H197" i="35" s="1"/>
  <c r="H27" i="26" a="1"/>
  <c r="H27" i="26" s="1"/>
  <c r="G23" i="26" a="1"/>
  <c r="G23" i="26" s="1"/>
  <c r="G29" i="26" a="1"/>
  <c r="G29" i="26" s="1"/>
  <c r="H213" i="35" s="1"/>
  <c r="E25" i="26" a="1"/>
  <c r="E25" i="26" s="1"/>
  <c r="I188" i="35" s="1"/>
  <c r="H36" i="26" a="1"/>
  <c r="H36" i="26" s="1"/>
  <c r="I220" i="35" s="1"/>
  <c r="G35" i="26" a="1"/>
  <c r="G35" i="26" s="1"/>
  <c r="G31" i="26" a="1"/>
  <c r="G31" i="26" s="1"/>
  <c r="D38" i="26" a="1"/>
  <c r="D38" i="26" s="1"/>
  <c r="H201" i="35" s="1"/>
  <c r="J54" i="58"/>
  <c r="H38" i="26" a="1"/>
  <c r="H38" i="26" s="1"/>
  <c r="I222" i="35" s="1"/>
  <c r="F34" i="26" a="1"/>
  <c r="F34" i="26" s="1"/>
  <c r="G218" i="35" s="1"/>
  <c r="H41" i="26" a="1"/>
  <c r="H41" i="26" s="1"/>
  <c r="I225" i="35" s="1"/>
  <c r="G40" i="26" a="1"/>
  <c r="G40" i="26" s="1"/>
  <c r="H224" i="35" s="1"/>
  <c r="F38" i="26" a="1"/>
  <c r="F38" i="26" s="1"/>
  <c r="G222" i="35" s="1"/>
  <c r="G39" i="26" a="1"/>
  <c r="G39" i="26" s="1"/>
  <c r="G32" i="26" a="1"/>
  <c r="G32" i="26" s="1"/>
  <c r="H216" i="35" s="1"/>
  <c r="I94" i="58"/>
  <c r="I93" i="58"/>
  <c r="I91" i="58"/>
  <c r="I92" i="58"/>
  <c r="J87" i="37"/>
  <c r="J90" i="37"/>
  <c r="J88" i="37"/>
  <c r="J89" i="37"/>
  <c r="H73" i="58"/>
  <c r="H73" i="41" s="1"/>
  <c r="H71" i="58"/>
  <c r="H71" i="41" s="1"/>
  <c r="H74" i="58"/>
  <c r="H74" i="41" s="1"/>
  <c r="H72" i="58"/>
  <c r="H72" i="41" s="1"/>
  <c r="I71" i="37"/>
  <c r="I74" i="37"/>
  <c r="I73" i="37"/>
  <c r="I72" i="37"/>
  <c r="H25" i="26" a="1"/>
  <c r="H25" i="26" s="1"/>
  <c r="I209" i="35" s="1"/>
  <c r="G41" i="26" a="1"/>
  <c r="G41" i="26" s="1"/>
  <c r="H225" i="35" s="1"/>
  <c r="D31" i="26" a="1"/>
  <c r="D31" i="26" s="1"/>
  <c r="D42" i="26" a="1"/>
  <c r="D42" i="26" s="1"/>
  <c r="H205" i="35" s="1"/>
  <c r="I89" i="37"/>
  <c r="I88" i="37"/>
  <c r="I87" i="37"/>
  <c r="I90" i="37"/>
  <c r="H42" i="26" a="1"/>
  <c r="H42" i="26" s="1"/>
  <c r="I226" i="35" s="1"/>
  <c r="H33" i="26" a="1"/>
  <c r="H33" i="26" s="1"/>
  <c r="I217" i="35" s="1"/>
  <c r="G25" i="26" a="1"/>
  <c r="G25" i="26" s="1"/>
  <c r="H209" i="35" s="1"/>
  <c r="E31" i="26" a="1"/>
  <c r="E31" i="26" s="1"/>
  <c r="D40" i="26" a="1"/>
  <c r="D40" i="26" s="1"/>
  <c r="H203" i="35" s="1"/>
  <c r="D28" i="26" a="1"/>
  <c r="D28" i="26" s="1"/>
  <c r="H191" i="35" s="1"/>
  <c r="H39" i="26" a="1"/>
  <c r="H39" i="26" s="1"/>
  <c r="H23" i="26" a="1"/>
  <c r="H23" i="26" s="1"/>
  <c r="F28" i="26" a="1"/>
  <c r="F28" i="26" s="1"/>
  <c r="G212" i="35" s="1"/>
  <c r="F23" i="26" a="1"/>
  <c r="F23" i="26" s="1"/>
  <c r="G24" i="26" a="1"/>
  <c r="G24" i="26" s="1"/>
  <c r="H208" i="35" s="1"/>
  <c r="F32" i="26" a="1"/>
  <c r="F32" i="26" s="1"/>
  <c r="G216" i="35" s="1"/>
  <c r="H34" i="26" a="1"/>
  <c r="H34" i="26" s="1"/>
  <c r="I218" i="35" s="1"/>
  <c r="H31" i="26" a="1"/>
  <c r="H31" i="26" s="1"/>
  <c r="E29" i="26" a="1"/>
  <c r="E29" i="26" s="1"/>
  <c r="I192" i="35" s="1"/>
  <c r="J77" i="37"/>
  <c r="J75" i="37"/>
  <c r="J78" i="37"/>
  <c r="J76" i="37"/>
  <c r="I59" i="58"/>
  <c r="I60" i="58"/>
  <c r="I62" i="58"/>
  <c r="I61" i="58"/>
  <c r="G26" i="26" a="1"/>
  <c r="G26" i="26" s="1"/>
  <c r="H210" i="35" s="1"/>
  <c r="D33" i="26" a="1"/>
  <c r="D33" i="26" s="1"/>
  <c r="H196" i="35" s="1"/>
  <c r="D35" i="26" a="1"/>
  <c r="D35" i="26" s="1"/>
  <c r="D26" i="26" a="1"/>
  <c r="D26" i="26" s="1"/>
  <c r="H189" i="35" s="1"/>
  <c r="E26" i="26" a="1"/>
  <c r="E26" i="26" s="1"/>
  <c r="I189" i="35" s="1"/>
  <c r="F36" i="26" a="1"/>
  <c r="F36" i="26" s="1"/>
  <c r="G220" i="35" s="1"/>
  <c r="H40" i="26" a="1"/>
  <c r="H40" i="26" s="1"/>
  <c r="I224" i="35" s="1"/>
  <c r="F24" i="26" a="1"/>
  <c r="F24" i="26" s="1"/>
  <c r="G208" i="35" s="1"/>
  <c r="E40" i="26" a="1"/>
  <c r="E40" i="26" s="1"/>
  <c r="I203" i="35" s="1"/>
  <c r="H29" i="26" a="1"/>
  <c r="H29" i="26" s="1"/>
  <c r="I213" i="35" s="1"/>
  <c r="D25" i="26" a="1"/>
  <c r="D25" i="26" s="1"/>
  <c r="H188" i="35" s="1"/>
  <c r="G27" i="26" a="1"/>
  <c r="G27" i="26" s="1"/>
  <c r="E33" i="26" a="1"/>
  <c r="E33" i="26" s="1"/>
  <c r="I196" i="35" s="1"/>
  <c r="E23" i="26" a="1"/>
  <c r="E23" i="26" s="1"/>
  <c r="AL32" i="72"/>
  <c r="E32" i="26" a="1"/>
  <c r="E32" i="26" s="1"/>
  <c r="I195" i="35" s="1"/>
  <c r="F35" i="26" a="1"/>
  <c r="F35" i="26" s="1"/>
  <c r="D32" i="26" a="1"/>
  <c r="D32" i="26" s="1"/>
  <c r="H195" i="35" s="1"/>
  <c r="H85" i="58"/>
  <c r="H85" i="41" s="1"/>
  <c r="H83" i="58"/>
  <c r="H83" i="41" s="1"/>
  <c r="F29" i="26" a="1"/>
  <c r="F29" i="26" s="1"/>
  <c r="G213" i="35" s="1"/>
  <c r="D29" i="26" a="1"/>
  <c r="D29" i="26" s="1"/>
  <c r="H192" i="35" s="1"/>
  <c r="H37" i="26" a="1"/>
  <c r="H37" i="26" s="1"/>
  <c r="I221" i="35" s="1"/>
  <c r="H26" i="26" a="1"/>
  <c r="H26" i="26" s="1"/>
  <c r="I210" i="35" s="1"/>
  <c r="F31" i="26" a="1"/>
  <c r="F31" i="26" s="1"/>
  <c r="E28" i="26" a="1"/>
  <c r="E28" i="26" s="1"/>
  <c r="I191" i="35" s="1"/>
  <c r="G36" i="26" a="1"/>
  <c r="G36" i="26" s="1"/>
  <c r="H220" i="35" s="1"/>
  <c r="D23" i="26" a="1"/>
  <c r="D23" i="26" s="1"/>
  <c r="F39" i="26" a="1"/>
  <c r="F39" i="26" s="1"/>
  <c r="E27" i="26" a="1"/>
  <c r="E27" i="26" s="1"/>
  <c r="H24" i="26" a="1"/>
  <c r="H24" i="26" s="1"/>
  <c r="I208" i="35" s="1"/>
  <c r="G30" i="26" a="1"/>
  <c r="G30" i="26" s="1"/>
  <c r="H214" i="35" s="1"/>
  <c r="E24" i="26" a="1"/>
  <c r="E24" i="26" s="1"/>
  <c r="I187" i="35" s="1"/>
  <c r="E39" i="26" a="1"/>
  <c r="E39" i="26" s="1"/>
  <c r="F30" i="26" a="1"/>
  <c r="F30" i="26" s="1"/>
  <c r="G214" i="35" s="1"/>
  <c r="D24" i="26" a="1"/>
  <c r="D24" i="26" s="1"/>
  <c r="H187" i="35" s="1"/>
  <c r="J53" i="58" l="1"/>
  <c r="J51" i="58"/>
  <c r="H56" i="58"/>
  <c r="H56" i="41" s="1"/>
  <c r="H58" i="58"/>
  <c r="H58" i="41" s="1"/>
  <c r="H84" i="58"/>
  <c r="H84" i="41" s="1"/>
  <c r="I67" i="58"/>
  <c r="I70" i="58"/>
  <c r="I69" i="58"/>
  <c r="I68" i="58"/>
  <c r="E53" i="26"/>
  <c r="H53" i="26" s="1"/>
  <c r="G219" i="35"/>
  <c r="J30" i="37"/>
  <c r="J29" i="37"/>
  <c r="J28" i="37"/>
  <c r="J27" i="37"/>
  <c r="I38" i="37"/>
  <c r="I35" i="37"/>
  <c r="I37" i="37"/>
  <c r="I36" i="37"/>
  <c r="I92" i="37"/>
  <c r="I92" i="41" s="1"/>
  <c r="I93" i="37"/>
  <c r="I93" i="41" s="1"/>
  <c r="I91" i="37"/>
  <c r="I91" i="41" s="1"/>
  <c r="I94" i="37"/>
  <c r="I94" i="41" s="1"/>
  <c r="J88" i="58"/>
  <c r="J88" i="41" s="1"/>
  <c r="J90" i="58"/>
  <c r="J90" i="41" s="1"/>
  <c r="J89" i="58"/>
  <c r="J89" i="41" s="1"/>
  <c r="J87" i="58"/>
  <c r="J87" i="41" s="1"/>
  <c r="I42" i="58"/>
  <c r="I41" i="58"/>
  <c r="I39" i="58"/>
  <c r="I40" i="58"/>
  <c r="J38" i="37"/>
  <c r="J35" i="37"/>
  <c r="J37" i="37"/>
  <c r="J36" i="37"/>
  <c r="J52" i="37"/>
  <c r="J52" i="41" s="1"/>
  <c r="J51" i="37"/>
  <c r="J51" i="41" s="1"/>
  <c r="J54" i="37"/>
  <c r="J54" i="41" s="1"/>
  <c r="J53" i="37"/>
  <c r="J53" i="41" s="1"/>
  <c r="I30" i="37"/>
  <c r="I27" i="37"/>
  <c r="I28" i="37"/>
  <c r="I29" i="37"/>
  <c r="J41" i="37"/>
  <c r="J39" i="37"/>
  <c r="J40" i="37"/>
  <c r="J42" i="37"/>
  <c r="I83" i="37"/>
  <c r="I85" i="37"/>
  <c r="I84" i="37"/>
  <c r="I86" i="37"/>
  <c r="H194" i="35"/>
  <c r="C52" i="26"/>
  <c r="H61" i="58"/>
  <c r="H61" i="41" s="1"/>
  <c r="H60" i="58"/>
  <c r="H60" i="41" s="1"/>
  <c r="H59" i="58"/>
  <c r="H59" i="41" s="1"/>
  <c r="H62" i="58"/>
  <c r="H62" i="41" s="1"/>
  <c r="H207" i="35"/>
  <c r="F50" i="26"/>
  <c r="I20" i="37"/>
  <c r="I19" i="37"/>
  <c r="I22" i="37"/>
  <c r="I21" i="37"/>
  <c r="G215" i="35"/>
  <c r="E52" i="26"/>
  <c r="H52" i="26" s="1"/>
  <c r="H198" i="35"/>
  <c r="C53" i="26"/>
  <c r="I215" i="35"/>
  <c r="G52" i="26"/>
  <c r="I194" i="35"/>
  <c r="D52" i="26"/>
  <c r="I90" i="58"/>
  <c r="I90" i="41" s="1"/>
  <c r="I87" i="58"/>
  <c r="I87" i="41" s="1"/>
  <c r="I88" i="58"/>
  <c r="I88" i="41" s="1"/>
  <c r="I89" i="58"/>
  <c r="I89" i="41" s="1"/>
  <c r="J75" i="58"/>
  <c r="J75" i="41" s="1"/>
  <c r="J77" i="58"/>
  <c r="J77" i="41" s="1"/>
  <c r="J78" i="58"/>
  <c r="J78" i="41" s="1"/>
  <c r="J76" i="58"/>
  <c r="J76" i="41" s="1"/>
  <c r="I211" i="35"/>
  <c r="G51" i="26"/>
  <c r="H43" i="58"/>
  <c r="H43" i="41" s="1"/>
  <c r="H45" i="58"/>
  <c r="H45" i="41" s="1"/>
  <c r="H46" i="58"/>
  <c r="H46" i="41" s="1"/>
  <c r="H44" i="58"/>
  <c r="H44" i="41" s="1"/>
  <c r="J27" i="58"/>
  <c r="J28" i="58"/>
  <c r="J30" i="58"/>
  <c r="J29" i="58"/>
  <c r="I186" i="35"/>
  <c r="D50" i="26"/>
  <c r="I58" i="37"/>
  <c r="I56" i="37"/>
  <c r="I55" i="37"/>
  <c r="I57" i="37"/>
  <c r="J61" i="58"/>
  <c r="J60" i="58"/>
  <c r="J59" i="58"/>
  <c r="J62" i="58"/>
  <c r="I26" i="58"/>
  <c r="I23" i="58"/>
  <c r="I25" i="58"/>
  <c r="I24" i="58"/>
  <c r="J23" i="58"/>
  <c r="J25" i="58"/>
  <c r="J26" i="58"/>
  <c r="J24" i="58"/>
  <c r="G211" i="35"/>
  <c r="E51" i="26"/>
  <c r="H51" i="26" s="1"/>
  <c r="I202" i="35"/>
  <c r="D54" i="26"/>
  <c r="J71" i="58"/>
  <c r="J72" i="58"/>
  <c r="J74" i="58"/>
  <c r="J73" i="58"/>
  <c r="J58" i="37"/>
  <c r="J55" i="37"/>
  <c r="J56" i="37"/>
  <c r="J57" i="37"/>
  <c r="I29" i="58"/>
  <c r="I27" i="58"/>
  <c r="I28" i="58"/>
  <c r="I30" i="58"/>
  <c r="H54" i="58"/>
  <c r="H54" i="41" s="1"/>
  <c r="H53" i="58"/>
  <c r="H53" i="41" s="1"/>
  <c r="H51" i="58"/>
  <c r="H51" i="41" s="1"/>
  <c r="H52" i="58"/>
  <c r="H52" i="41" s="1"/>
  <c r="J55" i="58"/>
  <c r="J56" i="58"/>
  <c r="J58" i="58"/>
  <c r="J57" i="58"/>
  <c r="I62" i="37"/>
  <c r="I62" i="41" s="1"/>
  <c r="I60" i="37"/>
  <c r="I60" i="41" s="1"/>
  <c r="I61" i="37"/>
  <c r="I61" i="41" s="1"/>
  <c r="I59" i="37"/>
  <c r="I59" i="41" s="1"/>
  <c r="C54" i="26"/>
  <c r="H202" i="35"/>
  <c r="I37" i="58"/>
  <c r="I35" i="58"/>
  <c r="I36" i="58"/>
  <c r="I38" i="58"/>
  <c r="J21" i="37"/>
  <c r="J19" i="37"/>
  <c r="J20" i="37"/>
  <c r="J22" i="37"/>
  <c r="I40" i="37"/>
  <c r="I41" i="37"/>
  <c r="I39" i="37"/>
  <c r="I42" i="37"/>
  <c r="H211" i="35"/>
  <c r="F51" i="26"/>
  <c r="I22" i="58"/>
  <c r="I21" i="58"/>
  <c r="I19" i="58"/>
  <c r="I20" i="58"/>
  <c r="J91" i="58"/>
  <c r="J93" i="58"/>
  <c r="J92" i="58"/>
  <c r="J94" i="58"/>
  <c r="I46" i="37"/>
  <c r="I45" i="37"/>
  <c r="I43" i="37"/>
  <c r="I44" i="37"/>
  <c r="J46" i="37"/>
  <c r="J45" i="37"/>
  <c r="J43" i="37"/>
  <c r="J44" i="37"/>
  <c r="J69" i="37"/>
  <c r="J68" i="37"/>
  <c r="J67" i="37"/>
  <c r="J70" i="37"/>
  <c r="I43" i="58"/>
  <c r="I46" i="58"/>
  <c r="I45" i="58"/>
  <c r="I44" i="58"/>
  <c r="H39" i="58"/>
  <c r="H39" i="41" s="1"/>
  <c r="H42" i="58"/>
  <c r="H42" i="41" s="1"/>
  <c r="H40" i="58"/>
  <c r="H40" i="41" s="1"/>
  <c r="H41" i="58"/>
  <c r="H41" i="41" s="1"/>
  <c r="I24" i="37"/>
  <c r="I25" i="37"/>
  <c r="I23" i="37"/>
  <c r="I26" i="37"/>
  <c r="G207" i="35"/>
  <c r="E50" i="26"/>
  <c r="H50" i="26" s="1"/>
  <c r="I55" i="58"/>
  <c r="I56" i="58"/>
  <c r="I57" i="58"/>
  <c r="I58" i="58"/>
  <c r="I198" i="35"/>
  <c r="D53" i="26"/>
  <c r="J46" i="58"/>
  <c r="J44" i="58"/>
  <c r="J45" i="58"/>
  <c r="J43" i="58"/>
  <c r="J21" i="58"/>
  <c r="J20" i="58"/>
  <c r="J19" i="58"/>
  <c r="J22" i="58"/>
  <c r="J41" i="58"/>
  <c r="J42" i="58"/>
  <c r="J40" i="58"/>
  <c r="J39" i="58"/>
  <c r="H38" i="58"/>
  <c r="H38" i="41" s="1"/>
  <c r="H36" i="58"/>
  <c r="H36" i="41" s="1"/>
  <c r="H35" i="58"/>
  <c r="H35" i="41" s="1"/>
  <c r="H37" i="58"/>
  <c r="H37" i="41" s="1"/>
  <c r="I78" i="37"/>
  <c r="I77" i="37"/>
  <c r="I75" i="37"/>
  <c r="I76" i="37"/>
  <c r="I68" i="37"/>
  <c r="I69" i="37"/>
  <c r="I67" i="37"/>
  <c r="I70" i="37"/>
  <c r="J74" i="37"/>
  <c r="J73" i="37"/>
  <c r="J71" i="37"/>
  <c r="J72" i="37"/>
  <c r="G53" i="26"/>
  <c r="I219" i="35"/>
  <c r="I190" i="35"/>
  <c r="D51" i="26"/>
  <c r="J86" i="37"/>
  <c r="J85" i="37"/>
  <c r="J84" i="37"/>
  <c r="J83" i="37"/>
  <c r="G50" i="26"/>
  <c r="I207" i="35"/>
  <c r="I51" i="58"/>
  <c r="I54" i="58"/>
  <c r="I53" i="58"/>
  <c r="I52" i="58"/>
  <c r="H215" i="35"/>
  <c r="F52" i="26"/>
  <c r="I73" i="58"/>
  <c r="I73" i="41" s="1"/>
  <c r="I71" i="58"/>
  <c r="I71" i="41" s="1"/>
  <c r="I72" i="58"/>
  <c r="I72" i="41" s="1"/>
  <c r="I74" i="58"/>
  <c r="I74" i="41" s="1"/>
  <c r="H90" i="58"/>
  <c r="H90" i="41" s="1"/>
  <c r="H89" i="58"/>
  <c r="H89" i="41" s="1"/>
  <c r="H88" i="58"/>
  <c r="H88" i="41" s="1"/>
  <c r="H87" i="58"/>
  <c r="H87" i="41" s="1"/>
  <c r="H29" i="58"/>
  <c r="H29" i="41" s="1"/>
  <c r="H28" i="58"/>
  <c r="H28" i="41" s="1"/>
  <c r="H30" i="58"/>
  <c r="H30" i="41" s="1"/>
  <c r="H27" i="58"/>
  <c r="H27" i="41" s="1"/>
  <c r="G223" i="35"/>
  <c r="E54" i="26"/>
  <c r="H54" i="26" s="1"/>
  <c r="H20" i="58"/>
  <c r="H20" i="41" s="1"/>
  <c r="H19" i="58"/>
  <c r="H19" i="41" s="1"/>
  <c r="H22" i="58"/>
  <c r="H22" i="41" s="1"/>
  <c r="H21" i="58"/>
  <c r="H21" i="41" s="1"/>
  <c r="H223" i="35"/>
  <c r="F54" i="26"/>
  <c r="F53" i="26"/>
  <c r="H219" i="35"/>
  <c r="H25" i="58"/>
  <c r="H25" i="41" s="1"/>
  <c r="H23" i="58"/>
  <c r="H23" i="41" s="1"/>
  <c r="H24" i="58"/>
  <c r="H24" i="41" s="1"/>
  <c r="H26" i="58"/>
  <c r="H26" i="41" s="1"/>
  <c r="H190" i="35"/>
  <c r="C51" i="26"/>
  <c r="J94" i="37"/>
  <c r="J93" i="37"/>
  <c r="J92" i="37"/>
  <c r="J91" i="37"/>
  <c r="J84" i="58"/>
  <c r="J86" i="58"/>
  <c r="J83" i="58"/>
  <c r="J85" i="58"/>
  <c r="H77" i="58"/>
  <c r="H77" i="41" s="1"/>
  <c r="H78" i="58"/>
  <c r="H78" i="41" s="1"/>
  <c r="H75" i="58"/>
  <c r="H75" i="41" s="1"/>
  <c r="H76" i="58"/>
  <c r="H76" i="41" s="1"/>
  <c r="J68" i="58"/>
  <c r="J70" i="58"/>
  <c r="J67" i="58"/>
  <c r="J69" i="58"/>
  <c r="J59" i="37"/>
  <c r="J61" i="37"/>
  <c r="J62" i="37"/>
  <c r="J60" i="37"/>
  <c r="J38" i="58"/>
  <c r="J37" i="58"/>
  <c r="J35" i="58"/>
  <c r="J36" i="58"/>
  <c r="I76" i="58"/>
  <c r="I77" i="58"/>
  <c r="I78" i="58"/>
  <c r="I75" i="58"/>
  <c r="H186" i="35"/>
  <c r="C50" i="26"/>
  <c r="I52" i="37"/>
  <c r="I51" i="37"/>
  <c r="I54" i="37"/>
  <c r="I53" i="37"/>
  <c r="H69" i="58"/>
  <c r="H69" i="41" s="1"/>
  <c r="H67" i="58"/>
  <c r="H67" i="41" s="1"/>
  <c r="H70" i="58"/>
  <c r="H70" i="41" s="1"/>
  <c r="H68" i="58"/>
  <c r="H68" i="41" s="1"/>
  <c r="I223" i="35"/>
  <c r="G54" i="26"/>
  <c r="I83" i="58"/>
  <c r="I85" i="58"/>
  <c r="I84" i="58"/>
  <c r="I86" i="58"/>
  <c r="J24" i="37"/>
  <c r="J25" i="37"/>
  <c r="J23" i="37"/>
  <c r="J26" i="37"/>
  <c r="I86" i="41" l="1"/>
  <c r="J62" i="41"/>
  <c r="J67" i="41"/>
  <c r="J68" i="41"/>
  <c r="J94" i="41"/>
  <c r="J59" i="41"/>
  <c r="J72" i="41"/>
  <c r="I67" i="41"/>
  <c r="I35" i="41"/>
  <c r="J26" i="41"/>
  <c r="J93" i="41"/>
  <c r="J71" i="41"/>
  <c r="J91" i="41"/>
  <c r="J24" i="41"/>
  <c r="I84" i="41"/>
  <c r="I41" i="41"/>
  <c r="J74" i="41"/>
  <c r="I40" i="41"/>
  <c r="I50" i="26"/>
  <c r="I70" i="41"/>
  <c r="I24" i="41"/>
  <c r="J51" i="26"/>
  <c r="I56" i="41"/>
  <c r="I36" i="41"/>
  <c r="J23" i="41"/>
  <c r="I46" i="41"/>
  <c r="I37" i="41"/>
  <c r="J60" i="41"/>
  <c r="I39" i="41"/>
  <c r="I85" i="41"/>
  <c r="J30" i="41"/>
  <c r="J61" i="41"/>
  <c r="I68" i="41"/>
  <c r="J56" i="41"/>
  <c r="J52" i="26"/>
  <c r="J25" i="41"/>
  <c r="I43" i="41"/>
  <c r="J73" i="41"/>
  <c r="J54" i="26"/>
  <c r="J85" i="41"/>
  <c r="I69" i="41"/>
  <c r="I58" i="41"/>
  <c r="J43" i="41"/>
  <c r="H79" i="58"/>
  <c r="H79" i="41" s="1"/>
  <c r="H81" i="58"/>
  <c r="H81" i="41" s="1"/>
  <c r="H82" i="58"/>
  <c r="H82" i="41" s="1"/>
  <c r="H80" i="58"/>
  <c r="H80" i="41" s="1"/>
  <c r="J64" i="37"/>
  <c r="J63" i="37"/>
  <c r="J66" i="37"/>
  <c r="J65" i="37"/>
  <c r="H49" i="58"/>
  <c r="H49" i="41" s="1"/>
  <c r="H50" i="58"/>
  <c r="H50" i="41" s="1"/>
  <c r="H48" i="58"/>
  <c r="H48" i="41" s="1"/>
  <c r="H47" i="58"/>
  <c r="H47" i="41" s="1"/>
  <c r="I50" i="37"/>
  <c r="I49" i="37"/>
  <c r="I47" i="37"/>
  <c r="I48" i="37"/>
  <c r="I30" i="41"/>
  <c r="J86" i="41"/>
  <c r="J44" i="41"/>
  <c r="J22" i="41"/>
  <c r="J82" i="37"/>
  <c r="J79" i="37"/>
  <c r="J81" i="37"/>
  <c r="J80" i="37"/>
  <c r="I21" i="41"/>
  <c r="I63" i="58"/>
  <c r="I65" i="58"/>
  <c r="I64" i="58"/>
  <c r="I66" i="58"/>
  <c r="I76" i="41"/>
  <c r="J20" i="41"/>
  <c r="I22" i="41"/>
  <c r="J27" i="41"/>
  <c r="I48" i="58"/>
  <c r="I50" i="58"/>
  <c r="I50" i="41" s="1"/>
  <c r="I49" i="58"/>
  <c r="I47" i="58"/>
  <c r="J34" i="37"/>
  <c r="J31" i="37"/>
  <c r="J33" i="37"/>
  <c r="J32" i="37"/>
  <c r="I75" i="41"/>
  <c r="J45" i="41"/>
  <c r="J19" i="41"/>
  <c r="H33" i="58"/>
  <c r="H33" i="41" s="1"/>
  <c r="H34" i="58"/>
  <c r="H34" i="41" s="1"/>
  <c r="H32" i="58"/>
  <c r="H32" i="41" s="1"/>
  <c r="H31" i="58"/>
  <c r="H31" i="41" s="1"/>
  <c r="I19" i="41"/>
  <c r="J28" i="41"/>
  <c r="I52" i="41"/>
  <c r="J66" i="58"/>
  <c r="J63" i="58"/>
  <c r="J64" i="58"/>
  <c r="J65" i="58"/>
  <c r="I77" i="41"/>
  <c r="J46" i="41"/>
  <c r="J21" i="41"/>
  <c r="J57" i="41"/>
  <c r="I20" i="41"/>
  <c r="I83" i="41"/>
  <c r="J29" i="41"/>
  <c r="J92" i="41"/>
  <c r="I81" i="58"/>
  <c r="I80" i="58"/>
  <c r="I82" i="58"/>
  <c r="I79" i="58"/>
  <c r="I53" i="41"/>
  <c r="I78" i="41"/>
  <c r="I44" i="41"/>
  <c r="I38" i="41"/>
  <c r="I57" i="41"/>
  <c r="J42" i="41"/>
  <c r="J36" i="41"/>
  <c r="I54" i="41"/>
  <c r="J55" i="41"/>
  <c r="I55" i="41"/>
  <c r="J49" i="37"/>
  <c r="J48" i="37"/>
  <c r="J47" i="37"/>
  <c r="J50" i="37"/>
  <c r="I18" i="58"/>
  <c r="I15" i="58"/>
  <c r="I17" i="58"/>
  <c r="I16" i="58"/>
  <c r="J40" i="41"/>
  <c r="J37" i="41"/>
  <c r="H65" i="58"/>
  <c r="H65" i="41" s="1"/>
  <c r="H63" i="58"/>
  <c r="H63" i="41" s="1"/>
  <c r="H64" i="58"/>
  <c r="H64" i="41" s="1"/>
  <c r="H66" i="58"/>
  <c r="H66" i="41" s="1"/>
  <c r="I51" i="41"/>
  <c r="I45" i="41"/>
  <c r="I51" i="26"/>
  <c r="J58" i="41"/>
  <c r="J39" i="41"/>
  <c r="J35" i="41"/>
  <c r="J17" i="58"/>
  <c r="J15" i="58"/>
  <c r="J18" i="58"/>
  <c r="J16" i="58"/>
  <c r="H18" i="58"/>
  <c r="H18" i="41" s="1"/>
  <c r="H16" i="58"/>
  <c r="H17" i="58"/>
  <c r="H15" i="58"/>
  <c r="I34" i="58"/>
  <c r="I32" i="58"/>
  <c r="I33" i="58"/>
  <c r="I31" i="58"/>
  <c r="J33" i="58"/>
  <c r="J31" i="58"/>
  <c r="J32" i="58"/>
  <c r="J34" i="58"/>
  <c r="J49" i="58"/>
  <c r="J50" i="58"/>
  <c r="J47" i="58"/>
  <c r="J48" i="58"/>
  <c r="J41" i="41"/>
  <c r="J38" i="41"/>
  <c r="I32" i="37"/>
  <c r="I31" i="37"/>
  <c r="I33" i="37"/>
  <c r="I34" i="37"/>
  <c r="I26" i="41"/>
  <c r="J70" i="41"/>
  <c r="I42" i="41"/>
  <c r="I82" i="37"/>
  <c r="I81" i="37"/>
  <c r="I80" i="37"/>
  <c r="I79" i="37"/>
  <c r="J50" i="26"/>
  <c r="I53" i="26"/>
  <c r="I29" i="41"/>
  <c r="I18" i="37"/>
  <c r="I15" i="37"/>
  <c r="I16" i="37"/>
  <c r="I17" i="37"/>
  <c r="J83" i="41"/>
  <c r="I54" i="26"/>
  <c r="I25" i="41"/>
  <c r="J15" i="37"/>
  <c r="J17" i="37"/>
  <c r="J18" i="37"/>
  <c r="J16" i="37"/>
  <c r="I63" i="37"/>
  <c r="I64" i="37"/>
  <c r="I66" i="37"/>
  <c r="I65" i="37"/>
  <c r="I28" i="41"/>
  <c r="J79" i="58"/>
  <c r="J81" i="58"/>
  <c r="J82" i="58"/>
  <c r="J80" i="58"/>
  <c r="J69" i="41"/>
  <c r="J84" i="41"/>
  <c r="J53" i="26"/>
  <c r="I23" i="41"/>
  <c r="I52" i="26"/>
  <c r="I27" i="41"/>
  <c r="C58" i="63" l="1"/>
  <c r="C28" i="63"/>
  <c r="I34" i="41"/>
  <c r="I18" i="41"/>
  <c r="C48" i="63"/>
  <c r="C18" i="63"/>
  <c r="J63" i="41"/>
  <c r="C38" i="63"/>
  <c r="I81" i="41"/>
  <c r="I33" i="41"/>
  <c r="J66" i="41"/>
  <c r="I32" i="41"/>
  <c r="I80" i="41"/>
  <c r="I82" i="41"/>
  <c r="J65" i="41"/>
  <c r="J64" i="41"/>
  <c r="J80" i="41"/>
  <c r="H15" i="41"/>
  <c r="H424" i="58"/>
  <c r="H424" i="41" s="1"/>
  <c r="H423" i="58"/>
  <c r="J50" i="41"/>
  <c r="J81" i="41"/>
  <c r="H17" i="41"/>
  <c r="J47" i="41"/>
  <c r="J424" i="37"/>
  <c r="F145" i="66" s="1"/>
  <c r="J79" i="41"/>
  <c r="I17" i="41"/>
  <c r="H16" i="41"/>
  <c r="J48" i="41"/>
  <c r="J82" i="41"/>
  <c r="I16" i="41"/>
  <c r="J49" i="41"/>
  <c r="I15" i="41"/>
  <c r="I423" i="37"/>
  <c r="J16" i="41"/>
  <c r="J32" i="41"/>
  <c r="I66" i="41"/>
  <c r="J18" i="41"/>
  <c r="J33" i="41"/>
  <c r="I64" i="41"/>
  <c r="I31" i="41"/>
  <c r="J424" i="58"/>
  <c r="E35" i="53" s="1"/>
  <c r="F35" i="53" s="1"/>
  <c r="J423" i="58"/>
  <c r="J31" i="41"/>
  <c r="I65" i="41"/>
  <c r="J17" i="41"/>
  <c r="J34" i="41"/>
  <c r="I63" i="41"/>
  <c r="I48" i="41"/>
  <c r="I47" i="41"/>
  <c r="I424" i="37"/>
  <c r="F97" i="66" s="1"/>
  <c r="I79" i="41"/>
  <c r="I49" i="41"/>
  <c r="J15" i="41"/>
  <c r="J423" i="37"/>
  <c r="I423" i="58"/>
  <c r="I424" i="58"/>
  <c r="F241" i="66" s="1"/>
  <c r="E23" i="53" l="1"/>
  <c r="F23" i="53" s="1"/>
  <c r="H17" i="53" s="1"/>
  <c r="J425" i="37"/>
  <c r="F146" i="66"/>
  <c r="E335" i="38"/>
  <c r="M146" i="66" s="1"/>
  <c r="E11" i="53"/>
  <c r="F11" i="53" s="1"/>
  <c r="F289" i="66"/>
  <c r="F193" i="66"/>
  <c r="I424" i="41"/>
  <c r="E299" i="38"/>
  <c r="M194" i="66" s="1"/>
  <c r="H423" i="41"/>
  <c r="F194" i="66"/>
  <c r="H425" i="58"/>
  <c r="I425" i="37"/>
  <c r="F98" i="66"/>
  <c r="E311" i="38"/>
  <c r="M98" i="66" s="1"/>
  <c r="J423" i="41"/>
  <c r="F290" i="66"/>
  <c r="J425" i="58"/>
  <c r="E347" i="38"/>
  <c r="M290" i="66" s="1"/>
  <c r="H29" i="53"/>
  <c r="E17" i="53"/>
  <c r="F17" i="53" s="1"/>
  <c r="I423" i="41"/>
  <c r="I425" i="58"/>
  <c r="F242" i="66"/>
  <c r="E323" i="38"/>
  <c r="M242" i="66" s="1"/>
  <c r="E29" i="53"/>
  <c r="F29" i="53" s="1"/>
  <c r="H35" i="53" s="1"/>
  <c r="G35" i="53" s="1"/>
  <c r="E341" i="38" s="1"/>
  <c r="J424" i="41"/>
  <c r="C49" i="63" l="1"/>
  <c r="C42" i="63"/>
  <c r="C19" i="63"/>
  <c r="C12" i="63"/>
  <c r="C39" i="63"/>
  <c r="C32" i="63"/>
  <c r="C29" i="63"/>
  <c r="C22" i="63"/>
  <c r="C59" i="63"/>
  <c r="C52" i="63"/>
  <c r="N98" i="66"/>
  <c r="J484" i="58"/>
  <c r="L289" i="66"/>
  <c r="P289" i="66" s="1"/>
  <c r="I425" i="41"/>
  <c r="N3" i="41" s="1"/>
  <c r="G17" i="53"/>
  <c r="E305" i="38" s="1"/>
  <c r="H23" i="53"/>
  <c r="G23" i="53" s="1"/>
  <c r="E317" i="38" s="1"/>
  <c r="H425" i="41"/>
  <c r="M3" i="41" s="1"/>
  <c r="N194" i="66"/>
  <c r="G29" i="53"/>
  <c r="E329" i="38" s="1"/>
  <c r="N146" i="66"/>
  <c r="J425" i="41"/>
  <c r="O3" i="41" s="1"/>
  <c r="N290" i="66"/>
  <c r="N242" i="66"/>
  <c r="Z242" i="66" s="1"/>
  <c r="H5" i="53"/>
  <c r="G5" i="53" s="1"/>
  <c r="E281" i="38" s="1"/>
  <c r="G11" i="53"/>
  <c r="E293" i="38" s="1"/>
  <c r="N289" i="66" l="1"/>
  <c r="I484" i="58"/>
  <c r="L241" i="66"/>
  <c r="L97" i="66"/>
  <c r="I484" i="37"/>
  <c r="L193" i="66"/>
  <c r="H484" i="58"/>
  <c r="Z290" i="66"/>
  <c r="Y146" i="66"/>
  <c r="Y290" i="66"/>
  <c r="Z146" i="66"/>
  <c r="L49" i="66"/>
  <c r="H484" i="37"/>
  <c r="J484" i="37"/>
  <c r="J484" i="41" s="1"/>
  <c r="L145" i="66"/>
  <c r="Z98" i="66"/>
  <c r="Y194" i="66"/>
  <c r="Z50" i="66"/>
  <c r="Z194" i="66"/>
  <c r="Y50" i="66"/>
  <c r="Y98" i="66"/>
  <c r="Y242" i="66"/>
  <c r="H484" i="41" l="1"/>
  <c r="I484" i="41"/>
  <c r="R193" i="66"/>
  <c r="T193" i="66" s="1"/>
  <c r="P193" i="66"/>
  <c r="V193" i="66" s="1"/>
  <c r="X193" i="66" s="1"/>
  <c r="N193" i="66"/>
  <c r="P145" i="66"/>
  <c r="N145" i="66"/>
  <c r="P97" i="66"/>
  <c r="N97" i="66"/>
  <c r="P241" i="66"/>
  <c r="N241" i="66"/>
  <c r="P49" i="66"/>
  <c r="V49" i="66" s="1"/>
  <c r="X49" i="66" s="1"/>
  <c r="R49" i="66"/>
  <c r="T49" i="66" s="1"/>
  <c r="N49" i="66"/>
  <c r="O241" i="66" l="1"/>
  <c r="U241" i="66" s="1"/>
  <c r="O97" i="66"/>
  <c r="Y241" i="66"/>
  <c r="Z241" i="66"/>
  <c r="Z97" i="66"/>
  <c r="Y97" i="66"/>
  <c r="O145" i="66"/>
  <c r="Y289" i="66"/>
  <c r="Y145" i="66"/>
  <c r="Z289" i="66"/>
  <c r="Z145" i="66"/>
  <c r="O289" i="66"/>
  <c r="O193" i="66"/>
  <c r="Z193" i="66"/>
  <c r="Y193" i="66"/>
  <c r="O49" i="66"/>
  <c r="Y49" i="66"/>
  <c r="Z49" i="66"/>
  <c r="Q241" i="66" l="1"/>
  <c r="R241" i="66" s="1"/>
  <c r="T241" i="66" s="1"/>
  <c r="V241" i="66"/>
  <c r="X241" i="66" s="1"/>
  <c r="V145" i="66"/>
  <c r="X145" i="66" s="1"/>
  <c r="Q145" i="66"/>
  <c r="R145" i="66" s="1"/>
  <c r="T145" i="66" s="1"/>
  <c r="U145" i="66"/>
  <c r="Q49" i="66"/>
  <c r="U49" i="66"/>
  <c r="Q97" i="66"/>
  <c r="R97" i="66" s="1"/>
  <c r="T97" i="66" s="1"/>
  <c r="U97" i="66"/>
  <c r="V97" i="66"/>
  <c r="X97" i="66" s="1"/>
  <c r="U193" i="66"/>
  <c r="Q193" i="66"/>
  <c r="U289" i="66"/>
  <c r="Q289" i="66"/>
  <c r="R289" i="66" s="1"/>
  <c r="T289" i="66" s="1"/>
  <c r="V289" i="66"/>
  <c r="X289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<sst xmlns="http://schemas.openxmlformats.org/spreadsheetml/2006/main" count="4759" uniqueCount="341">
  <si>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</si>
  <si>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</si>
  <si>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</si>
  <si>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</si>
  <si>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</si>
  <si>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</si>
  <si>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</si>
  <si>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</si>
  <si>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</si>
  <si>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</si>
  <si>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</si>
  <si>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</si>
  <si>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</si>
  <si>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</si>
  <si>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</si>
  <si>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</si>
  <si>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</si>
  <si>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</si>
  <si>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</si>
  <si>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</si>
  <si>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</si>
  <si>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</si>
  <si>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</si>
  <si>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</si>
  <si>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</si>
  <si>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</si>
  <si>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</si>
  <si>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</si>
  <si>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</si>
  <si>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</si>
  <si>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</si>
  <si>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</si>
  <si>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</si>
  <si>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</si>
  <si>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</si>
  <si>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</si>
  <si>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</si>
  <si>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</si>
  <si>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</si>
  <si>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</si>
  <si>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</si>
  <si>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</si>
  <si>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</si>
  <si>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</si>
  <si>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</si>
  <si>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</si>
  <si>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</si>
  <si>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</si>
  <si>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</si>
  <si>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</si>
  <si>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</si>
  <si>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</si>
  <si>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</si>
  <si>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</si>
  <si>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</si>
  <si>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</si>
  <si>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</si>
  <si>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</si>
  <si>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</si>
  <si>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</si>
  <si>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</si>
  <si>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</si>
  <si>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</si>
  <si>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</si>
  <si>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</si>
  <si>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</si>
  <si>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</si>
  <si>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</si>
  <si>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</si>
  <si>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</si>
  <si>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</si>
  <si>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</si>
  <si>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</si>
  <si>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</si>
  <si>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</si>
  <si>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</si>
  <si>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</si>
  <si>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</si>
  <si>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</si>
  <si>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</si>
  <si>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</si>
  <si>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</si>
  <si>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</si>
  <si>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</si>
  <si>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</si>
  <si>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</si>
  <si>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</si>
  <si>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</si>
  <si>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</si>
  <si>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</si>
  <si>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</si>
  <si>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</si>
  <si>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</si>
  <si>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</si>
  <si>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</si>
  <si>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</si>
  <si>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</si>
  <si>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</si>
  <si>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</si>
  <si>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</si>
  <si>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</si>
  <si>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</si>
  <si>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</si>
  <si>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</si>
  <si>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</si>
  <si>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</si>
  <si>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</si>
  <si>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</si>
  <si>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</si>
  <si>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</si>
  <si>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</si>
  <si>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</si>
  <si>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</si>
  <si>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</si>
  <si>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</si>
  <si>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</si>
  <si>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</si>
  <si>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</si>
  <si>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</si>
  <si>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</si>
  <si>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</si>
  <si>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</si>
  <si>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</si>
  <si>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</si>
  <si>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</si>
  <si>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</si>
  <si>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</si>
  <si>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</si>
  <si>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</si>
  <si>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</si>
  <si>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</si>
  <si>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</si>
  <si>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</si>
  <si>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</si>
  <si>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</si>
  <si>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</si>
  <si>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</si>
  <si>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</si>
  <si>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</si>
  <si>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</si>
  <si>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</si>
  <si>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</si>
  <si>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</si>
  <si>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</si>
  <si>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</si>
  <si>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</si>
  <si>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</si>
  <si>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</si>
  <si>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</si>
  <si>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</si>
  <si>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</si>
  <si>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</si>
  <si>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</si>
  <si>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</si>
  <si>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</si>
  <si>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</si>
  <si>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</si>
  <si>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</si>
  <si>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</si>
  <si>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</si>
  <si>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</si>
  <si>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</si>
  <si>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</si>
  <si>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</si>
  <si>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</si>
  <si>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</si>
  <si>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</si>
  <si>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</si>
  <si>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</si>
  <si>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</si>
  <si>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</si>
  <si>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</si>
  <si>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</si>
  <si>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</si>
  <si>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</si>
  <si>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</si>
  <si>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</si>
  <si>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</si>
  <si>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</si>
  <si>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</si>
  <si>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</si>
  <si>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</si>
  <si>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</si>
  <si>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</si>
  <si>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</si>
  <si>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</si>
  <si>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</si>
  <si>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</si>
  <si>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</si>
  <si>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</si>
  <si>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</si>
  <si>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</si>
  <si>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</si>
  <si>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</si>
  <si>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</si>
  <si>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</si>
  <si>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</si>
  <si>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</si>
  <si>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</si>
  <si>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</si>
  <si>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</si>
  <si>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</si>
  <si>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</si>
  <si>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</si>
  <si>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</si>
  <si>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</si>
  <si>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</si>
  <si>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</si>
  <si>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</si>
  <si>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</si>
  <si>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</si>
  <si>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</si>
  <si>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</si>
  <si>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</si>
  <si>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</si>
  <si>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</si>
  <si>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</si>
  <si>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</si>
  <si>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</si>
  <si>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</si>
  <si>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</si>
  <si>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</si>
  <si>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</si>
  <si>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</si>
  <si>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</si>
  <si>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</si>
  <si>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</si>
  <si>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</si>
  <si>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</si>
  <si>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</si>
  <si>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</si>
  <si>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</si>
  <si>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</si>
  <si>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</si>
  <si>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</si>
  <si>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</si>
  <si>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</si>
  <si>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</si>
  <si>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</si>
  <si>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</si>
  <si>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</si>
  <si>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</si>
  <si>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</si>
  <si>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</si>
  <si>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</si>
  <si>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</si>
  <si>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</si>
  <si>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</si>
  <si>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</si>
  <si>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</si>
  <si>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</si>
  <si>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</si>
  <si>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</si>
  <si>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</si>
  <si>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</si>
  <si>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</si>
  <si>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</si>
  <si>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</si>
  <si>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</si>
  <si>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</si>
  <si>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</si>
  <si>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</si>
  <si>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</si>
  <si>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</si>
  <si>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</si>
  <si>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</si>
  <si>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</si>
  <si>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</si>
  <si>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</si>
  <si>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</si>
  <si>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</si>
  <si>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</si>
  <si>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</si>
  <si>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</si>
  <si>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</si>
  <si>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</si>
  <si>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</si>
  <si>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</si>
  <si>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</si>
  <si>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</si>
  <si>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</si>
  <si>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</si>
  <si>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</si>
  <si>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</si>
  <si>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</si>
  <si>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</si>
  <si>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</si>
  <si>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</si>
  <si>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</si>
  <si>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</si>
  <si>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</si>
  <si>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</si>
  <si>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</si>
  <si>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</si>
  <si>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</si>
  <si>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</si>
  <si>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</si>
  <si>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</si>
  <si>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</si>
  <si>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</si>
  <si>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</si>
  <si>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</si>
  <si>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</si>
  <si>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</si>
  <si>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</si>
  <si>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</si>
  <si>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</si>
  <si>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</si>
  <si>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</si>
  <si>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</si>
  <si>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</si>
  <si>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</si>
  <si>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</si>
  <si>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</si>
  <si>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</si>
  <si>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</si>
  <si>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</si>
  <si>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</si>
  <si>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</si>
  <si>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</si>
  <si>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</si>
  <si>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</si>
  <si>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</si>
  <si>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</si>
  <si>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</si>
  <si>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</si>
  <si>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</si>
  <si>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</si>
  <si>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</si>
  <si>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</si>
  <si>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</si>
  <si>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</si>
  <si>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</si>
  <si>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</si>
  <si>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</si>
  <si>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</si>
  <si>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</si>
  <si>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70.000 ha lavbundsjorde vådlægges uden høst af biomasse</t>
  </si>
  <si>
    <t>Landbrug til natur</t>
  </si>
  <si>
    <t>50% af 17,000 ha omlægges til natur</t>
  </si>
  <si>
    <t>Ekstensiveringsscenariet fra MFVM-projekt plus 20% husdyrhold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</si>
</sst>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60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0" fontId="0" fillId="2" borderId="0" xfId="0" applyNumberFormat="1" applyFill="1" applyBorder="1"/>
    <xf numFmtId="10" fontId="0" fillId="2" borderId="0" xfId="0" applyNumberFormat="1" applyFill="1"/>
    <xf numFmtId="9" fontId="0" fillId="3" borderId="1" xfId="2" applyNumberFormat="1" applyFon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[Scenarie_Ekstensiveringsscenariep20.xlsm]Arealanvendelse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2438269.9999999995</c:v>
                </c:pt>
                <c:pt idx="2">
                  <c:v>2326270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551420</c:v>
                </c:pt>
                <c:pt idx="2">
                  <c:v>551420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[Scenarie_Ekstensiveringsscenariep20.xlsm]CO2-pivot!PivotTable1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6558583.8623992102</c:v>
                </c:pt>
                <c:pt idx="2">
                  <c:v>6441255.8287903955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7550802.4044669205</c:v>
                </c:pt>
                <c:pt idx="2">
                  <c:v>7298722.430061643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-644042.74351643643</c:v>
                </c:pt>
                <c:pt idx="2">
                  <c:v>-561892.75060918764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12001553.20445985</c:v>
                </c:pt>
                <c:pt idx="2">
                  <c:v>10471066.266458454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[Scenarie_Ekstensiveringsscenariep20.xlsm]Pivot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73355.65559030803</c:v>
                </c:pt>
                <c:pt idx="2">
                  <c:v>69886.312921356031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4800.5763036916524</c:v>
                </c:pt>
                <c:pt idx="2">
                  <c:v>4573.1948696079771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611635.55330061878</c:v>
                </c:pt>
                <c:pt idx="2">
                  <c:v>583084.65144162241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12188.369316877988</c:v>
                </c:pt>
                <c:pt idx="2">
                  <c:v>11605.287622279115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17979.036904897468</c:v>
                </c:pt>
                <c:pt idx="2">
                  <c:v>17129.300187766592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52180.214949630557</c:v>
                </c:pt>
                <c:pt idx="2">
                  <c:v>49727.719169388787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955894.59838454169</c:v>
                </c:pt>
                <c:pt idx="2">
                  <c:v>910758.59838454146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161292.62837529014</c:v>
                </c:pt>
                <c:pt idx="2">
                  <c:v>153676.62837529014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66253.853061968635</c:v>
                </c:pt>
                <c:pt idx="2">
                  <c:v>63121.361997482541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120314.65968415652</c:v>
                </c:pt>
                <c:pt idx="2">
                  <c:v>114602.65968415646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31449.965814834726</c:v>
                </c:pt>
                <c:pt idx="2">
                  <c:v>29941.671625575891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226191.23191640226</c:v>
                </c:pt>
                <c:pt idx="2">
                  <c:v>218264.67415784561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7387.694680383488</c:v>
                </c:pt>
                <c:pt idx="2">
                  <c:v>7060.9336186244273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97664.580818476839</c:v>
                </c:pt>
                <c:pt idx="2">
                  <c:v>93140.306399637528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[Scenarie_Ekstensiveringsscenariep20.xlsm]Resultat-Potentiale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20.512558371303609</c:v>
                </c:pt>
                <c:pt idx="2">
                  <c:v>20.661139806891022</c:v>
                </c:pt>
                <c:pt idx="3">
                  <c:v>7.483154704207001</c:v>
                </c:pt>
                <c:pt idx="4">
                  <c:v>5.3771116295107078</c:v>
                </c:pt>
                <c:pt idx="5">
                  <c:v>5.4217294175270894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35.472509701222052</c:v>
                </c:pt>
                <c:pt idx="2">
                  <c:v>33.386021609279233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16.736893025642814</c:v>
                </c:pt>
                <c:pt idx="2">
                  <c:v>12.646092892092287</c:v>
                </c:pt>
                <c:pt idx="3">
                  <c:v>0.45076703431999998</c:v>
                </c:pt>
                <c:pt idx="4">
                  <c:v>0.45076703432000031</c:v>
                </c:pt>
                <c:pt idx="5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2.6373465447929307</c:v>
                </c:pt>
                <c:pt idx="2">
                  <c:v>3.1495237545982597</c:v>
                </c:pt>
                <c:pt idx="3">
                  <c:v>5.0922829580050024</c:v>
                </c:pt>
                <c:pt idx="4">
                  <c:v>18.957916378438938</c:v>
                </c:pt>
                <c:pt idx="5">
                  <c:v>17.624482577499553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5.7716862989217699</c:v>
                </c:pt>
                <c:pt idx="2">
                  <c:v>5.3793498791113672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44.595115183387243</c:v>
                </c:pt>
                <c:pt idx="2">
                  <c:v>40.928955861930156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[Scenarie_Ekstensiveringsscenariep20.xlsm]Resultat-Tørstof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1205982.4263481963</c:v>
                </c:pt>
                <c:pt idx="2">
                  <c:v>1225152.563565427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5153950.8401187295</c:v>
                </c:pt>
                <c:pt idx="2">
                  <c:v>4888102.3960037343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1442132.5783359441</c:v>
                </c:pt>
                <c:pt idx="2">
                  <c:v>1105711.7903077924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2915933.6770836636</c:v>
                </c:pt>
                <c:pt idx="2">
                  <c:v>2829733.4002903248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1483522.0930239339</c:v>
                </c:pt>
                <c:pt idx="2">
                  <c:v>1360695.4007436582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[Scenarie_Ekstensiveringsscenariep20.xlsm]Resultat-Forbrug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82257.974380356929</c:v>
                </c:pt>
                <c:pt idx="5">
                  <c:v>82257.974380356929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1970290.5915271789</c:v>
                </c:pt>
                <c:pt idx="2">
                  <c:v>2352924.394303869</c:v>
                </c:pt>
                <c:pt idx="15">
                  <c:v>823764.99285714305</c:v>
                </c:pt>
                <c:pt idx="16">
                  <c:v>745895.72393528919</c:v>
                </c:pt>
                <c:pt idx="17">
                  <c:v>890749.94927217893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10371.219535128512</c:v>
                </c:pt>
                <c:pt idx="2">
                  <c:v>11785.000508089443</c:v>
                </c:pt>
                <c:pt idx="15">
                  <c:v>4441.5</c:v>
                </c:pt>
                <c:pt idx="16">
                  <c:v>1152.3577261253899</c:v>
                </c:pt>
                <c:pt idx="17">
                  <c:v>1309.4445008988266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85676.999999999985</c:v>
                </c:pt>
                <c:pt idx="1">
                  <c:v>85676.999999999985</c:v>
                </c:pt>
                <c:pt idx="2">
                  <c:v>85677.000000000015</c:v>
                </c:pt>
                <c:pt idx="3">
                  <c:v>13739757.985270014</c:v>
                </c:pt>
                <c:pt idx="4">
                  <c:v>16503079.727084301</c:v>
                </c:pt>
                <c:pt idx="5">
                  <c:v>16503079.727084301</c:v>
                </c:pt>
                <c:pt idx="18">
                  <c:v>0</c:v>
                </c:pt>
                <c:pt idx="19">
                  <c:v>1705800.1058199655</c:v>
                </c:pt>
                <c:pt idx="20">
                  <c:v>2015945.5796054134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75934</c:v>
                </c:pt>
                <c:pt idx="1">
                  <c:v>75934.000000000058</c:v>
                </c:pt>
                <c:pt idx="2">
                  <c:v>75934</c:v>
                </c:pt>
                <c:pt idx="3">
                  <c:v>867975.34157733875</c:v>
                </c:pt>
                <c:pt idx="4">
                  <c:v>1031643.7358034013</c:v>
                </c:pt>
                <c:pt idx="5">
                  <c:v>1031643.7358034012</c:v>
                </c:pt>
                <c:pt idx="9">
                  <c:v>1893765.2125355615</c:v>
                </c:pt>
                <c:pt idx="10">
                  <c:v>1619311.786277581</c:v>
                </c:pt>
                <c:pt idx="11">
                  <c:v>1223522.6238915203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6498561.357003523</c:v>
                </c:pt>
                <c:pt idx="5">
                  <c:v>6498561.3570035212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720406.99999999988</c:v>
                </c:pt>
                <c:pt idx="2">
                  <c:v>707407.00000000012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7129869.4034788422</c:v>
                </c:pt>
                <c:pt idx="5">
                  <c:v>6931817.4756044289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14475253.607270831</c:v>
                </c:pt>
                <c:pt idx="2">
                  <c:v>13204805.620490521</c:v>
                </c:pt>
                <c:pt idx="15">
                  <c:v>9696490.333333334</c:v>
                </c:pt>
                <c:pt idx="16">
                  <c:v>1608361.5119189806</c:v>
                </c:pt>
                <c:pt idx="17">
                  <c:v>1467200.6244989464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2035052.193167039</c:v>
                </c:pt>
                <c:pt idx="5">
                  <c:v>2035052.1931670387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</c:v>
                </c:pt>
                <c:pt idx="1">
                  <c:v>330026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6727404.2705273991</c:v>
                </c:pt>
                <c:pt idx="5">
                  <c:v>6727404.2705273982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678407.81727843033</c:v>
                </c:pt>
                <c:pt idx="22">
                  <c:v>515329.13383230095</c:v>
                </c:pt>
                <c:pt idx="23">
                  <c:v>480299.09634922922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28645.000000000004</c:v>
                </c:pt>
                <c:pt idx="1">
                  <c:v>28645.000000000004</c:v>
                </c:pt>
                <c:pt idx="2">
                  <c:v>28645</c:v>
                </c:pt>
                <c:pt idx="3">
                  <c:v>944413.49448565592</c:v>
                </c:pt>
                <c:pt idx="4">
                  <c:v>1170306.635502351</c:v>
                </c:pt>
                <c:pt idx="5">
                  <c:v>1170306.635502351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51847.450518528014</c:v>
                </c:pt>
                <c:pt idx="5">
                  <c:v>51847.450518528007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2783133.6777961077</c:v>
                </c:pt>
                <c:pt idx="2">
                  <c:v>2894519.9802057594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17135107.567292936</c:v>
                </c:pt>
                <c:pt idx="2">
                  <c:v>13617921.326007361</c:v>
                </c:pt>
                <c:pt idx="15">
                  <c:v>14742130.666666664</c:v>
                </c:pt>
                <c:pt idx="16">
                  <c:v>1903900.8408103255</c:v>
                </c:pt>
                <c:pt idx="17">
                  <c:v>1513102.369556373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209782.38739500003</c:v>
                </c:pt>
                <c:pt idx="10">
                  <c:v>179702.03995268475</c:v>
                </c:pt>
                <c:pt idx="11">
                  <c:v>168999.02703766507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3010238.4923246857</c:v>
                </c:pt>
                <c:pt idx="10">
                  <c:v>2848752.9835421797</c:v>
                </c:pt>
                <c:pt idx="11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576036.23515656113</c:v>
                </c:pt>
                <c:pt idx="5">
                  <c:v>691243.48218787322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285160.97785190406</c:v>
                </c:pt>
                <c:pt idx="5">
                  <c:v>337008.428370432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166708.59941929884</c:v>
                </c:pt>
                <c:pt idx="2">
                  <c:v>197019.25385917132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282794.49670790485</c:v>
                </c:pt>
                <c:pt idx="5">
                  <c:v>282794.49670790485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112887.06079513082</c:v>
                </c:pt>
                <c:pt idx="10">
                  <c:v>164905.32282633631</c:v>
                </c:pt>
                <c:pt idx="11">
                  <c:v>153695.71083175336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32354280.599996109</c:v>
                </c:pt>
                <c:pt idx="17">
                  <c:v>28232114.461226773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AB-4C27-B9D0-358C9BFADE5A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944815.08868008247</c:v>
                </c:pt>
                <c:pt idx="16">
                  <c:v>550486.04509260366</c:v>
                </c:pt>
                <c:pt idx="17">
                  <c:v>516108.9912078444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AB-4C27-B9D0-358C9BFADE5A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2">
                  <c:v>827693.20492220437</c:v>
                </c:pt>
                <c:pt idx="13">
                  <c:v>783291.25515859458</c:v>
                </c:pt>
                <c:pt idx="14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AB-4C27-B9D0-358C9BFAD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[Scenarie_Ekstensiveringsscenariep20.xlsm]Resultat-Import!Import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231597.25208892074</c:v>
                </c:pt>
                <c:pt idx="2">
                  <c:v>272269.3418410077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970453.58340937877</c:v>
                </c:pt>
                <c:pt idx="2">
                  <c:v>1077066.3706508824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550486.04509260366</c:v>
                </c:pt>
                <c:pt idx="2">
                  <c:v>516108.9912078444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24904.885533620807</c:v>
                </c:pt>
                <c:pt idx="2">
                  <c:v>196230.07165468042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7784.5739258510876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441355.81396357878</c:v>
                </c:pt>
                <c:pt idx="2">
                  <c:v>464412.98263243266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A0-44D6-BF60-CB0AE6D799FC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5421074.2654714445</c:v>
                </c:pt>
                <c:pt idx="1">
                  <c:v>6498561.357003523</c:v>
                </c:pt>
                <c:pt idx="2">
                  <c:v>6498561.3570035212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D3-4079-9A2E-336CA9D34401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25129.929791754395</c:v>
                </c:pt>
                <c:pt idx="2">
                  <c:v>42644.948533290248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D3-4079-9A2E-336CA9D34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[Scenarie_Ekstensiveringsscenariep20.xlsm]Resultat-Eksport!PivotTable3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203574.72786831582</c:v>
                </c:pt>
                <c:pt idx="2">
                  <c:v>168916.1589956597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194891.99536651041</c:v>
                </c:pt>
                <c:pt idx="2">
                  <c:v>177330.90550496668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2847697.7331340685</c:v>
                </c:pt>
                <c:pt idx="2">
                  <c:v>3045273.1748152561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1224394.8675918896</c:v>
                </c:pt>
                <c:pt idx="2">
                  <c:v>1462174.4450316897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150757.9962263334</c:v>
                </c:pt>
                <c:pt idx="2">
                  <c:v>102055.46944502917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1374464.7761217668</c:v>
                </c:pt>
                <c:pt idx="2">
                  <c:v>1289066.8796105941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16598977.324545521</c:v>
                </c:pt>
                <c:pt idx="2">
                  <c:v>15840345.904363189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73077.445733657863</c:v>
                </c:pt>
                <c:pt idx="2">
                  <c:v>70477.685835188255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1943930.4726515138</c:v>
                </c:pt>
                <c:pt idx="2">
                  <c:v>1797189.798135357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395857.3957718208</c:v>
                </c:pt>
                <c:pt idx="2">
                  <c:v>324396.41146601527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2997098.7508770339</c:v>
                </c:pt>
                <c:pt idx="2">
                  <c:v>2628933.7872897997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16224.7423869579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6039680.3757292964</c:v>
                </c:pt>
                <c:pt idx="2">
                  <c:v>5524917.4225098323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1293768.0525721861</c:v>
                </c:pt>
                <c:pt idx="2">
                  <c:v>1133801.2967111804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242306.85484945413</c:v>
                </c:pt>
                <c:pt idx="2">
                  <c:v>209387.60744368369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116419.84071734181</c:v>
                </c:pt>
                <c:pt idx="2">
                  <c:v>94651.325047596358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1567297.01979714</c:v>
                </c:pt>
                <c:pt idx="2">
                  <c:v>1327317.1918253219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4555408.6040134262</c:v>
                </c:pt>
                <c:pt idx="2">
                  <c:v>4737724.7192666382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666834.39767719537</c:v>
                </c:pt>
                <c:pt idx="2">
                  <c:v>788077.01543668518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11059.895715006045</c:v>
                </c:pt>
                <c:pt idx="2">
                  <c:v>2597.3997512515198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880362.49952358752</c:v>
                </c:pt>
                <c:pt idx="2">
                  <c:v>824629.38934643252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1933087.1070249293</c:v>
                </c:pt>
                <c:pt idx="2">
                  <c:v>1810667.4246186719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96-46AF-8F2D-D19D06E92F28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3F-4E0E-B18B-7781A24DE0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[Scenarie_Ekstensiveringsscenariep20.xlsm]Arealanvendelse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2438269.9999999995</c:v>
                </c:pt>
                <c:pt idx="2">
                  <c:v>2326270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551420</c:v>
                </c:pt>
                <c:pt idx="2">
                  <c:v>551420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[Scenarie_Ekstensiveringsscenariep20.xlsm]CO2-pivot!PivotTable1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6558583.8623992102</c:v>
                </c:pt>
                <c:pt idx="2">
                  <c:v>6441255.8287903955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7550802.4044669205</c:v>
                </c:pt>
                <c:pt idx="2">
                  <c:v>7298722.430061643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-644042.74351643643</c:v>
                </c:pt>
                <c:pt idx="2">
                  <c:v>-561892.75060918764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12001553.20445985</c:v>
                </c:pt>
                <c:pt idx="2">
                  <c:v>10471066.266458454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[Scenarie_Ekstensiveringsscenariep20.xlsm]Resultat-Import!Import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</c:pivotFmt>
      <c:pivotFmt>
        <c:idx val="523"/>
        <c:marker>
          <c:symbol val="none"/>
        </c:marker>
      </c:pivotFmt>
      <c:pivotFmt>
        <c:idx val="524"/>
        <c:marker>
          <c:symbol val="none"/>
        </c:marker>
      </c:pivotFmt>
      <c:pivotFmt>
        <c:idx val="525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231597.25208892074</c:v>
                </c:pt>
                <c:pt idx="2">
                  <c:v>272269.3418410077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970453.58340937877</c:v>
                </c:pt>
                <c:pt idx="2">
                  <c:v>1077066.3706508824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550486.04509260366</c:v>
                </c:pt>
                <c:pt idx="2">
                  <c:v>516108.9912078444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24904.885533620807</c:v>
                </c:pt>
                <c:pt idx="2">
                  <c:v>196230.07165468042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7784.5739258510876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441355.81396357878</c:v>
                </c:pt>
                <c:pt idx="2">
                  <c:v>464412.98263243266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04-4CD8-A037-53E0CC512F09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5421074.2654714445</c:v>
                </c:pt>
                <c:pt idx="1">
                  <c:v>6498561.357003523</c:v>
                </c:pt>
                <c:pt idx="2">
                  <c:v>6498561.3570035212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64-402D-9F79-8B317EAE5AF7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25129.929791754395</c:v>
                </c:pt>
                <c:pt idx="2">
                  <c:v>42644.948533290248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64-402D-9F79-8B317EAE5A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[Scenarie_Ekstensiveringsscenariep20.xlsm]Resultat-Eksport!PivotTable3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203574.72786831582</c:v>
                </c:pt>
                <c:pt idx="2">
                  <c:v>168916.1589956597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194891.99536651041</c:v>
                </c:pt>
                <c:pt idx="2">
                  <c:v>177330.90550496668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2847697.7331340685</c:v>
                </c:pt>
                <c:pt idx="2">
                  <c:v>3045273.1748152561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1224394.8675918896</c:v>
                </c:pt>
                <c:pt idx="2">
                  <c:v>1462174.4450316897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150757.9962263334</c:v>
                </c:pt>
                <c:pt idx="2">
                  <c:v>102055.46944502917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1374464.7761217668</c:v>
                </c:pt>
                <c:pt idx="2">
                  <c:v>1289066.8796105941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16598977.324545521</c:v>
                </c:pt>
                <c:pt idx="2">
                  <c:v>15840345.904363189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73077.445733657863</c:v>
                </c:pt>
                <c:pt idx="2">
                  <c:v>70477.685835188255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1943930.4726515138</c:v>
                </c:pt>
                <c:pt idx="2">
                  <c:v>1797189.798135357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395857.3957718208</c:v>
                </c:pt>
                <c:pt idx="2">
                  <c:v>324396.41146601527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2997098.7508770339</c:v>
                </c:pt>
                <c:pt idx="2">
                  <c:v>2628933.7872897997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16224.7423869579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6039680.3757292964</c:v>
                </c:pt>
                <c:pt idx="2">
                  <c:v>5524917.4225098323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1293768.0525721861</c:v>
                </c:pt>
                <c:pt idx="2">
                  <c:v>1133801.2967111804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242306.85484945413</c:v>
                </c:pt>
                <c:pt idx="2">
                  <c:v>209387.60744368369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116419.84071734181</c:v>
                </c:pt>
                <c:pt idx="2">
                  <c:v>94651.325047596358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1567297.01979714</c:v>
                </c:pt>
                <c:pt idx="2">
                  <c:v>1327317.1918253219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4555408.6040134262</c:v>
                </c:pt>
                <c:pt idx="2">
                  <c:v>4737724.7192666382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666834.39767719537</c:v>
                </c:pt>
                <c:pt idx="2">
                  <c:v>788077.01543668518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11059.895715006045</c:v>
                </c:pt>
                <c:pt idx="2">
                  <c:v>2597.3997512515198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880362.49952358752</c:v>
                </c:pt>
                <c:pt idx="2">
                  <c:v>824629.38934643252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F7-40A4-A6E7-2D38A471B789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1933087.1070249293</c:v>
                </c:pt>
                <c:pt idx="2">
                  <c:v>1810667.4246186719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F7-40A4-A6E7-2D38A471B789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07-4137-85D3-BDAF7C5005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[Scenarie_Ekstensiveringsscenariep20.xlsm]CO2-pivot!PivotTable1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6558583.8623992102</c:v>
                </c:pt>
                <c:pt idx="2">
                  <c:v>6441255.8287903955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7550802.4044669205</c:v>
                </c:pt>
                <c:pt idx="2">
                  <c:v>7298722.430061643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-644042.74351643643</c:v>
                </c:pt>
                <c:pt idx="2">
                  <c:v>-561892.75060918764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12001553.20445985</c:v>
                </c:pt>
                <c:pt idx="2">
                  <c:v>10471066.266458454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[Scenarie_Ekstensiveringsscenariep20.xlsm]Resultat-Import!Import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231597.25208892074</c:v>
                </c:pt>
                <c:pt idx="2">
                  <c:v>272269.3418410077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970453.58340937877</c:v>
                </c:pt>
                <c:pt idx="2">
                  <c:v>1077066.3706508824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550486.04509260366</c:v>
                </c:pt>
                <c:pt idx="2">
                  <c:v>516108.9912078444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24904.885533620807</c:v>
                </c:pt>
                <c:pt idx="2">
                  <c:v>196230.07165468042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7784.5739258510876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441355.81396357878</c:v>
                </c:pt>
                <c:pt idx="2">
                  <c:v>464412.98263243266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80-4B6D-A405-8F6232EF2E0B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5421074.2654714445</c:v>
                </c:pt>
                <c:pt idx="1">
                  <c:v>6498561.357003523</c:v>
                </c:pt>
                <c:pt idx="2">
                  <c:v>6498561.3570035212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16-44FB-82D0-B1C89C1F3478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25129.929791754395</c:v>
                </c:pt>
                <c:pt idx="2">
                  <c:v>42644.948533290248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16-44FB-82D0-B1C89C1F3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[Scenarie_Ekstensiveringsscenariep20.xlsm]Resultat-Eksport!PivotTable3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203574.72786831582</c:v>
                </c:pt>
                <c:pt idx="2">
                  <c:v>168916.1589956597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194891.99536651041</c:v>
                </c:pt>
                <c:pt idx="2">
                  <c:v>177330.90550496668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2847697.7331340685</c:v>
                </c:pt>
                <c:pt idx="2">
                  <c:v>3045273.1748152561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1224394.8675918896</c:v>
                </c:pt>
                <c:pt idx="2">
                  <c:v>1462174.4450316897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150757.9962263334</c:v>
                </c:pt>
                <c:pt idx="2">
                  <c:v>102055.46944502917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1374464.7761217668</c:v>
                </c:pt>
                <c:pt idx="2">
                  <c:v>1289066.8796105941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16598977.324545521</c:v>
                </c:pt>
                <c:pt idx="2">
                  <c:v>15840345.904363189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73077.445733657863</c:v>
                </c:pt>
                <c:pt idx="2">
                  <c:v>70477.685835188255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1943930.4726515138</c:v>
                </c:pt>
                <c:pt idx="2">
                  <c:v>1797189.798135357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395857.3957718208</c:v>
                </c:pt>
                <c:pt idx="2">
                  <c:v>324396.41146601527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2997098.7508770339</c:v>
                </c:pt>
                <c:pt idx="2">
                  <c:v>2628933.7872897997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16224.7423869579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6039680.3757292964</c:v>
                </c:pt>
                <c:pt idx="2">
                  <c:v>5524917.4225098323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1293768.0525721861</c:v>
                </c:pt>
                <c:pt idx="2">
                  <c:v>1133801.2967111804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242306.85484945413</c:v>
                </c:pt>
                <c:pt idx="2">
                  <c:v>209387.60744368369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116419.84071734181</c:v>
                </c:pt>
                <c:pt idx="2">
                  <c:v>94651.325047596358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1567297.01979714</c:v>
                </c:pt>
                <c:pt idx="2">
                  <c:v>1327317.1918253219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4555408.6040134262</c:v>
                </c:pt>
                <c:pt idx="2">
                  <c:v>4737724.7192666382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666834.39767719537</c:v>
                </c:pt>
                <c:pt idx="2">
                  <c:v>788077.01543668518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11059.895715006045</c:v>
                </c:pt>
                <c:pt idx="2">
                  <c:v>2597.3997512515198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880362.49952358752</c:v>
                </c:pt>
                <c:pt idx="2">
                  <c:v>824629.38934643252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A-4C9E-8EF7-1C8984AE362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1933087.1070249293</c:v>
                </c:pt>
                <c:pt idx="2">
                  <c:v>1810667.4246186719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A-4C9E-8EF7-1C8984AE362B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71-43BF-9580-CD4DC8BB4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[Scenarie_Ekstensiveringsscenariep20.xlsm]Produkt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45885.360383560743</c:v>
                </c:pt>
                <c:pt idx="2">
                  <c:v>127270.38499606465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45885.360383560743</c:v>
                </c:pt>
                <c:pt idx="2">
                  <c:v>127270.38499606466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[Scenarie_Ekstensiveringsscenariep20.xlsm]Produkt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194808.52997510659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177248.86428118241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[Scenarie_Ekstensiveringsscenariep20.xlsm]Resultat-Forbrug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82257.974380356929</c:v>
                </c:pt>
                <c:pt idx="5">
                  <c:v>82257.974380356929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1970290.5915271789</c:v>
                </c:pt>
                <c:pt idx="2">
                  <c:v>2352924.394303869</c:v>
                </c:pt>
                <c:pt idx="15">
                  <c:v>823764.99285714305</c:v>
                </c:pt>
                <c:pt idx="16">
                  <c:v>745895.72393528919</c:v>
                </c:pt>
                <c:pt idx="17">
                  <c:v>890749.94927217893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10371.219535128512</c:v>
                </c:pt>
                <c:pt idx="2">
                  <c:v>11785.000508089443</c:v>
                </c:pt>
                <c:pt idx="15">
                  <c:v>4441.5</c:v>
                </c:pt>
                <c:pt idx="16">
                  <c:v>1152.3577261253899</c:v>
                </c:pt>
                <c:pt idx="17">
                  <c:v>1309.4445008988266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85676.999999999985</c:v>
                </c:pt>
                <c:pt idx="1">
                  <c:v>85676.999999999985</c:v>
                </c:pt>
                <c:pt idx="2">
                  <c:v>85677.000000000015</c:v>
                </c:pt>
                <c:pt idx="3">
                  <c:v>13739757.985270014</c:v>
                </c:pt>
                <c:pt idx="4">
                  <c:v>16503079.727084301</c:v>
                </c:pt>
                <c:pt idx="5">
                  <c:v>16503079.727084301</c:v>
                </c:pt>
                <c:pt idx="18">
                  <c:v>0</c:v>
                </c:pt>
                <c:pt idx="19">
                  <c:v>1705800.1058199655</c:v>
                </c:pt>
                <c:pt idx="20">
                  <c:v>2015945.5796054134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75934</c:v>
                </c:pt>
                <c:pt idx="1">
                  <c:v>75934.000000000058</c:v>
                </c:pt>
                <c:pt idx="2">
                  <c:v>75934</c:v>
                </c:pt>
                <c:pt idx="3">
                  <c:v>867975.34157733875</c:v>
                </c:pt>
                <c:pt idx="4">
                  <c:v>1031643.7358034013</c:v>
                </c:pt>
                <c:pt idx="5">
                  <c:v>1031643.7358034012</c:v>
                </c:pt>
                <c:pt idx="9">
                  <c:v>1893765.2125355615</c:v>
                </c:pt>
                <c:pt idx="10">
                  <c:v>1619311.786277581</c:v>
                </c:pt>
                <c:pt idx="11">
                  <c:v>1223522.6238915203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6498561.357003523</c:v>
                </c:pt>
                <c:pt idx="5">
                  <c:v>6498561.3570035212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720406.99999999988</c:v>
                </c:pt>
                <c:pt idx="2">
                  <c:v>707407.00000000012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7129869.4034788422</c:v>
                </c:pt>
                <c:pt idx="5">
                  <c:v>6931817.4756044289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14475253.607270831</c:v>
                </c:pt>
                <c:pt idx="2">
                  <c:v>13204805.620490521</c:v>
                </c:pt>
                <c:pt idx="15">
                  <c:v>9696490.333333334</c:v>
                </c:pt>
                <c:pt idx="16">
                  <c:v>1608361.5119189806</c:v>
                </c:pt>
                <c:pt idx="17">
                  <c:v>1467200.6244989464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2035052.193167039</c:v>
                </c:pt>
                <c:pt idx="5">
                  <c:v>2035052.1931670387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</c:v>
                </c:pt>
                <c:pt idx="1">
                  <c:v>330026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6727404.2705273991</c:v>
                </c:pt>
                <c:pt idx="5">
                  <c:v>6727404.2705273982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678407.81727843033</c:v>
                </c:pt>
                <c:pt idx="22">
                  <c:v>515329.13383230095</c:v>
                </c:pt>
                <c:pt idx="23">
                  <c:v>480299.09634922922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28645.000000000004</c:v>
                </c:pt>
                <c:pt idx="1">
                  <c:v>28645.000000000004</c:v>
                </c:pt>
                <c:pt idx="2">
                  <c:v>28645</c:v>
                </c:pt>
                <c:pt idx="3">
                  <c:v>944413.49448565592</c:v>
                </c:pt>
                <c:pt idx="4">
                  <c:v>1170306.635502351</c:v>
                </c:pt>
                <c:pt idx="5">
                  <c:v>1170306.635502351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51847.450518528014</c:v>
                </c:pt>
                <c:pt idx="5">
                  <c:v>51847.450518528007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2783133.6777961077</c:v>
                </c:pt>
                <c:pt idx="2">
                  <c:v>2894519.9802057594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17135107.567292936</c:v>
                </c:pt>
                <c:pt idx="2">
                  <c:v>13617921.326007361</c:v>
                </c:pt>
                <c:pt idx="15">
                  <c:v>14742130.666666664</c:v>
                </c:pt>
                <c:pt idx="16">
                  <c:v>1903900.8408103255</c:v>
                </c:pt>
                <c:pt idx="17">
                  <c:v>1513102.369556373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209782.38739500003</c:v>
                </c:pt>
                <c:pt idx="10">
                  <c:v>179702.03995268475</c:v>
                </c:pt>
                <c:pt idx="11">
                  <c:v>168999.02703766507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3010238.4923246857</c:v>
                </c:pt>
                <c:pt idx="10">
                  <c:v>2848752.9835421797</c:v>
                </c:pt>
                <c:pt idx="11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576036.23515656113</c:v>
                </c:pt>
                <c:pt idx="5">
                  <c:v>691243.48218787322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285160.97785190406</c:v>
                </c:pt>
                <c:pt idx="5">
                  <c:v>337008.428370432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166708.59941929884</c:v>
                </c:pt>
                <c:pt idx="2">
                  <c:v>197019.25385917132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282794.49670790485</c:v>
                </c:pt>
                <c:pt idx="5">
                  <c:v>282794.49670790485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112887.06079513082</c:v>
                </c:pt>
                <c:pt idx="10">
                  <c:v>164905.32282633631</c:v>
                </c:pt>
                <c:pt idx="11">
                  <c:v>153695.71083175336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32354280.599996109</c:v>
                </c:pt>
                <c:pt idx="17">
                  <c:v>28232114.461226773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08-471F-967B-E5DC461BB689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944815.08868008247</c:v>
                </c:pt>
                <c:pt idx="16">
                  <c:v>550486.04509260366</c:v>
                </c:pt>
                <c:pt idx="17">
                  <c:v>516108.9912078444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08-471F-967B-E5DC461BB689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2">
                  <c:v>827693.20492220437</c:v>
                </c:pt>
                <c:pt idx="13">
                  <c:v>783291.25515859458</c:v>
                </c:pt>
                <c:pt idx="14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08-471F-967B-E5DC461BB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[Scenarie_Ekstensiveringsscenariep20.xlsm]Resultat-Import!Import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231597.25208892074</c:v>
                </c:pt>
                <c:pt idx="2">
                  <c:v>272269.3418410077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970453.58340937877</c:v>
                </c:pt>
                <c:pt idx="2">
                  <c:v>1077066.3706508824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550486.04509260366</c:v>
                </c:pt>
                <c:pt idx="2">
                  <c:v>516108.9912078444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24904.885533620807</c:v>
                </c:pt>
                <c:pt idx="2">
                  <c:v>196230.07165468042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7784.5739258510876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441355.81396357878</c:v>
                </c:pt>
                <c:pt idx="2">
                  <c:v>464412.98263243266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40-4A71-AC40-B0C6227F18C2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5421074.2654714445</c:v>
                </c:pt>
                <c:pt idx="1">
                  <c:v>6498561.357003523</c:v>
                </c:pt>
                <c:pt idx="2">
                  <c:v>6498561.3570035212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3B-46C2-A919-1A570110A1A9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25129.929791754395</c:v>
                </c:pt>
                <c:pt idx="2">
                  <c:v>42644.948533290248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3B-46C2-A919-1A570110A1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[Scenarie_Ekstensiveringsscenariep20.xlsm]Resultat-Eksport!PivotTable3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203574.72786831582</c:v>
                </c:pt>
                <c:pt idx="2">
                  <c:v>168916.1589956597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194891.99536651041</c:v>
                </c:pt>
                <c:pt idx="2">
                  <c:v>177330.90550496668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2847697.7331340685</c:v>
                </c:pt>
                <c:pt idx="2">
                  <c:v>3045273.1748152561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1224394.8675918896</c:v>
                </c:pt>
                <c:pt idx="2">
                  <c:v>1462174.4450316897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150757.9962263334</c:v>
                </c:pt>
                <c:pt idx="2">
                  <c:v>102055.46944502917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1374464.7761217668</c:v>
                </c:pt>
                <c:pt idx="2">
                  <c:v>1289066.8796105941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16598977.324545521</c:v>
                </c:pt>
                <c:pt idx="2">
                  <c:v>15840345.904363189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73077.445733657863</c:v>
                </c:pt>
                <c:pt idx="2">
                  <c:v>70477.685835188255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1943930.4726515138</c:v>
                </c:pt>
                <c:pt idx="2">
                  <c:v>1797189.798135357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395857.3957718208</c:v>
                </c:pt>
                <c:pt idx="2">
                  <c:v>324396.41146601527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2997098.7508770339</c:v>
                </c:pt>
                <c:pt idx="2">
                  <c:v>2628933.7872897997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16224.7423869579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6039680.3757292964</c:v>
                </c:pt>
                <c:pt idx="2">
                  <c:v>5524917.4225098323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1293768.0525721861</c:v>
                </c:pt>
                <c:pt idx="2">
                  <c:v>1133801.2967111804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242306.85484945413</c:v>
                </c:pt>
                <c:pt idx="2">
                  <c:v>209387.60744368369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116419.84071734181</c:v>
                </c:pt>
                <c:pt idx="2">
                  <c:v>94651.325047596358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1567297.01979714</c:v>
                </c:pt>
                <c:pt idx="2">
                  <c:v>1327317.1918253219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4555408.6040134262</c:v>
                </c:pt>
                <c:pt idx="2">
                  <c:v>4737724.7192666382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666834.39767719537</c:v>
                </c:pt>
                <c:pt idx="2">
                  <c:v>788077.01543668518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11059.895715006045</c:v>
                </c:pt>
                <c:pt idx="2">
                  <c:v>2597.3997512515198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880362.49952358752</c:v>
                </c:pt>
                <c:pt idx="2">
                  <c:v>824629.38934643252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1933087.1070249293</c:v>
                </c:pt>
                <c:pt idx="2">
                  <c:v>1810667.4246186719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73-41BA-B72D-A1946357F538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A5-4B23-B1F2-30A8B48D5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[Scenarie_Ekstensiveringsscenariep20.xlsm]Resultat-Potentiale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20.512558371303609</c:v>
                </c:pt>
                <c:pt idx="2">
                  <c:v>20.661139806891022</c:v>
                </c:pt>
                <c:pt idx="3">
                  <c:v>7.483154704207001</c:v>
                </c:pt>
                <c:pt idx="4">
                  <c:v>5.3771116295107078</c:v>
                </c:pt>
                <c:pt idx="5">
                  <c:v>5.4217294175270894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35.472509701222052</c:v>
                </c:pt>
                <c:pt idx="2">
                  <c:v>33.386021609279233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16.736893025642814</c:v>
                </c:pt>
                <c:pt idx="2">
                  <c:v>12.646092892092287</c:v>
                </c:pt>
                <c:pt idx="3">
                  <c:v>0.45076703431999998</c:v>
                </c:pt>
                <c:pt idx="4">
                  <c:v>0.45076703432000031</c:v>
                </c:pt>
                <c:pt idx="5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2.6373465447929307</c:v>
                </c:pt>
                <c:pt idx="2">
                  <c:v>3.1495237545982597</c:v>
                </c:pt>
                <c:pt idx="3">
                  <c:v>5.0922829580050024</c:v>
                </c:pt>
                <c:pt idx="4">
                  <c:v>18.957916378438938</c:v>
                </c:pt>
                <c:pt idx="5">
                  <c:v>17.624482577499553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5.7716862989217699</c:v>
                </c:pt>
                <c:pt idx="2">
                  <c:v>5.3793498791113672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44.595115183387243</c:v>
                </c:pt>
                <c:pt idx="2">
                  <c:v>40.928955861930156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[Scenarie_Ekstensiveringsscenariep20.xlsm]Resultat-Tørstof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1205982.4263481963</c:v>
                </c:pt>
                <c:pt idx="2">
                  <c:v>1225152.563565427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5153950.8401187295</c:v>
                </c:pt>
                <c:pt idx="2">
                  <c:v>4888102.3960037343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1442132.5783359441</c:v>
                </c:pt>
                <c:pt idx="2">
                  <c:v>1105711.7903077924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2915933.6770836636</c:v>
                </c:pt>
                <c:pt idx="2">
                  <c:v>2829733.4002903248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1483522.0930239339</c:v>
                </c:pt>
                <c:pt idx="2">
                  <c:v>1360695.4007436582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493059</xdr:colOff>
      <xdr:row>18</xdr:row>
      <xdr:rowOff>102685</xdr:rowOff>
    </xdr:from>
    <xdr:to>
      <xdr:col>9</xdr:col>
      <xdr:colOff>1064560</xdr:colOff>
      <xdr:row>45</xdr:row>
      <xdr:rowOff>62904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45720</xdr:rowOff>
    </xdr:from>
    <xdr:to>
      <xdr:col>6</xdr:col>
      <xdr:colOff>0</xdr:colOff>
      <xdr:row>25</xdr:row>
      <xdr:rowOff>144780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3.0660755171951402</v>
          </cell>
          <cell r="I11">
            <v>3.0660755171951402</v>
          </cell>
          <cell r="J11">
            <v>3.0660755171951402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3.7581274663933448</v>
          </cell>
          <cell r="I12">
            <v>3.7581274663933448</v>
          </cell>
          <cell r="J12">
            <v>3.7581274663933448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1.9074743425132601</v>
          </cell>
          <cell r="I27">
            <v>1.9074743425132601</v>
          </cell>
          <cell r="J27">
            <v>1.9074743425132601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0.99644182071588216</v>
          </cell>
          <cell r="I28">
            <v>0.99644182071588216</v>
          </cell>
          <cell r="J28">
            <v>0.99644182071588216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2.2834402547600621</v>
          </cell>
          <cell r="I35">
            <v>2.2834402547600621</v>
          </cell>
          <cell r="J35">
            <v>2.2834402547600621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0.57086006369001541</v>
          </cell>
          <cell r="I36">
            <v>0.57086006369001541</v>
          </cell>
          <cell r="J36">
            <v>0.57086006369001541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-14.400000000000002</v>
          </cell>
          <cell r="I38">
            <v>-14.400000000000002</v>
          </cell>
          <cell r="J38">
            <v>-14.400000000000002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2.4148286821172875</v>
          </cell>
          <cell r="I39">
            <v>2.4148286821172875</v>
          </cell>
          <cell r="J39">
            <v>2.4148286821172875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0.83590223611752268</v>
          </cell>
          <cell r="I40">
            <v>0.83590223611752268</v>
          </cell>
          <cell r="J40">
            <v>0.83590223611752268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1.1100056793972521</v>
          </cell>
          <cell r="I43">
            <v>1.1100056793972521</v>
          </cell>
          <cell r="J43">
            <v>1.1100056793972521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0.55500283969862618</v>
          </cell>
          <cell r="I44">
            <v>0.55500283969862618</v>
          </cell>
          <cell r="J44">
            <v>0.55500283969862618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-6.9999999999999991</v>
          </cell>
          <cell r="I46">
            <v>-6.9999999999999991</v>
          </cell>
          <cell r="J46">
            <v>-6.9999999999999991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1.3985083913236362</v>
          </cell>
          <cell r="I59">
            <v>1.3985083913236362</v>
          </cell>
          <cell r="J59">
            <v>1.3985083913236362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0.7628227589038018</v>
          </cell>
          <cell r="I60">
            <v>0.7628227589038018</v>
          </cell>
          <cell r="J60">
            <v>0.7628227589038018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0.5798693329878496</v>
          </cell>
          <cell r="I67">
            <v>0.5798693329878496</v>
          </cell>
          <cell r="J67">
            <v>0.5798693329878496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2.0295426654574724</v>
          </cell>
          <cell r="I68">
            <v>2.0295426654574724</v>
          </cell>
          <cell r="J68">
            <v>2.0295426654574724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0.62416490703553229</v>
          </cell>
          <cell r="I71">
            <v>0.62416490703553229</v>
          </cell>
          <cell r="J71">
            <v>0.62416490703553229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0.82550842543409109</v>
          </cell>
          <cell r="I72">
            <v>0.82550842543409109</v>
          </cell>
          <cell r="J72">
            <v>0.82550842543409109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0.51591315655536585</v>
          </cell>
          <cell r="I75">
            <v>0.51591315655536585</v>
          </cell>
          <cell r="J75">
            <v>0.51591315655536585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0.28140717630292689</v>
          </cell>
          <cell r="I76">
            <v>0.28140717630292689</v>
          </cell>
          <cell r="J76">
            <v>0.28140717630292689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-3.5588235294117645</v>
          </cell>
          <cell r="I78">
            <v>-3.5588235294117645</v>
          </cell>
          <cell r="J78">
            <v>-3.5588235294117645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0.17060507458971214</v>
          </cell>
          <cell r="I87">
            <v>0.17060507458971214</v>
          </cell>
          <cell r="J87">
            <v>0.17060507458971214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0.22563896961865154</v>
          </cell>
          <cell r="I88">
            <v>0.22563896961865154</v>
          </cell>
          <cell r="J88">
            <v>0.22563896961865154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2.051145640608</v>
          </cell>
          <cell r="I91">
            <v>2.051145640608</v>
          </cell>
          <cell r="J91">
            <v>2.051145640608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1.1188067130589092</v>
          </cell>
          <cell r="I92">
            <v>1.1188067130589092</v>
          </cell>
          <cell r="J92">
            <v>1.1188067130589092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  <row r="23">
          <cell r="D23">
            <v>3320161.5843531773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3.2978723404255318E-3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1.7372881355932203E-3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1.2195121951219514E-3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0.5798693329878496</v>
          </cell>
        </row>
        <row r="13">
          <cell r="D13">
            <v>2.0295426654574724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2.6094119984453221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885532406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58589449.50267792"/>
    </cacheField>
    <cacheField name="Foder" numFmtId="3">
      <sharedItems containsSemiMixedTypes="0" containsString="0" containsNumber="1" minValue="0" maxValue="14698917.729434509"/>
    </cacheField>
    <cacheField name="Strøelse" numFmtId="0">
      <sharedItems containsSemiMixedTypes="0" containsString="0" containsNumber="1" minValue="0" maxValue="865639.24548804213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4966504.274538353"/>
    </cacheField>
    <cacheField name="Gødning" numFmtId="3">
      <sharedItems containsSemiMixedTypes="0" containsString="0" containsNumber="1" minValue="0" maxValue="27990597.390617166"/>
    </cacheField>
    <cacheField name="Energi" numFmtId="3">
      <sharedItems containsSemiMixedTypes="0" containsString="0" containsNumber="1" minValue="0" maxValue="658589449.50267792"/>
    </cacheField>
    <cacheField name="Materialer og processer" numFmtId="3">
      <sharedItems containsSemiMixedTypes="0" containsString="0" containsNumber="1" minValue="0" maxValue="1795556.8725154817"/>
    </cacheField>
    <cacheField name="Produktion minus forbrug [ton]" numFmtId="3">
      <sharedItems containsSemiMixedTypes="0" containsString="0" containsNumber="1" minValue="-5788120.7826627567" maxValue="10810960.417695016"/>
    </cacheField>
    <cacheField name="Potentiale til energi [ton]" numFmtId="3">
      <sharedItems containsSemiMixedTypes="0" containsString="0" containsNumber="1" minValue="0" maxValue="10810960.417695016"/>
    </cacheField>
    <cacheField name="Forbrug energi [ton/m3]" numFmtId="3">
      <sharedItems containsSemiMixedTypes="0" containsString="0" containsNumber="1" minValue="0" maxValue="658589449.50267792"/>
    </cacheField>
    <cacheField name="Potentiale til energi [PJ]" numFmtId="0">
      <sharedItems containsSemiMixedTypes="0" containsString="0" containsNumber="1" minValue="0" maxValue="19.8908157985066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6.8410105710107896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3027068.9169546044"/>
    </cacheField>
    <cacheField name="Forbrug/potentiale [Ton TS]" numFmtId="0">
      <sharedItems containsSemiMixedTypes="0" containsString="0" containsNumber="1" minValue="0" maxValue="3045697.4267271259"/>
    </cacheField>
    <cacheField name="Biogasproduktion [Ton TS]" numFmtId="0">
      <sharedItems containsSemiMixedTypes="0" containsString="0" containsNumber="1" minValue="0" maxValue="1027117.8873482683"/>
    </cacheField>
    <cacheField name="Biomasser til energi eksl. biogas [Ton TS]" numFmtId="0">
      <sharedItems containsSemiMixedTypes="0" containsString="0" containsNumber="1" minValue="0" maxValue="3027068.916954604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886226853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756147.6279562197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88645833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58589449.50267792"/>
    </cacheField>
    <cacheField name="Foder" numFmtId="3">
      <sharedItems containsSemiMixedTypes="0" containsString="0" containsNumber="1" minValue="0" maxValue="14698917.729434509"/>
    </cacheField>
    <cacheField name="Strøelse" numFmtId="0">
      <sharedItems containsSemiMixedTypes="0" containsString="0" containsNumber="1" minValue="0" maxValue="865639.24548804213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4966504.274538353"/>
    </cacheField>
    <cacheField name="Gødning" numFmtId="3">
      <sharedItems containsSemiMixedTypes="0" containsString="0" containsNumber="1" minValue="0" maxValue="27990597.390617166"/>
    </cacheField>
    <cacheField name="Energi" numFmtId="3">
      <sharedItems containsSemiMixedTypes="0" containsString="0" containsNumber="1" minValue="0" maxValue="658589449.50267792"/>
    </cacheField>
    <cacheField name="Materialer og processer" numFmtId="3">
      <sharedItems containsSemiMixedTypes="0" containsString="0" containsNumber="1" minValue="0" maxValue="1795556.8725154817"/>
    </cacheField>
    <cacheField name="Produktion minus forbrug [ton]" numFmtId="3">
      <sharedItems containsSemiMixedTypes="0" containsString="0" containsNumber="1" minValue="-5788120.7826627567" maxValue="10810960.417695016"/>
    </cacheField>
    <cacheField name="Potentiale til energi [ton]" numFmtId="3">
      <sharedItems containsSemiMixedTypes="0" containsString="0" containsNumber="1" minValue="0" maxValue="10810960.417695016"/>
    </cacheField>
    <cacheField name="Forbrug energi [ton/m3]" numFmtId="3">
      <sharedItems containsSemiMixedTypes="0" containsString="0" containsNumber="1" minValue="0" maxValue="658589449.50267792"/>
    </cacheField>
    <cacheField name="Potentiale til energi [PJ]" numFmtId="0">
      <sharedItems containsSemiMixedTypes="0" containsString="0" containsNumber="1" minValue="0" maxValue="19.8908157985066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6.8410105710107896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3027068.9169546044"/>
    </cacheField>
    <cacheField name="Forbrug/potentiale [Ton TS]" numFmtId="0">
      <sharedItems containsSemiMixedTypes="0" containsString="0" containsNumber="1" minValue="0" maxValue="3045697.4267271259"/>
    </cacheField>
    <cacheField name="Biogasproduktion [Ton TS]" numFmtId="0">
      <sharedItems containsSemiMixedTypes="0" containsString="0" containsNumber="1" minValue="0" maxValue="1027117.8873482683"/>
    </cacheField>
    <cacheField name="Biomasser til energi eksl. biogas [Ton TS]" numFmtId="0">
      <sharedItems containsSemiMixedTypes="0" containsString="0" containsNumber="1" minValue="0" maxValue="3027068.9169546044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886805554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58589449.50267792"/>
    </cacheField>
    <cacheField name="Foder" numFmtId="3">
      <sharedItems containsSemiMixedTypes="0" containsString="0" containsNumber="1" minValue="0" maxValue="14698917.729434509"/>
    </cacheField>
    <cacheField name="Strøelse" numFmtId="0">
      <sharedItems containsSemiMixedTypes="0" containsString="0" containsNumber="1" minValue="0" maxValue="865639.24548804213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4966504.274538353"/>
    </cacheField>
    <cacheField name="Gødning" numFmtId="3">
      <sharedItems containsSemiMixedTypes="0" containsString="0" containsNumber="1" minValue="0" maxValue="27990597.390617166"/>
    </cacheField>
    <cacheField name="Energi" numFmtId="3">
      <sharedItems containsSemiMixedTypes="0" containsString="0" containsNumber="1" minValue="0" maxValue="658589449.50267792"/>
    </cacheField>
    <cacheField name="Materialer og processer" numFmtId="3">
      <sharedItems containsSemiMixedTypes="0" containsString="0" containsNumber="1" minValue="0" maxValue="1795556.8725154817"/>
    </cacheField>
    <cacheField name="Produktion minus forbrug [ton]" numFmtId="3">
      <sharedItems containsSemiMixedTypes="0" containsString="0" containsNumber="1" minValue="-5788120.7826627567" maxValue="10810960.417695016"/>
    </cacheField>
    <cacheField name="Potentiale til energi [ton]" numFmtId="3">
      <sharedItems containsSemiMixedTypes="0" containsString="0" containsNumber="1" minValue="0" maxValue="10810960.417695016"/>
    </cacheField>
    <cacheField name="Forbrug energi [ton/m3]" numFmtId="3">
      <sharedItems containsSemiMixedTypes="0" containsString="0" containsNumber="1" minValue="0" maxValue="658589449.50267792"/>
    </cacheField>
    <cacheField name="Potentiale til energi [PJ]" numFmtId="0">
      <sharedItems containsSemiMixedTypes="0" containsString="0" containsNumber="1" minValue="0" maxValue="19.8908157985066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6.8410105710107896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3027068.9169546044"/>
    </cacheField>
    <cacheField name="Forbrug/potentiale [Ton TS]" numFmtId="0">
      <sharedItems containsSemiMixedTypes="0" containsString="0" containsNumber="1" minValue="0" maxValue="3045697.4267271259"/>
    </cacheField>
    <cacheField name="Biogasproduktion [Ton TS]" numFmtId="0">
      <sharedItems containsSemiMixedTypes="0" containsString="0" containsNumber="1" minValue="0" maxValue="1027117.8873482683"/>
    </cacheField>
    <cacheField name="Biomasser til energi eksl. biogas [Ton TS]" numFmtId="0">
      <sharedItems containsSemiMixedTypes="0" containsString="0" containsNumber="1" minValue="0" maxValue="3027068.9169546044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886921299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48123924412314273" maxValue="853064.00210361299"/>
    </cacheField>
    <cacheField name="Udbytte, hovedafgrøde" numFmtId="0">
      <sharedItems containsSemiMixedTypes="0" containsString="0" containsNumber="1" minValue="7.9686000238130594" maxValue="17811817.896048278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352616828451453" maxValue="17811817.8960482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887152777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8983.290705592015" maxValue="27095725.892841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887268515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887615739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7990597.39061716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43893.92541050701"/>
    <n v="0"/>
    <n v="0"/>
    <n v="32579.784552999867"/>
    <n v="0"/>
    <n v="0"/>
    <n v="0"/>
    <n v="0"/>
    <n v="211314.14085750715"/>
    <n v="0"/>
    <n v="0"/>
    <n v="0"/>
    <n v="0"/>
    <n v="0"/>
    <n v="0"/>
    <n v="0"/>
    <n v="0"/>
    <n v="0"/>
    <n v="0"/>
  </r>
  <r>
    <x v="1"/>
    <x v="10"/>
    <n v="0"/>
    <x v="1"/>
    <s v="Vestdanmark"/>
    <n v="213337.88029141159"/>
    <n v="73265.306718627704"/>
    <n v="0"/>
    <n v="0"/>
    <n v="0"/>
    <n v="0"/>
    <n v="0"/>
    <n v="0"/>
    <n v="140072.57357278391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658589449.50267792"/>
    <n v="0"/>
    <n v="0"/>
    <n v="0"/>
    <n v="0"/>
    <n v="0"/>
    <n v="658589449.50267792"/>
    <n v="0"/>
    <n v="0"/>
    <n v="0"/>
    <n v="658589449.50267792"/>
    <n v="0"/>
    <n v="0"/>
    <n v="0"/>
    <n v="0"/>
    <n v="0"/>
    <n v="0"/>
    <n v="0"/>
    <n v="0"/>
  </r>
  <r>
    <x v="4"/>
    <x v="10"/>
    <n v="0"/>
    <x v="1"/>
    <s v="Vestdanmark"/>
    <n v="30454220.72762743"/>
    <n v="0"/>
    <n v="0"/>
    <n v="0"/>
    <n v="0"/>
    <n v="27990597.390617166"/>
    <n v="0"/>
    <n v="0"/>
    <n v="2463623.3370102644"/>
    <n v="0"/>
    <n v="0"/>
    <n v="0"/>
    <n v="0"/>
    <n v="0"/>
    <n v="0"/>
    <n v="0"/>
    <n v="0"/>
    <n v="0"/>
    <n v="0"/>
  </r>
  <r>
    <x v="5"/>
    <x v="1"/>
    <n v="1"/>
    <x v="1"/>
    <s v="Vestdanmark"/>
    <n v="742417.78752118419"/>
    <n v="0"/>
    <n v="0"/>
    <n v="0"/>
    <n v="148483.55750423684"/>
    <n v="0"/>
    <n v="0"/>
    <n v="0"/>
    <n v="593934.23001694737"/>
    <n v="593934.23001694737"/>
    <n v="148483.55750423684"/>
    <n v="0.3373701306364244"/>
    <n v="0.42171266329553048"/>
    <n v="8.4342532659106101E-2"/>
    <n v="0.3373701306364244"/>
    <n v="25398.639662457605"/>
    <n v="31748.299578072005"/>
    <n v="6349.6599156144011"/>
    <n v="25398.639662457605"/>
  </r>
  <r>
    <x v="6"/>
    <x v="2"/>
    <n v="1"/>
    <x v="1"/>
    <s v="Vestdanmark"/>
    <n v="3467725.556428601"/>
    <n v="0"/>
    <n v="0"/>
    <n v="0"/>
    <n v="1733862.7782143005"/>
    <n v="656390.90889541374"/>
    <n v="0"/>
    <n v="0"/>
    <n v="1077471.8693188867"/>
    <n v="1077471.8693188867"/>
    <n v="1733862.7782143005"/>
    <n v="2.3208744065128819"/>
    <n v="6.0556148307864852"/>
    <n v="3.7347404242736033"/>
    <n v="2.3208744065128819"/>
    <n v="323241.56079566601"/>
    <n v="843400.39425995608"/>
    <n v="520158.83346429013"/>
    <n v="323241.56079566595"/>
  </r>
  <r>
    <x v="7"/>
    <x v="10"/>
    <n v="0"/>
    <x v="1"/>
    <s v="Vestdanmark"/>
    <n v="522913.16952118598"/>
    <n v="513062.37197918555"/>
    <n v="0"/>
    <n v="0"/>
    <n v="0"/>
    <n v="0"/>
    <n v="0"/>
    <n v="0"/>
    <n v="9850.7975420004223"/>
    <n v="0"/>
    <n v="0"/>
    <n v="0"/>
    <n v="0"/>
    <n v="0"/>
    <n v="0"/>
    <n v="0"/>
    <n v="0"/>
    <n v="0"/>
    <n v="0"/>
  </r>
  <r>
    <x v="8"/>
    <x v="2"/>
    <n v="1"/>
    <x v="1"/>
    <s v="Vestdanmark"/>
    <n v="10631.296472463182"/>
    <n v="0"/>
    <n v="0"/>
    <n v="0"/>
    <n v="9568.1668252168638"/>
    <n v="1063.129647246318"/>
    <n v="0"/>
    <n v="0"/>
    <n v="0"/>
    <n v="0"/>
    <n v="9568.1668252168638"/>
    <n v="0"/>
    <n v="4.4998131762312389E-3"/>
    <n v="4.4998131762312389E-3"/>
    <n v="0"/>
    <n v="0"/>
    <n v="602.79450998866241"/>
    <n v="602.79450998866241"/>
    <n v="0"/>
  </r>
  <r>
    <x v="9"/>
    <x v="10"/>
    <n v="0"/>
    <x v="1"/>
    <s v="Vestdanmark"/>
    <n v="199840.35413478027"/>
    <n v="0"/>
    <n v="0"/>
    <n v="35294.766599083188"/>
    <n v="0"/>
    <n v="0"/>
    <n v="0"/>
    <n v="0"/>
    <n v="164545.58753569709"/>
    <n v="0"/>
    <n v="0"/>
    <n v="0"/>
    <n v="0"/>
    <n v="0"/>
    <n v="0"/>
    <n v="0"/>
    <n v="0"/>
    <n v="0"/>
    <n v="0"/>
  </r>
  <r>
    <x v="10"/>
    <x v="10"/>
    <n v="0"/>
    <x v="1"/>
    <s v="Vestdanmark"/>
    <n v="1052106.88659479"/>
    <n v="0"/>
    <n v="0"/>
    <n v="0"/>
    <n v="0"/>
    <n v="0"/>
    <n v="0"/>
    <n v="0"/>
    <n v="1052106.88659479"/>
    <n v="0"/>
    <n v="0"/>
    <n v="0"/>
    <n v="0"/>
    <n v="0"/>
    <n v="0"/>
    <n v="0"/>
    <n v="0"/>
    <n v="0"/>
    <n v="0"/>
  </r>
  <r>
    <x v="11"/>
    <x v="10"/>
    <n v="0"/>
    <x v="1"/>
    <s v="Vestdanmark"/>
    <n v="30569.09248387249"/>
    <n v="0"/>
    <n v="0"/>
    <n v="257923.29437791562"/>
    <n v="0"/>
    <n v="0"/>
    <n v="0"/>
    <n v="0"/>
    <n v="-227354.2018940431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7095725.89284119"/>
    <n v="14698917.729434509"/>
    <n v="0"/>
    <n v="0"/>
    <n v="66530.392044719745"/>
    <n v="0"/>
    <n v="0"/>
    <n v="1519317.3536669463"/>
    <n v="10810960.417695016"/>
    <n v="10810960.417695016"/>
    <n v="66530.392044719745"/>
    <n v="19.890815798506619"/>
    <n v="20.013223403569899"/>
    <n v="0.12240760506327875"/>
    <n v="19.890815798506619"/>
    <n v="3027068.9169546044"/>
    <n v="3045697.4267271259"/>
    <n v="18628.509772521531"/>
    <n v="3027068.9169546044"/>
  </r>
  <r>
    <x v="14"/>
    <x v="10"/>
    <n v="0"/>
    <x v="1"/>
    <s v="Vestdanmark"/>
    <n v="253986.39662457604"/>
    <n v="253986.39662457604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08752.59567778328"/>
    <n v="0"/>
    <n v="0"/>
    <n v="270140.71358529059"/>
    <n v="0"/>
    <n v="0"/>
    <n v="0"/>
    <n v="0"/>
    <n v="-61388.117907507316"/>
    <n v="0"/>
    <n v="0"/>
    <n v="0"/>
    <n v="0"/>
    <n v="0"/>
    <n v="0"/>
    <n v="0"/>
    <n v="0"/>
    <n v="0"/>
    <n v="0"/>
  </r>
  <r>
    <x v="16"/>
    <x v="5"/>
    <n v="1"/>
    <x v="1"/>
    <s v="Vestdanmark"/>
    <n v="2853693.4203751995"/>
    <n v="918861.60943487054"/>
    <n v="865639.24548804213"/>
    <n v="0"/>
    <n v="55360.11066582489"/>
    <n v="0"/>
    <n v="1013832.4547864624"/>
    <n v="0"/>
    <n v="0"/>
    <n v="0"/>
    <n v="1069192.5654522872"/>
    <n v="0"/>
    <n v="10.797956845450313"/>
    <n v="0.31918093244824008"/>
    <n v="10.478775913002073"/>
    <n v="0"/>
    <n v="908813.68063444411"/>
    <n v="47056.094065951154"/>
    <n v="861757.58656849293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5788120.7826627567"/>
    <n v="0"/>
    <n v="0"/>
    <n v="0"/>
    <n v="0"/>
    <n v="0"/>
    <n v="0"/>
    <n v="-5788120.7826627567"/>
    <n v="0"/>
    <n v="0"/>
    <n v="0"/>
    <n v="0"/>
    <n v="0"/>
    <n v="0"/>
    <n v="0"/>
    <n v="0"/>
    <n v="0"/>
    <n v="0"/>
  </r>
  <r>
    <x v="19"/>
    <x v="1"/>
    <n v="1"/>
    <x v="1"/>
    <s v="Vestdanmark"/>
    <n v="583497.9658742107"/>
    <n v="0"/>
    <n v="0"/>
    <n v="0"/>
    <n v="529759.62082392198"/>
    <n v="0"/>
    <n v="0"/>
    <n v="0"/>
    <n v="53738.345050288714"/>
    <n v="53738.345050288714"/>
    <n v="529759.62082392198"/>
    <n v="0.23285523508775754"/>
    <n v="2.1840449450014048"/>
    <n v="1.951189709913647"/>
    <n v="0.23285523508775774"/>
    <n v="22570.104921121259"/>
    <n v="245069.14566716849"/>
    <n v="222499.04074604722"/>
    <n v="22570.104921121267"/>
  </r>
  <r>
    <x v="20"/>
    <x v="10"/>
    <n v="0"/>
    <x v="1"/>
    <s v="Vestdanmark"/>
    <n v="677222.38479268458"/>
    <n v="0"/>
    <n v="0"/>
    <n v="0"/>
    <n v="0"/>
    <n v="0"/>
    <n v="0"/>
    <n v="0"/>
    <n v="677222.38479268458"/>
    <n v="0"/>
    <n v="0"/>
    <n v="0"/>
    <n v="0"/>
    <n v="0"/>
    <n v="0"/>
    <n v="0"/>
    <n v="0"/>
    <n v="0"/>
    <n v="0"/>
  </r>
  <r>
    <x v="21"/>
    <x v="10"/>
    <n v="0"/>
    <x v="1"/>
    <s v="Vestdanmark"/>
    <n v="1678516.8822786708"/>
    <n v="0"/>
    <n v="0"/>
    <n v="123531.68309679118"/>
    <n v="0"/>
    <n v="0"/>
    <n v="0"/>
    <n v="0"/>
    <n v="1554985.1991818796"/>
    <n v="0"/>
    <n v="0"/>
    <n v="0"/>
    <n v="0"/>
    <n v="0"/>
    <n v="0"/>
    <n v="0"/>
    <n v="0"/>
    <n v="0"/>
    <n v="0"/>
  </r>
  <r>
    <x v="22"/>
    <x v="5"/>
    <n v="1"/>
    <x v="1"/>
    <s v="Vestdanmark"/>
    <n v="5159420.7570548151"/>
    <n v="6350412.4997561099"/>
    <n v="0"/>
    <n v="295933.04302308214"/>
    <n v="2908.785048538592"/>
    <n v="0"/>
    <n v="0"/>
    <n v="0"/>
    <n v="-1489833.5707729161"/>
    <n v="0"/>
    <n v="2908.785048538592"/>
    <n v="0"/>
    <n v="9.9621815613378847E-3"/>
    <n v="9.9621815613378847E-3"/>
    <n v="0"/>
    <n v="0"/>
    <n v="901.72336504696352"/>
    <n v="901.72336504696352"/>
    <n v="0"/>
  </r>
  <r>
    <x v="23"/>
    <x v="10"/>
    <n v="0"/>
    <x v="1"/>
    <s v="Vestdanmark"/>
    <n v="0"/>
    <n v="0"/>
    <n v="0"/>
    <n v="0"/>
    <n v="0"/>
    <n v="260487.33692313972"/>
    <n v="0"/>
    <n v="0"/>
    <n v="-260487.33692313972"/>
    <n v="0"/>
    <n v="0"/>
    <n v="0"/>
    <n v="0"/>
    <n v="0"/>
    <n v="0"/>
    <n v="0"/>
    <n v="0"/>
    <n v="0"/>
    <n v="0"/>
  </r>
  <r>
    <x v="24"/>
    <x v="2"/>
    <n v="1"/>
    <x v="1"/>
    <s v="Vestdanmark"/>
    <n v="15016343.382284625"/>
    <n v="0"/>
    <n v="0"/>
    <n v="0"/>
    <n v="13514709.044056162"/>
    <n v="1501634.338228462"/>
    <n v="0"/>
    <n v="0"/>
    <n v="0"/>
    <n v="0"/>
    <n v="13514709.044056162"/>
    <n v="0"/>
    <n v="6.8410105710107896"/>
    <n v="6.8410105710107896"/>
    <n v="0"/>
    <n v="0"/>
    <n v="1027117.8873482683"/>
    <n v="1027117.8873482683"/>
    <n v="0"/>
  </r>
  <r>
    <x v="25"/>
    <x v="10"/>
    <n v="0"/>
    <x v="1"/>
    <s v="Vestdanmark"/>
    <n v="1876758.5518994229"/>
    <n v="1812574.6986106629"/>
    <n v="0"/>
    <n v="0"/>
    <n v="0"/>
    <n v="0"/>
    <n v="0"/>
    <n v="0"/>
    <n v="64183.853288759943"/>
    <n v="0"/>
    <n v="0"/>
    <n v="0"/>
    <n v="0"/>
    <n v="0"/>
    <n v="0"/>
    <n v="0"/>
    <n v="0"/>
    <n v="0"/>
    <n v="0"/>
  </r>
  <r>
    <x v="26"/>
    <x v="4"/>
    <n v="1"/>
    <x v="1"/>
    <s v="Vestdanmark"/>
    <n v="5743822.9759319266"/>
    <n v="5991945.9604161605"/>
    <n v="0"/>
    <n v="0"/>
    <n v="254332.18283336936"/>
    <n v="0"/>
    <n v="0"/>
    <n v="0"/>
    <n v="-502455.16731760371"/>
    <n v="0"/>
    <n v="254332.18283336936"/>
    <n v="0"/>
    <n v="0.91305253637179606"/>
    <n v="0.91305253637179606"/>
    <n v="0"/>
    <n v="0"/>
    <n v="76299.654850010804"/>
    <n v="76299.654850010804"/>
    <n v="0"/>
  </r>
  <r>
    <x v="27"/>
    <x v="10"/>
    <n v="0"/>
    <x v="1"/>
    <s v="Vestdanmark"/>
    <n v="3621169.9874786926"/>
    <n v="0"/>
    <n v="0"/>
    <n v="472406.87601849809"/>
    <n v="0"/>
    <n v="0"/>
    <n v="0"/>
    <n v="0"/>
    <n v="3148763.1114601945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119719.7424554231"/>
    <n v="0"/>
    <n v="0"/>
    <n v="60028.253038902265"/>
    <n v="0"/>
    <n v="0"/>
    <n v="0"/>
    <n v="0"/>
    <n v="59691.489416520832"/>
    <n v="0"/>
    <n v="0"/>
    <n v="0"/>
    <n v="0"/>
    <n v="0"/>
    <n v="0"/>
    <n v="0"/>
    <n v="0"/>
    <n v="0"/>
    <n v="0"/>
  </r>
  <r>
    <x v="30"/>
    <x v="10"/>
    <n v="0"/>
    <x v="1"/>
    <s v="Vestdanmark"/>
    <n v="1486066.0976233429"/>
    <n v="0"/>
    <n v="0"/>
    <n v="0"/>
    <n v="0"/>
    <n v="0"/>
    <n v="0"/>
    <n v="0"/>
    <n v="1486066.0976233429"/>
    <n v="0"/>
    <n v="0"/>
    <n v="0"/>
    <n v="0"/>
    <n v="0"/>
    <n v="0"/>
    <n v="0"/>
    <n v="0"/>
    <n v="0"/>
    <n v="0"/>
  </r>
  <r>
    <x v="31"/>
    <x v="7"/>
    <n v="1"/>
    <x v="1"/>
    <s v="Vestdanmark"/>
    <n v="140082.86866845257"/>
    <n v="0"/>
    <n v="0"/>
    <n v="0"/>
    <n v="0"/>
    <n v="0"/>
    <n v="140082.86866845257"/>
    <n v="0"/>
    <n v="0"/>
    <n v="0"/>
    <n v="140082.86866845257"/>
    <n v="0"/>
    <n v="2.577524783499527"/>
    <n v="0"/>
    <n v="2.577524783499527"/>
    <n v="0"/>
    <n v="58134.390497407825"/>
    <n v="0"/>
    <n v="58134.390497407825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5638901.0660288362"/>
    <n v="0"/>
    <n v="0"/>
    <n v="0"/>
    <n v="0"/>
    <n v="0"/>
    <n v="0"/>
    <n v="0"/>
    <n v="5638901.0660288362"/>
    <n v="0"/>
    <n v="0"/>
    <n v="0"/>
    <n v="0"/>
    <n v="0"/>
    <n v="0"/>
    <n v="0"/>
    <n v="0"/>
    <n v="0"/>
    <n v="0"/>
  </r>
  <r>
    <x v="35"/>
    <x v="10"/>
    <n v="0"/>
    <x v="1"/>
    <s v="Vestdanmark"/>
    <n v="395390.17485052859"/>
    <n v="0"/>
    <n v="0"/>
    <n v="0"/>
    <n v="0"/>
    <n v="0"/>
    <n v="0"/>
    <n v="395390.17485052859"/>
    <n v="0"/>
    <n v="0"/>
    <n v="0"/>
    <n v="0"/>
    <n v="0"/>
    <n v="0"/>
    <n v="0"/>
    <n v="0"/>
    <n v="0"/>
    <n v="0"/>
    <n v="0"/>
  </r>
  <r>
    <x v="36"/>
    <x v="10"/>
    <n v="0"/>
    <x v="1"/>
    <s v="Vestdanmark"/>
    <n v="197695.0874252643"/>
    <n v="251878.62569823104"/>
    <n v="0"/>
    <n v="0"/>
    <n v="0"/>
    <n v="0"/>
    <n v="0"/>
    <n v="0"/>
    <n v="-54183.538272966747"/>
    <n v="0"/>
    <n v="0"/>
    <n v="0"/>
    <n v="0"/>
    <n v="0"/>
    <n v="0"/>
    <n v="0"/>
    <n v="0"/>
    <n v="0"/>
    <n v="0"/>
  </r>
  <r>
    <x v="37"/>
    <x v="9"/>
    <n v="1"/>
    <x v="1"/>
    <s v="Vestdanmark"/>
    <n v="126524.85595216915"/>
    <n v="0"/>
    <n v="0"/>
    <n v="0"/>
    <n v="0"/>
    <n v="0"/>
    <n v="126524.85595216915"/>
    <n v="0"/>
    <n v="0"/>
    <n v="0"/>
    <n v="126524.85595216915"/>
    <n v="0"/>
    <n v="4.42836995832592"/>
    <n v="0"/>
    <n v="4.42836995832592"/>
    <n v="0"/>
    <n v="0"/>
    <n v="0"/>
    <n v="0"/>
  </r>
  <r>
    <x v="38"/>
    <x v="4"/>
    <n v="1"/>
    <x v="1"/>
    <s v="Vestdanmark"/>
    <n v="1905404.856436112"/>
    <n v="1042365.5001332033"/>
    <n v="0"/>
    <n v="0"/>
    <n v="21895.892415714086"/>
    <n v="0"/>
    <n v="0"/>
    <n v="0"/>
    <n v="841143.46388719464"/>
    <n v="841143.46388719464"/>
    <n v="21895.892415714086"/>
    <n v="2.2828970067284016"/>
    <n v="2.342323334580346"/>
    <n v="5.9426327851944662E-2"/>
    <n v="2.2828970067284016"/>
    <n v="168228.69277743893"/>
    <n v="172607.87126058177"/>
    <n v="4379.1784831428176"/>
    <n v="168228.69277743896"/>
  </r>
  <r>
    <x v="39"/>
    <x v="10"/>
    <n v="0"/>
    <x v="1"/>
    <s v="Vestdanmark"/>
    <n v="216720.35926101435"/>
    <n v="0"/>
    <n v="0"/>
    <n v="0"/>
    <n v="0"/>
    <n v="0"/>
    <n v="0"/>
    <n v="0"/>
    <n v="216720.35926101435"/>
    <n v="0"/>
    <n v="0"/>
    <n v="0"/>
    <n v="0"/>
    <n v="0"/>
    <n v="0"/>
    <n v="0"/>
    <n v="0"/>
    <n v="0"/>
    <n v="0"/>
  </r>
  <r>
    <x v="40"/>
    <x v="10"/>
    <n v="0"/>
    <x v="1"/>
    <s v="Vestdanmark"/>
    <n v="147465.74012636166"/>
    <n v="46179.344840832011"/>
    <n v="0"/>
    <n v="0"/>
    <n v="0"/>
    <n v="0"/>
    <n v="0"/>
    <n v="0"/>
    <n v="101286.39528552965"/>
    <n v="0"/>
    <n v="0"/>
    <n v="0"/>
    <n v="0"/>
    <n v="0"/>
    <n v="0"/>
    <n v="0"/>
    <n v="0"/>
    <n v="0"/>
    <n v="0"/>
  </r>
  <r>
    <x v="41"/>
    <x v="1"/>
    <n v="1"/>
    <x v="1"/>
    <s v="Vestdanmark"/>
    <n v="3993122.7357712239"/>
    <n v="0"/>
    <n v="0"/>
    <n v="0"/>
    <n v="1514387.1819129025"/>
    <n v="0"/>
    <n v="0"/>
    <n v="0"/>
    <n v="2478735.5538583212"/>
    <n v="2478735.5538583212"/>
    <n v="1514387.1819129025"/>
    <n v="1.236913828730841"/>
    <n v="1.9926081763771986"/>
    <n v="0.75569434764635757"/>
    <n v="1.236913828730841"/>
    <n v="148724.13323149926"/>
    <n v="239587.36414627344"/>
    <n v="90863.230914774147"/>
    <n v="148724.13323149929"/>
  </r>
  <r>
    <x v="42"/>
    <x v="2"/>
    <n v="1"/>
    <x v="1"/>
    <s v="Vestdanmark"/>
    <n v="16629449.193931503"/>
    <n v="0"/>
    <n v="0"/>
    <n v="0"/>
    <n v="14966504.274538353"/>
    <n v="1662944.9193931499"/>
    <n v="0"/>
    <n v="0"/>
    <n v="0"/>
    <n v="0"/>
    <n v="14966504.274538353"/>
    <n v="0"/>
    <n v="6.4475700414711232"/>
    <n v="6.4475700414711232"/>
    <n v="0"/>
    <n v="0"/>
    <n v="748325.21372691775"/>
    <n v="748325.21372691775"/>
    <n v="0"/>
  </r>
  <r>
    <x v="43"/>
    <x v="10"/>
    <n v="0"/>
    <x v="1"/>
    <s v="Vestdanmark"/>
    <n v="1567563.5653193598"/>
    <n v="0"/>
    <n v="0"/>
    <n v="121875.54404868034"/>
    <n v="0"/>
    <n v="0"/>
    <n v="0"/>
    <n v="0"/>
    <n v="1445688.0212706793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214311.08005782543"/>
    <n v="0"/>
    <n v="0"/>
    <n v="33849.968886444818"/>
    <n v="0"/>
    <n v="0"/>
    <n v="0"/>
    <n v="0"/>
    <n v="180461.11117138062"/>
    <n v="0"/>
    <n v="0"/>
    <n v="0"/>
    <n v="0"/>
    <n v="0"/>
    <n v="0"/>
    <n v="0"/>
    <n v="0"/>
    <n v="0"/>
    <n v="0"/>
  </r>
  <r>
    <x v="1"/>
    <x v="10"/>
    <n v="0"/>
    <x v="2"/>
    <s v="Vestdanmark"/>
    <n v="198114.08883444962"/>
    <n v="73265.306718627704"/>
    <n v="0"/>
    <n v="0"/>
    <n v="0"/>
    <n v="0"/>
    <n v="0"/>
    <n v="0"/>
    <n v="124848.78211582192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624579787.93354332"/>
    <n v="0"/>
    <n v="0"/>
    <n v="0"/>
    <n v="0"/>
    <n v="0"/>
    <n v="624579787.93354332"/>
    <n v="0"/>
    <n v="0"/>
    <n v="0"/>
    <n v="624579787.93354332"/>
    <n v="0"/>
    <n v="0"/>
    <n v="0"/>
    <n v="0"/>
    <n v="0"/>
    <n v="0"/>
    <n v="0"/>
    <n v="0"/>
  </r>
  <r>
    <x v="4"/>
    <x v="10"/>
    <n v="0"/>
    <x v="2"/>
    <s v="Vestdanmark"/>
    <n v="26905998.693784095"/>
    <n v="0"/>
    <n v="0"/>
    <n v="0"/>
    <n v="0"/>
    <n v="24286338.861024369"/>
    <n v="0"/>
    <n v="0"/>
    <n v="2619659.8327597268"/>
    <n v="0"/>
    <n v="0"/>
    <n v="0"/>
    <n v="0"/>
    <n v="0"/>
    <n v="0"/>
    <n v="0"/>
    <n v="0"/>
    <n v="0"/>
    <n v="0"/>
  </r>
  <r>
    <x v="5"/>
    <x v="1"/>
    <n v="1"/>
    <x v="2"/>
    <s v="Vestdanmark"/>
    <n v="877402.83979776292"/>
    <n v="0"/>
    <n v="0"/>
    <n v="0"/>
    <n v="175480.5679595526"/>
    <n v="0"/>
    <n v="0"/>
    <n v="0"/>
    <n v="701922.27183821029"/>
    <n v="701922.27183821029"/>
    <n v="175480.5679595526"/>
    <n v="0.39871015438850144"/>
    <n v="0.4983876929856268"/>
    <n v="9.9677538597125373E-2"/>
    <n v="0.39871015438850144"/>
    <n v="30016.574146540795"/>
    <n v="37520.717683175993"/>
    <n v="7504.1435366351998"/>
    <n v="30016.574146540792"/>
  </r>
  <r>
    <x v="6"/>
    <x v="2"/>
    <n v="1"/>
    <x v="2"/>
    <s v="Vestdanmark"/>
    <n v="4132042.9154774514"/>
    <n v="0"/>
    <n v="0"/>
    <n v="0"/>
    <n v="2066021.4577387257"/>
    <n v="782136.69471537473"/>
    <n v="0"/>
    <n v="0"/>
    <n v="1283884.7630233509"/>
    <n v="1283884.7630233509"/>
    <n v="2066021.4577387257"/>
    <n v="2.7654877795522976"/>
    <n v="7.2156979995215131"/>
    <n v="4.4502102199692155"/>
    <n v="2.7654877795522976"/>
    <n v="385165.42890700523"/>
    <n v="1004971.866228623"/>
    <n v="619806.43732161773"/>
    <n v="385165.42890700523"/>
  </r>
  <r>
    <x v="7"/>
    <x v="10"/>
    <n v="0"/>
    <x v="2"/>
    <s v="Vestdanmark"/>
    <n v="617988.29125231062"/>
    <n v="615674.84637502255"/>
    <n v="0"/>
    <n v="0"/>
    <n v="0"/>
    <n v="0"/>
    <n v="0"/>
    <n v="0"/>
    <n v="2313.4448772880714"/>
    <n v="0"/>
    <n v="0"/>
    <n v="0"/>
    <n v="0"/>
    <n v="0"/>
    <n v="0"/>
    <n v="0"/>
    <n v="0"/>
    <n v="0"/>
    <n v="0"/>
  </r>
  <r>
    <x v="8"/>
    <x v="2"/>
    <n v="1"/>
    <x v="2"/>
    <s v="Vestdanmark"/>
    <n v="12080.53053985185"/>
    <n v="0"/>
    <n v="0"/>
    <n v="0"/>
    <n v="10872.477485866666"/>
    <n v="1208.0530539851848"/>
    <n v="0"/>
    <n v="0"/>
    <n v="0"/>
    <n v="0"/>
    <n v="10872.477485866666"/>
    <n v="0"/>
    <n v="5.1132174368282348E-3"/>
    <n v="5.1132174368282348E-3"/>
    <n v="0"/>
    <n v="0"/>
    <n v="684.9660816096"/>
    <n v="684.9660816096"/>
    <n v="0"/>
  </r>
  <r>
    <x v="9"/>
    <x v="10"/>
    <n v="0"/>
    <x v="2"/>
    <s v="Vestdanmark"/>
    <n v="157500.32695448503"/>
    <n v="0"/>
    <n v="0"/>
    <n v="36670.799626981883"/>
    <n v="0"/>
    <n v="0"/>
    <n v="0"/>
    <n v="0"/>
    <n v="120829.52732750315"/>
    <n v="0"/>
    <n v="0"/>
    <n v="0"/>
    <n v="0"/>
    <n v="0"/>
    <n v="0"/>
    <n v="0"/>
    <n v="0"/>
    <n v="0"/>
    <n v="0"/>
  </r>
  <r>
    <x v="10"/>
    <x v="10"/>
    <n v="0"/>
    <x v="2"/>
    <s v="Vestdanmark"/>
    <n v="978236.2422912115"/>
    <n v="0"/>
    <n v="0"/>
    <n v="0"/>
    <n v="0"/>
    <n v="0"/>
    <n v="0"/>
    <n v="0"/>
    <n v="978236.2422912115"/>
    <n v="0"/>
    <n v="0"/>
    <n v="0"/>
    <n v="0"/>
    <n v="0"/>
    <n v="0"/>
    <n v="0"/>
    <n v="0"/>
    <n v="0"/>
    <n v="0"/>
  </r>
  <r>
    <x v="11"/>
    <x v="10"/>
    <n v="0"/>
    <x v="2"/>
    <s v="Vestdanmark"/>
    <n v="28377.663005470582"/>
    <n v="0"/>
    <n v="0"/>
    <n v="267978.92035102146"/>
    <n v="0"/>
    <n v="0"/>
    <n v="0"/>
    <n v="0"/>
    <n v="-239601.25734555087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26548852.942320853"/>
    <n v="14698917.729434509"/>
    <n v="0"/>
    <n v="0"/>
    <n v="66036.373634957796"/>
    <n v="0"/>
    <n v="0"/>
    <n v="1795556.8725154817"/>
    <n v="9988341.966735905"/>
    <n v="9988341.966735905"/>
    <n v="66036.373634957796"/>
    <n v="18.377300676048225"/>
    <n v="18.498799348989845"/>
    <n v="0.12149867294161798"/>
    <n v="18.377300676048225"/>
    <n v="2796735.7506860537"/>
    <n v="2815225.9353038422"/>
    <n v="18490.184617788185"/>
    <n v="2796735.7506860541"/>
  </r>
  <r>
    <x v="14"/>
    <x v="10"/>
    <n v="0"/>
    <x v="2"/>
    <s v="Vestdanmark"/>
    <n v="300165.74146540801"/>
    <n v="300165.7414654080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2327.0774028138"/>
    <n v="0"/>
    <n v="0"/>
    <n v="280672.65868343826"/>
    <n v="0"/>
    <n v="0"/>
    <n v="0"/>
    <n v="0"/>
    <n v="-88345.581280624465"/>
    <n v="0"/>
    <n v="0"/>
    <n v="0"/>
    <n v="0"/>
    <n v="0"/>
    <n v="0"/>
    <n v="0"/>
    <n v="0"/>
    <n v="0"/>
    <n v="0"/>
  </r>
  <r>
    <x v="16"/>
    <x v="5"/>
    <n v="1"/>
    <x v="2"/>
    <s v="Vestdanmark"/>
    <n v="2513887.2010549977"/>
    <n v="918861.60943487042"/>
    <n v="849907.04589271802"/>
    <n v="0"/>
    <n v="54203.01557442543"/>
    <n v="0"/>
    <n v="690915.53015298408"/>
    <n v="0"/>
    <n v="0"/>
    <n v="0"/>
    <n v="745118.54572740954"/>
    <n v="0"/>
    <n v="7.4536787707765662"/>
    <n v="0.3125096544149728"/>
    <n v="7.1411691163615938"/>
    <n v="0"/>
    <n v="633350.76386829815"/>
    <n v="46072.563238261617"/>
    <n v="587278.20063003653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5788120.7826627549"/>
    <n v="0"/>
    <n v="0"/>
    <n v="0"/>
    <n v="0"/>
    <n v="0"/>
    <n v="0"/>
    <n v="-5788120.7826627549"/>
    <n v="0"/>
    <n v="0"/>
    <n v="0"/>
    <n v="0"/>
    <n v="0"/>
    <n v="0"/>
    <n v="0"/>
    <n v="0"/>
    <n v="0"/>
    <n v="0"/>
  </r>
  <r>
    <x v="19"/>
    <x v="1"/>
    <n v="1"/>
    <x v="2"/>
    <s v="Vestdanmark"/>
    <n v="568531.79900121083"/>
    <n v="0"/>
    <n v="0"/>
    <n v="0"/>
    <n v="517021.84354515088"/>
    <n v="0"/>
    <n v="0"/>
    <n v="0"/>
    <n v="51509.95545605995"/>
    <n v="51509.95545605995"/>
    <n v="517021.84354515088"/>
    <n v="0.22319933328531708"/>
    <n v="2.1274737650679971"/>
    <n v="1.9042744317826799"/>
    <n v="0.22319933328531727"/>
    <n v="21634.181291545177"/>
    <n v="238783.35558050853"/>
    <n v="217149.17428896338"/>
    <n v="21634.181291545159"/>
  </r>
  <r>
    <x v="20"/>
    <x v="10"/>
    <n v="0"/>
    <x v="2"/>
    <s v="Vestdanmark"/>
    <n v="628916.4005833331"/>
    <n v="0"/>
    <n v="0"/>
    <n v="0"/>
    <n v="0"/>
    <n v="0"/>
    <n v="0"/>
    <n v="0"/>
    <n v="628916.4005833331"/>
    <n v="0"/>
    <n v="0"/>
    <n v="0"/>
    <n v="0"/>
    <n v="0"/>
    <n v="0"/>
    <n v="0"/>
    <n v="0"/>
    <n v="0"/>
    <n v="0"/>
  </r>
  <r>
    <x v="21"/>
    <x v="10"/>
    <n v="0"/>
    <x v="2"/>
    <s v="Vestdanmark"/>
    <n v="1559779.6153129078"/>
    <n v="0"/>
    <n v="0"/>
    <n v="128347.79869443661"/>
    <n v="0"/>
    <n v="0"/>
    <n v="0"/>
    <n v="0"/>
    <n v="1431431.8166184712"/>
    <n v="0"/>
    <n v="0"/>
    <n v="0"/>
    <n v="0"/>
    <n v="0"/>
    <n v="0"/>
    <n v="0"/>
    <n v="0"/>
    <n v="0"/>
    <n v="0"/>
  </r>
  <r>
    <x v="22"/>
    <x v="5"/>
    <n v="1"/>
    <x v="2"/>
    <s v="Vestdanmark"/>
    <n v="4900795.1054666163"/>
    <n v="6174012.1525406614"/>
    <n v="0"/>
    <n v="307470.55071854044"/>
    <n v="2883.6913429660071"/>
    <n v="0"/>
    <n v="0"/>
    <n v="0"/>
    <n v="-1583571.2891355511"/>
    <n v="0"/>
    <n v="2883.6913429660071"/>
    <n v="0"/>
    <n v="9.8762391328705602E-3"/>
    <n v="9.8762391328705602E-3"/>
    <n v="0"/>
    <n v="0"/>
    <n v="893.94431631946225"/>
    <n v="893.94431631946225"/>
    <n v="0"/>
  </r>
  <r>
    <x v="23"/>
    <x v="10"/>
    <n v="0"/>
    <x v="2"/>
    <s v="Vestdanmark"/>
    <n v="0"/>
    <n v="0"/>
    <n v="0"/>
    <n v="0"/>
    <n v="0"/>
    <n v="246005.45516354125"/>
    <n v="0"/>
    <n v="0"/>
    <n v="-246005.45516354125"/>
    <n v="0"/>
    <n v="0"/>
    <n v="0"/>
    <n v="0"/>
    <n v="0"/>
    <n v="0"/>
    <n v="0"/>
    <n v="0"/>
    <n v="0"/>
    <n v="0"/>
  </r>
  <r>
    <x v="24"/>
    <x v="2"/>
    <n v="1"/>
    <x v="2"/>
    <s v="Vestdanmark"/>
    <n v="13698405.628900958"/>
    <n v="0"/>
    <n v="0"/>
    <n v="0"/>
    <n v="12328565.066010863"/>
    <n v="1369840.5628900954"/>
    <n v="0"/>
    <n v="0"/>
    <n v="0"/>
    <n v="0"/>
    <n v="12328565.066010863"/>
    <n v="0"/>
    <n v="6.2405963507640392"/>
    <n v="6.2405963507640392"/>
    <n v="0"/>
    <n v="0"/>
    <n v="936970.94501682557"/>
    <n v="936970.94501682557"/>
    <n v="0"/>
  </r>
  <r>
    <x v="25"/>
    <x v="10"/>
    <n v="0"/>
    <x v="2"/>
    <s v="Vestdanmark"/>
    <n v="1716802.1114000401"/>
    <n v="1812574.6986106627"/>
    <n v="0"/>
    <n v="0"/>
    <n v="0"/>
    <n v="0"/>
    <n v="0"/>
    <n v="0"/>
    <n v="-95772.587210622616"/>
    <n v="0"/>
    <n v="0"/>
    <n v="0"/>
    <n v="0"/>
    <n v="0"/>
    <n v="0"/>
    <n v="0"/>
    <n v="0"/>
    <n v="0"/>
    <n v="0"/>
  </r>
  <r>
    <x v="26"/>
    <x v="4"/>
    <n v="1"/>
    <x v="2"/>
    <s v="Vestdanmark"/>
    <n v="5640663.1541694049"/>
    <n v="5991945.9604161596"/>
    <n v="0"/>
    <n v="0"/>
    <n v="252182.2278297123"/>
    <n v="0"/>
    <n v="0"/>
    <n v="0"/>
    <n v="-603465.03407646716"/>
    <n v="0"/>
    <n v="252182.2278297123"/>
    <n v="0"/>
    <n v="0.9053341979086672"/>
    <n v="0.9053341979086672"/>
    <n v="0"/>
    <n v="0"/>
    <n v="75654.668348913692"/>
    <n v="75654.668348913692"/>
    <n v="0"/>
  </r>
  <r>
    <x v="27"/>
    <x v="10"/>
    <n v="0"/>
    <x v="2"/>
    <s v="Vestdanmark"/>
    <n v="3312537.0730027938"/>
    <n v="0"/>
    <n v="0"/>
    <n v="490824.54885344987"/>
    <n v="0"/>
    <n v="0"/>
    <n v="0"/>
    <n v="0"/>
    <n v="2821712.5241493438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101763.93645151507"/>
    <n v="0"/>
    <n v="0"/>
    <n v="62368.567673274578"/>
    <n v="0"/>
    <n v="0"/>
    <n v="0"/>
    <n v="0"/>
    <n v="39395.368778240489"/>
    <n v="0"/>
    <n v="0"/>
    <n v="0"/>
    <n v="0"/>
    <n v="0"/>
    <n v="0"/>
    <n v="0"/>
    <n v="0"/>
    <n v="0"/>
    <n v="0"/>
  </r>
  <r>
    <x v="30"/>
    <x v="10"/>
    <n v="0"/>
    <x v="2"/>
    <s v="Vestdanmark"/>
    <n v="1379975.3828292931"/>
    <n v="0"/>
    <n v="0"/>
    <n v="0"/>
    <n v="0"/>
    <n v="0"/>
    <n v="0"/>
    <n v="0"/>
    <n v="1379975.3828292931"/>
    <n v="0"/>
    <n v="0"/>
    <n v="0"/>
    <n v="0"/>
    <n v="0"/>
    <n v="0"/>
    <n v="0"/>
    <n v="0"/>
    <n v="0"/>
    <n v="0"/>
  </r>
  <r>
    <x v="31"/>
    <x v="7"/>
    <n v="1"/>
    <x v="2"/>
    <s v="Vestdanmark"/>
    <n v="130798.88136292373"/>
    <n v="0"/>
    <n v="0"/>
    <n v="0"/>
    <n v="0"/>
    <n v="0"/>
    <n v="130798.88136292373"/>
    <n v="0"/>
    <n v="0"/>
    <n v="0"/>
    <n v="130798.88136292373"/>
    <n v="0"/>
    <n v="2.406699417077796"/>
    <n v="0"/>
    <n v="2.406699417077796"/>
    <n v="0"/>
    <n v="54281.535765613349"/>
    <n v="0"/>
    <n v="54281.535765613349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5158296.5993875219"/>
    <n v="0"/>
    <n v="0"/>
    <n v="0"/>
    <n v="0"/>
    <n v="0"/>
    <n v="0"/>
    <n v="0"/>
    <n v="5158296.5993875219"/>
    <n v="0"/>
    <n v="0"/>
    <n v="0"/>
    <n v="0"/>
    <n v="0"/>
    <n v="0"/>
    <n v="0"/>
    <n v="0"/>
    <n v="0"/>
    <n v="0"/>
  </r>
  <r>
    <x v="35"/>
    <x v="10"/>
    <n v="0"/>
    <x v="2"/>
    <s v="Vestdanmark"/>
    <n v="365281.50726983073"/>
    <n v="0"/>
    <n v="0"/>
    <n v="0"/>
    <n v="0"/>
    <n v="0"/>
    <n v="0"/>
    <n v="365281.50726983073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82640.75363491537"/>
    <n v="251878.62569823102"/>
    <n v="0"/>
    <n v="0"/>
    <n v="0"/>
    <n v="0"/>
    <n v="0"/>
    <n v="0"/>
    <n v="-69237.872063315648"/>
    <n v="0"/>
    <n v="0"/>
    <n v="0"/>
    <n v="0"/>
    <n v="0"/>
    <n v="0"/>
    <n v="0"/>
    <n v="0"/>
    <n v="0"/>
    <n v="0"/>
  </r>
  <r>
    <x v="37"/>
    <x v="9"/>
    <n v="1"/>
    <x v="2"/>
    <s v="Vestdanmark"/>
    <n v="116890.08232634584"/>
    <n v="0"/>
    <n v="0"/>
    <n v="0"/>
    <n v="0"/>
    <n v="0"/>
    <n v="116890.08232634584"/>
    <n v="0"/>
    <n v="0"/>
    <n v="0"/>
    <n v="116890.08232634584"/>
    <n v="0"/>
    <n v="4.0911528814221043"/>
    <n v="0"/>
    <n v="4.0911528814221043"/>
    <n v="0"/>
    <n v="0"/>
    <n v="0"/>
    <n v="0"/>
  </r>
  <r>
    <x v="38"/>
    <x v="4"/>
    <n v="1"/>
    <x v="2"/>
    <s v="Vestdanmark"/>
    <n v="1766884.9195914473"/>
    <n v="1042365.5001332033"/>
    <n v="0"/>
    <n v="0"/>
    <n v="21696.433352533084"/>
    <n v="0"/>
    <n v="0"/>
    <n v="0"/>
    <n v="702822.98610571097"/>
    <n v="702822.98610571097"/>
    <n v="21696.433352533084"/>
    <n v="1.9074896972103439"/>
    <n v="1.9663746851864528"/>
    <n v="5.8884987976108895E-2"/>
    <n v="1.9074896972103439"/>
    <n v="140564.5972211422"/>
    <n v="144903.88389164882"/>
    <n v="4339.2866705066172"/>
    <n v="140564.5972211422"/>
  </r>
  <r>
    <x v="39"/>
    <x v="10"/>
    <n v="0"/>
    <x v="2"/>
    <s v="Vestdanmark"/>
    <n v="187205.4874474731"/>
    <n v="0"/>
    <n v="0"/>
    <n v="0"/>
    <n v="0"/>
    <n v="0"/>
    <n v="0"/>
    <n v="0"/>
    <n v="187205.4874474731"/>
    <n v="0"/>
    <n v="0"/>
    <n v="0"/>
    <n v="0"/>
    <n v="0"/>
    <n v="0"/>
    <n v="0"/>
    <n v="0"/>
    <n v="0"/>
    <n v="0"/>
  </r>
  <r>
    <x v="40"/>
    <x v="10"/>
    <n v="0"/>
    <x v="2"/>
    <s v="Vestdanmark"/>
    <n v="128378.10633228059"/>
    <n v="46179.344840832004"/>
    <n v="0"/>
    <n v="0"/>
    <n v="0"/>
    <n v="0"/>
    <n v="0"/>
    <n v="0"/>
    <n v="82198.761491448589"/>
    <n v="0"/>
    <n v="0"/>
    <n v="0"/>
    <n v="0"/>
    <n v="0"/>
    <n v="0"/>
    <n v="0"/>
    <n v="0"/>
    <n v="0"/>
    <n v="0"/>
  </r>
  <r>
    <x v="41"/>
    <x v="1"/>
    <n v="1"/>
    <x v="2"/>
    <s v="Vestdanmark"/>
    <n v="4131290.9636463677"/>
    <n v="0"/>
    <n v="0"/>
    <n v="0"/>
    <n v="1566787.3226266655"/>
    <n v="0"/>
    <n v="0"/>
    <n v="0"/>
    <n v="2564503.641019702"/>
    <n v="2564503.641019702"/>
    <n v="1566787.3226266655"/>
    <n v="1.2797129619052416"/>
    <n v="2.0615555037691742"/>
    <n v="0.78184254186393243"/>
    <n v="1.2797129619052416"/>
    <n v="153870.21846118211"/>
    <n v="247877.45781878202"/>
    <n v="94007.23935759993"/>
    <n v="153870.21846118208"/>
  </r>
  <r>
    <x v="42"/>
    <x v="2"/>
    <n v="1"/>
    <x v="2"/>
    <s v="Vestdanmark"/>
    <n v="13216055.395535078"/>
    <n v="0"/>
    <n v="0"/>
    <n v="0"/>
    <n v="11894449.85598157"/>
    <n v="1321605.5395535075"/>
    <n v="0"/>
    <n v="0"/>
    <n v="0"/>
    <n v="0"/>
    <n v="11894449.85598157"/>
    <n v="0"/>
    <n v="5.1241289979568609"/>
    <n v="5.1241289979568609"/>
    <n v="0"/>
    <n v="0"/>
    <n v="594722.49279907846"/>
    <n v="594722.49279907846"/>
    <n v="0"/>
  </r>
  <r>
    <x v="43"/>
    <x v="10"/>
    <n v="0"/>
    <x v="2"/>
    <s v="Vestdanmark"/>
    <n v="1366427.219240695"/>
    <n v="0"/>
    <n v="0"/>
    <n v="126627.09194270898"/>
    <n v="0"/>
    <n v="0"/>
    <n v="0"/>
    <n v="0"/>
    <n v="1239800.1272979861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</r>
  <r>
    <x v="47"/>
    <x v="10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20469.927135437214"/>
    <n v="0"/>
    <n v="0"/>
    <n v="28209.340124628539"/>
    <n v="0"/>
    <n v="0"/>
    <n v="0"/>
    <n v="0"/>
    <n v="-7739.4129891913253"/>
    <n v="0"/>
    <n v="0"/>
    <n v="0"/>
    <n v="0"/>
    <n v="0"/>
    <n v="0"/>
    <n v="0"/>
    <n v="0"/>
    <n v="0"/>
    <n v="0"/>
  </r>
  <r>
    <x v="1"/>
    <x v="10"/>
    <n v="0"/>
    <x v="1"/>
    <s v="Østdanmark"/>
    <n v="63812.089455455738"/>
    <n v="8992.6676617292323"/>
    <n v="0"/>
    <n v="0"/>
    <n v="0"/>
    <n v="0"/>
    <n v="0"/>
    <n v="0"/>
    <n v="54819.421793726506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31813030.03639302"/>
    <n v="0"/>
    <n v="0"/>
    <n v="0"/>
    <n v="0"/>
    <n v="0"/>
    <n v="131813030.03639302"/>
    <n v="0"/>
    <n v="0"/>
    <n v="0"/>
    <n v="131813030.03639302"/>
    <n v="0"/>
    <n v="0"/>
    <n v="0"/>
    <n v="0"/>
    <n v="0"/>
    <n v="0"/>
    <n v="0"/>
    <n v="0"/>
  </r>
  <r>
    <x v="4"/>
    <x v="10"/>
    <n v="0"/>
    <x v="1"/>
    <s v="Østdanmark"/>
    <n v="4747757.6055027461"/>
    <n v="0"/>
    <n v="0"/>
    <n v="0"/>
    <n v="0"/>
    <n v="4363683.2093789419"/>
    <n v="0"/>
    <n v="0"/>
    <n v="384074.39612380415"/>
    <n v="0"/>
    <n v="0"/>
    <n v="0"/>
    <n v="0"/>
    <n v="0"/>
    <n v="0"/>
    <n v="0"/>
    <n v="0"/>
    <n v="0"/>
    <n v="0"/>
  </r>
  <r>
    <x v="5"/>
    <x v="1"/>
    <n v="1"/>
    <x v="1"/>
    <s v="Østdanmark"/>
    <n v="91125.209575309986"/>
    <n v="0"/>
    <n v="0"/>
    <n v="0"/>
    <n v="18225.041915061996"/>
    <n v="0"/>
    <n v="0"/>
    <n v="0"/>
    <n v="72900.167660247986"/>
    <n v="72900.167660247986"/>
    <n v="18225.041915061996"/>
    <n v="4.1409196244259788E-2"/>
    <n v="5.1761495305324735E-2"/>
    <n v="1.0352299061064947E-2"/>
    <n v="4.1409196244259788E-2"/>
    <n v="3117.4581227327999"/>
    <n v="3896.8226534159999"/>
    <n v="779.36453068319997"/>
    <n v="3117.4581227327999"/>
  </r>
  <r>
    <x v="6"/>
    <x v="2"/>
    <n v="1"/>
    <x v="1"/>
    <s v="Østdanmark"/>
    <n v="472855.62662575697"/>
    <n v="0"/>
    <n v="0"/>
    <n v="0"/>
    <n v="236427.81331287848"/>
    <n v="89504.815039875422"/>
    <n v="0"/>
    <n v="0"/>
    <n v="146922.99827300303"/>
    <n v="146922.99827300303"/>
    <n v="236427.81331287848"/>
    <n v="0.31647213828004855"/>
    <n v="0.82573764815598882"/>
    <n v="0.50926550987594021"/>
    <n v="0.31647213828004861"/>
    <n v="44076.899481900909"/>
    <n v="115005.24347576445"/>
    <n v="70928.343993863542"/>
    <n v="44076.899481900909"/>
  </r>
  <r>
    <x v="7"/>
    <x v="10"/>
    <n v="0"/>
    <x v="1"/>
    <s v="Østdanmark"/>
    <n v="64182.961350381185"/>
    <n v="62973.863177375562"/>
    <n v="0"/>
    <n v="0"/>
    <n v="0"/>
    <n v="0"/>
    <n v="0"/>
    <n v="0"/>
    <n v="1209.0981730056228"/>
    <n v="0"/>
    <n v="0"/>
    <n v="0"/>
    <n v="0"/>
    <n v="0"/>
    <n v="0"/>
    <n v="0"/>
    <n v="0"/>
    <n v="0"/>
    <n v="0"/>
  </r>
  <r>
    <x v="8"/>
    <x v="2"/>
    <n v="1"/>
    <x v="1"/>
    <s v="Østdanmark"/>
    <n v="892.28078879071916"/>
    <n v="0"/>
    <n v="0"/>
    <n v="0"/>
    <n v="803.0527099116473"/>
    <n v="89.228078879071901"/>
    <n v="0"/>
    <n v="0"/>
    <n v="0"/>
    <n v="0"/>
    <n v="803.0527099116473"/>
    <n v="0"/>
    <n v="3.7766765894434862E-4"/>
    <n v="3.7766765894434862E-4"/>
    <n v="0"/>
    <n v="0"/>
    <n v="50.592320724433783"/>
    <n v="50.592320724433783"/>
    <n v="0"/>
  </r>
  <r>
    <x v="9"/>
    <x v="10"/>
    <n v="0"/>
    <x v="1"/>
    <s v="Østdanmark"/>
    <n v="16772.527158983896"/>
    <n v="0"/>
    <n v="0"/>
    <n v="30560.118468347584"/>
    <n v="0"/>
    <n v="0"/>
    <n v="0"/>
    <n v="0"/>
    <n v="-13787.591309363688"/>
    <n v="0"/>
    <n v="0"/>
    <n v="0"/>
    <n v="0"/>
    <n v="0"/>
    <n v="0"/>
    <n v="0"/>
    <n v="0"/>
    <n v="0"/>
    <n v="0"/>
  </r>
  <r>
    <x v="10"/>
    <x v="10"/>
    <n v="0"/>
    <x v="1"/>
    <s v="Østdanmark"/>
    <n v="322357.88952697685"/>
    <n v="0"/>
    <n v="0"/>
    <n v="0"/>
    <n v="0"/>
    <n v="0"/>
    <n v="0"/>
    <n v="0"/>
    <n v="322357.88952697685"/>
    <n v="0"/>
    <n v="0"/>
    <n v="0"/>
    <n v="0"/>
    <n v="0"/>
    <n v="0"/>
    <n v="0"/>
    <n v="0"/>
    <n v="0"/>
    <n v="0"/>
  </r>
  <r>
    <x v="11"/>
    <x v="10"/>
    <n v="0"/>
    <x v="1"/>
    <s v="Østdanmark"/>
    <n v="9322.3305837736352"/>
    <n v="0"/>
    <n v="0"/>
    <n v="223323.94265330929"/>
    <n v="0"/>
    <n v="0"/>
    <n v="0"/>
    <n v="0"/>
    <n v="-214001.61206953565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797808.2646085992"/>
    <n v="1804161.9976497933"/>
    <n v="0"/>
    <n v="0"/>
    <n v="19146.607955280237"/>
    <n v="0"/>
    <n v="0"/>
    <n v="186482.75215301919"/>
    <n v="5788016.9068505066"/>
    <n v="5788016.9068505066"/>
    <n v="19146.607955280237"/>
    <n v="10.649227606491577"/>
    <n v="10.684454971803298"/>
    <n v="3.5227365311721229E-2"/>
    <n v="10.649227606491577"/>
    <n v="1620644.733918142"/>
    <n v="1626005.7841456207"/>
    <n v="5361.0502274784667"/>
    <n v="1620644.7339181423"/>
  </r>
  <r>
    <x v="14"/>
    <x v="10"/>
    <n v="0"/>
    <x v="1"/>
    <s v="Østdanmark"/>
    <n v="31174.581227328003"/>
    <n v="31174.581227328003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3693.311018631553"/>
    <n v="0"/>
    <n v="0"/>
    <n v="233902.44520004498"/>
    <n v="0"/>
    <n v="0"/>
    <n v="0"/>
    <n v="0"/>
    <n v="-170209.13418141342"/>
    <n v="0"/>
    <n v="0"/>
    <n v="0"/>
    <n v="0"/>
    <n v="0"/>
    <n v="0"/>
    <n v="0"/>
    <n v="0"/>
    <n v="0"/>
    <n v="0"/>
  </r>
  <r>
    <x v="16"/>
    <x v="5"/>
    <n v="1"/>
    <x v="1"/>
    <s v="Østdanmark"/>
    <n v="862018.45968881075"/>
    <n v="112782.12636853076"/>
    <n v="123183.11249498594"/>
    <n v="0"/>
    <n v="20573.889334175161"/>
    <n v="0"/>
    <n v="605479.33149111876"/>
    <n v="0"/>
    <n v="0"/>
    <n v="0"/>
    <n v="626053.22082529392"/>
    <n v="0"/>
    <n v="6.3767366945525037"/>
    <n v="0.11861958191176027"/>
    <n v="6.2581171126407433"/>
    <n v="0"/>
    <n v="532145.23770149983"/>
    <n v="17487.805934048887"/>
    <n v="514657.43176745094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710440.57434076618"/>
    <n v="0"/>
    <n v="0"/>
    <n v="0"/>
    <n v="0"/>
    <n v="0"/>
    <n v="0"/>
    <n v="-710440.57434076618"/>
    <n v="0"/>
    <n v="0"/>
    <n v="0"/>
    <n v="0"/>
    <n v="0"/>
    <n v="0"/>
    <n v="0"/>
    <n v="0"/>
    <n v="0"/>
    <n v="0"/>
  </r>
  <r>
    <x v="19"/>
    <x v="1"/>
    <n v="1"/>
    <x v="1"/>
    <s v="Østdanmark"/>
    <n v="209986.47985944702"/>
    <n v="0"/>
    <n v="0"/>
    <n v="0"/>
    <n v="190647.37917607787"/>
    <n v="0"/>
    <n v="0"/>
    <n v="0"/>
    <n v="19339.10068336915"/>
    <n v="19339.10068336915"/>
    <n v="190647.37917607787"/>
    <n v="8.379883734412738E-2"/>
    <n v="0.78598373375398001"/>
    <n v="0.7021848964098526"/>
    <n v="8.3798837344127408E-2"/>
    <n v="8122.4222870150425"/>
    <n v="88194.32154096775"/>
    <n v="80071.899253952695"/>
    <n v="8122.4222870150552"/>
  </r>
  <r>
    <x v="20"/>
    <x v="10"/>
    <n v="0"/>
    <x v="1"/>
    <s v="Østdanmark"/>
    <n v="203140.11473090298"/>
    <n v="0"/>
    <n v="0"/>
    <n v="0"/>
    <n v="0"/>
    <n v="0"/>
    <n v="0"/>
    <n v="0"/>
    <n v="203140.11473090298"/>
    <n v="0"/>
    <n v="0"/>
    <n v="0"/>
    <n v="0"/>
    <n v="0"/>
    <n v="0"/>
    <n v="0"/>
    <n v="0"/>
    <n v="0"/>
    <n v="0"/>
  </r>
  <r>
    <x v="21"/>
    <x v="10"/>
    <n v="0"/>
    <x v="1"/>
    <s v="Østdanmark"/>
    <n v="495905.68810885074"/>
    <n v="0"/>
    <n v="0"/>
    <n v="106960.41463921656"/>
    <n v="0"/>
    <n v="0"/>
    <n v="0"/>
    <n v="0"/>
    <n v="388945.27346963418"/>
    <n v="0"/>
    <n v="0"/>
    <n v="0"/>
    <n v="0"/>
    <n v="0"/>
    <n v="0"/>
    <n v="0"/>
    <n v="0"/>
    <n v="0"/>
    <n v="0"/>
  </r>
  <r>
    <x v="22"/>
    <x v="5"/>
    <n v="1"/>
    <x v="1"/>
    <s v="Østdanmark"/>
    <n v="1555948.945503107"/>
    <n v="779456.90372273244"/>
    <n v="0"/>
    <n v="256234.83946537593"/>
    <n v="877.2149514614091"/>
    <n v="0"/>
    <n v="0"/>
    <n v="0"/>
    <n v="519379.98736353731"/>
    <n v="0"/>
    <n v="877.2149514614091"/>
    <n v="0"/>
    <n v="3.004338398662122E-3"/>
    <n v="3.004338398662122E-3"/>
    <n v="0"/>
    <n v="0"/>
    <n v="271.93663495303684"/>
    <n v="271.93663495303684"/>
    <n v="0"/>
  </r>
  <r>
    <x v="23"/>
    <x v="10"/>
    <n v="0"/>
    <x v="1"/>
    <s v="Østdanmark"/>
    <n v="0"/>
    <n v="0"/>
    <n v="0"/>
    <n v="0"/>
    <n v="0"/>
    <n v="289998.70816946391"/>
    <n v="0"/>
    <n v="0"/>
    <n v="-289998.70816946391"/>
    <n v="0"/>
    <n v="0"/>
    <n v="0"/>
    <n v="0"/>
    <n v="0"/>
    <n v="0"/>
    <n v="0"/>
    <n v="0"/>
    <n v="0"/>
    <n v="0"/>
  </r>
  <r>
    <x v="24"/>
    <x v="2"/>
    <n v="1"/>
    <x v="1"/>
    <s v="Østdanmark"/>
    <n v="1067271.7369051871"/>
    <n v="0"/>
    <n v="0"/>
    <n v="0"/>
    <n v="960544.56321466842"/>
    <n v="106727.17369051868"/>
    <n v="0"/>
    <n v="0"/>
    <n v="0"/>
    <n v="0"/>
    <n v="960544.56321466842"/>
    <n v="0"/>
    <n v="0.48621805245363309"/>
    <n v="0.48621805245363309"/>
    <n v="0"/>
    <n v="0"/>
    <n v="73001.386804314796"/>
    <n v="73001.386804314796"/>
    <n v="0"/>
  </r>
  <r>
    <x v="25"/>
    <x v="10"/>
    <n v="0"/>
    <x v="1"/>
    <s v="Østdanmark"/>
    <n v="133388.75573399532"/>
    <n v="222477.49455637607"/>
    <n v="0"/>
    <n v="0"/>
    <n v="0"/>
    <n v="0"/>
    <n v="0"/>
    <n v="0"/>
    <n v="-89088.73882238075"/>
    <n v="0"/>
    <n v="0"/>
    <n v="0"/>
    <n v="0"/>
    <n v="0"/>
    <n v="0"/>
    <n v="0"/>
    <n v="0"/>
    <n v="0"/>
    <n v="0"/>
  </r>
  <r>
    <x v="26"/>
    <x v="4"/>
    <n v="1"/>
    <x v="1"/>
    <s v="Østdanmark"/>
    <n v="1709464.6903672938"/>
    <n v="735458.31011123862"/>
    <n v="0"/>
    <n v="0"/>
    <n v="75693.817166630659"/>
    <n v="0"/>
    <n v="0"/>
    <n v="0"/>
    <n v="898312.56308942451"/>
    <n v="395857.3957718208"/>
    <n v="75693.817166630659"/>
    <n v="1.4211280508208368"/>
    <n v="1.6928688544490409"/>
    <n v="0.27174080362820408"/>
    <n v="1.4211280508208368"/>
    <n v="118757.21873154624"/>
    <n v="141465.36388153542"/>
    <n v="22708.145149989195"/>
    <n v="118757.21873154622"/>
  </r>
  <r>
    <x v="27"/>
    <x v="10"/>
    <n v="0"/>
    <x v="1"/>
    <s v="Østdanmark"/>
    <n v="257371.07122395348"/>
    <n v="0"/>
    <n v="0"/>
    <n v="409035.43180711387"/>
    <n v="0"/>
    <n v="0"/>
    <n v="0"/>
    <n v="0"/>
    <n v="-151664.36058316039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8508.9621500651465"/>
    <n v="0"/>
    <n v="0"/>
    <n v="51975.70917962808"/>
    <n v="0"/>
    <n v="0"/>
    <n v="0"/>
    <n v="0"/>
    <n v="-43466.747029562932"/>
    <n v="0"/>
    <n v="0"/>
    <n v="0"/>
    <n v="0"/>
    <n v="0"/>
    <n v="0"/>
    <n v="0"/>
    <n v="0"/>
    <n v="0"/>
    <n v="0"/>
  </r>
  <r>
    <x v="30"/>
    <x v="10"/>
    <n v="0"/>
    <x v="1"/>
    <s v="Østdanmark"/>
    <n v="447021.00940158637"/>
    <n v="0"/>
    <n v="0"/>
    <n v="0"/>
    <n v="0"/>
    <n v="0"/>
    <n v="0"/>
    <n v="0"/>
    <n v="447021.00940158637"/>
    <n v="0"/>
    <n v="0"/>
    <n v="0"/>
    <n v="0"/>
    <n v="0"/>
    <n v="0"/>
    <n v="0"/>
    <n v="0"/>
    <n v="0"/>
    <n v="0"/>
  </r>
  <r>
    <x v="31"/>
    <x v="7"/>
    <n v="1"/>
    <x v="1"/>
    <s v="Østdanmark"/>
    <n v="39619.171284232172"/>
    <n v="0"/>
    <n v="0"/>
    <n v="0"/>
    <n v="0"/>
    <n v="0"/>
    <n v="39619.171284232172"/>
    <n v="0"/>
    <n v="0"/>
    <n v="0"/>
    <n v="39619.171284232172"/>
    <n v="0"/>
    <n v="0.72899275162987187"/>
    <n v="0"/>
    <n v="0.72899275162987187"/>
    <n v="0"/>
    <n v="16441.956082956352"/>
    <n v="0"/>
    <n v="16441.956082956352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400779.30970046029"/>
    <n v="0"/>
    <n v="0"/>
    <n v="0"/>
    <n v="0"/>
    <n v="0"/>
    <n v="0"/>
    <n v="0"/>
    <n v="400779.30970046029"/>
    <n v="0"/>
    <n v="0"/>
    <n v="0"/>
    <n v="0"/>
    <n v="0"/>
    <n v="0"/>
    <n v="0"/>
    <n v="0"/>
    <n v="0"/>
    <n v="0"/>
  </r>
  <r>
    <x v="35"/>
    <x v="10"/>
    <n v="0"/>
    <x v="1"/>
    <s v="Østdanmark"/>
    <n v="119938.95898177236"/>
    <n v="0"/>
    <n v="0"/>
    <n v="0"/>
    <n v="0"/>
    <n v="0"/>
    <n v="0"/>
    <n v="119938.95898177236"/>
    <n v="0"/>
    <n v="0"/>
    <n v="0"/>
    <n v="0"/>
    <n v="0"/>
    <n v="0"/>
    <n v="0"/>
    <n v="0"/>
    <n v="0"/>
    <n v="0"/>
    <n v="0"/>
  </r>
  <r>
    <x v="36"/>
    <x v="10"/>
    <n v="0"/>
    <x v="1"/>
    <s v="Østdanmark"/>
    <n v="59969.47949088618"/>
    <n v="30915.871009673829"/>
    <n v="0"/>
    <n v="0"/>
    <n v="0"/>
    <n v="0"/>
    <n v="0"/>
    <n v="0"/>
    <n v="29053.608481212352"/>
    <n v="0"/>
    <n v="0"/>
    <n v="0"/>
    <n v="0"/>
    <n v="0"/>
    <n v="0"/>
    <n v="0"/>
    <n v="0"/>
    <n v="0"/>
    <n v="0"/>
  </r>
  <r>
    <x v="37"/>
    <x v="9"/>
    <n v="1"/>
    <x v="1"/>
    <s v="Østdanmark"/>
    <n v="38380.466874167156"/>
    <n v="0"/>
    <n v="0"/>
    <n v="0"/>
    <n v="0"/>
    <n v="0"/>
    <n v="38380.466874167156"/>
    <n v="0"/>
    <n v="0"/>
    <n v="0"/>
    <n v="38380.466874167156"/>
    <n v="0"/>
    <n v="1.3433163405958504"/>
    <n v="0"/>
    <n v="1.3433163405958504"/>
    <n v="0"/>
    <n v="0"/>
    <n v="0"/>
    <n v="0"/>
  </r>
  <r>
    <x v="38"/>
    <x v="4"/>
    <n v="1"/>
    <x v="1"/>
    <s v="Østdanmark"/>
    <n v="587314.83163842501"/>
    <n v="127941.13536914771"/>
    <n v="0"/>
    <n v="0"/>
    <n v="6749.1075842859182"/>
    <n v="0"/>
    <n v="0"/>
    <n v="0"/>
    <n v="452624.58868499135"/>
    <n v="452624.58868499135"/>
    <n v="6749.1075842859182"/>
    <n v="1.228441238674614"/>
    <n v="1.2467585866226694"/>
    <n v="1.8317347948055354E-2"/>
    <n v="1.228441238674614"/>
    <n v="90524.917736998279"/>
    <n v="91874.739253855456"/>
    <n v="1349.8215168571837"/>
    <n v="90524.917736998279"/>
  </r>
  <r>
    <x v="39"/>
    <x v="10"/>
    <n v="0"/>
    <x v="1"/>
    <s v="Østdanmark"/>
    <n v="25586.495588439793"/>
    <n v="0"/>
    <n v="0"/>
    <n v="0"/>
    <n v="0"/>
    <n v="0"/>
    <n v="0"/>
    <n v="0"/>
    <n v="25586.495588439793"/>
    <n v="0"/>
    <n v="0"/>
    <n v="0"/>
    <n v="0"/>
    <n v="0"/>
    <n v="0"/>
    <n v="0"/>
    <n v="0"/>
    <n v="0"/>
    <n v="0"/>
  </r>
  <r>
    <x v="40"/>
    <x v="10"/>
    <n v="0"/>
    <x v="1"/>
    <s v="Østdanmark"/>
    <n v="20801.551109508149"/>
    <n v="5668.1056776960004"/>
    <n v="0"/>
    <n v="0"/>
    <n v="0"/>
    <n v="0"/>
    <n v="0"/>
    <n v="0"/>
    <n v="15133.44543181215"/>
    <n v="0"/>
    <n v="0"/>
    <n v="0"/>
    <n v="0"/>
    <n v="0"/>
    <n v="0"/>
    <n v="0"/>
    <n v="0"/>
    <n v="0"/>
    <n v="0"/>
  </r>
  <r>
    <x v="41"/>
    <x v="1"/>
    <n v="1"/>
    <x v="1"/>
    <s v="Østdanmark"/>
    <n v="3345419.54603831"/>
    <n v="0"/>
    <n v="0"/>
    <n v="0"/>
    <n v="1268746.495883205"/>
    <n v="0"/>
    <n v="0"/>
    <n v="0"/>
    <n v="2076673.0501551051"/>
    <n v="2076673.0501551051"/>
    <n v="1268746.495883205"/>
    <n v="1.0362806187578992"/>
    <n v="1.6693978076685774"/>
    <n v="0.63311718891067825"/>
    <n v="1.0362806187578992"/>
    <n v="124600.3830093063"/>
    <n v="200725.17276229861"/>
    <n v="76124.789752992292"/>
    <n v="124600.38300930632"/>
  </r>
  <r>
    <x v="42"/>
    <x v="2"/>
    <n v="1"/>
    <x v="1"/>
    <s v="Østdanmark"/>
    <n v="2409559.214171757"/>
    <n v="0"/>
    <n v="0"/>
    <n v="0"/>
    <n v="2168603.2927545812"/>
    <n v="240955.92141717565"/>
    <n v="0"/>
    <n v="0"/>
    <n v="0"/>
    <n v="0"/>
    <n v="2168603.2927545812"/>
    <n v="0"/>
    <n v="0.93423429851867379"/>
    <n v="0.93423429851867379"/>
    <n v="0"/>
    <n v="0"/>
    <n v="108430.16463772906"/>
    <n v="108430.16463772906"/>
    <n v="0"/>
  </r>
  <r>
    <x v="43"/>
    <x v="10"/>
    <n v="0"/>
    <x v="1"/>
    <s v="Østdanmark"/>
    <n v="227135.43837600856"/>
    <n v="0"/>
    <n v="0"/>
    <n v="105526.43984954793"/>
    <n v="0"/>
    <n v="0"/>
    <n v="0"/>
    <n v="0"/>
    <n v="121608.99852646064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987.049844381028"/>
    <n v="0"/>
    <n v="0"/>
    <n v="29532.002020101954"/>
    <n v="0"/>
    <n v="0"/>
    <n v="0"/>
    <n v="0"/>
    <n v="-11544.952175720926"/>
    <n v="0"/>
    <n v="0"/>
    <n v="0"/>
    <n v="0"/>
    <n v="0"/>
    <n v="0"/>
    <n v="0"/>
    <n v="0"/>
    <n v="0"/>
    <n v="0"/>
  </r>
  <r>
    <x v="1"/>
    <x v="10"/>
    <n v="0"/>
    <x v="2"/>
    <s v="Østdanmark"/>
    <n v="61474.791050873988"/>
    <n v="8992.6676617292323"/>
    <n v="0"/>
    <n v="0"/>
    <n v="0"/>
    <n v="0"/>
    <n v="0"/>
    <n v="0"/>
    <n v="52482.123389144755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29922524.11463594"/>
    <n v="0"/>
    <n v="0"/>
    <n v="0"/>
    <n v="0"/>
    <n v="0"/>
    <n v="129922524.11463594"/>
    <n v="0"/>
    <n v="0"/>
    <n v="0"/>
    <n v="129922524.11463594"/>
    <n v="0"/>
    <n v="0"/>
    <n v="0"/>
    <n v="0"/>
    <n v="0"/>
    <n v="0"/>
    <n v="0"/>
    <n v="0"/>
  </r>
  <r>
    <x v="4"/>
    <x v="10"/>
    <n v="0"/>
    <x v="2"/>
    <s v="Østdanmark"/>
    <n v="4371388.9422579342"/>
    <n v="0"/>
    <n v="0"/>
    <n v="0"/>
    <n v="0"/>
    <n v="3945775.6002024049"/>
    <n v="0"/>
    <n v="0"/>
    <n v="425613.34205552936"/>
    <n v="0"/>
    <n v="0"/>
    <n v="0"/>
    <n v="0"/>
    <n v="0"/>
    <n v="0"/>
    <n v="0"/>
    <n v="0"/>
    <n v="0"/>
    <n v="0"/>
  </r>
  <r>
    <x v="5"/>
    <x v="1"/>
    <n v="1"/>
    <x v="2"/>
    <s v="Østdanmark"/>
    <n v="107693.42949809364"/>
    <n v="0"/>
    <n v="0"/>
    <n v="0"/>
    <n v="21538.685899618729"/>
    <n v="0"/>
    <n v="0"/>
    <n v="0"/>
    <n v="86154.743598474917"/>
    <n v="86154.743598474917"/>
    <n v="21538.685899618729"/>
    <n v="4.8938141015943397E-2"/>
    <n v="6.1172676269929248E-2"/>
    <n v="1.2234535253985849E-2"/>
    <n v="4.8938141015943397E-2"/>
    <n v="3684.2686905024007"/>
    <n v="4605.3358631280007"/>
    <n v="921.06717262560016"/>
    <n v="3684.2686905024007"/>
  </r>
  <r>
    <x v="6"/>
    <x v="2"/>
    <n v="1"/>
    <x v="2"/>
    <s v="Østdanmark"/>
    <n v="573805.87313028623"/>
    <n v="0"/>
    <n v="0"/>
    <n v="0"/>
    <n v="286902.93656514311"/>
    <n v="108613.25455680418"/>
    <n v="0"/>
    <n v="0"/>
    <n v="178289.68200833892"/>
    <n v="178289.68200833892"/>
    <n v="286902.93656514311"/>
    <n v="0.38403597504596204"/>
    <n v="1.0020249004072803"/>
    <n v="0.61798892536131833"/>
    <n v="0.38403597504596199"/>
    <n v="53486.904602501672"/>
    <n v="139557.78557204461"/>
    <n v="86070.880969542937"/>
    <n v="53486.904602501672"/>
  </r>
  <r>
    <x v="7"/>
    <x v="10"/>
    <n v="0"/>
    <x v="2"/>
    <s v="Østdanmark"/>
    <n v="75852.590686814132"/>
    <n v="75568.635812850684"/>
    <n v="0"/>
    <n v="0"/>
    <n v="0"/>
    <n v="0"/>
    <n v="0"/>
    <n v="0"/>
    <n v="283.95487396344834"/>
    <n v="0"/>
    <n v="0"/>
    <n v="0"/>
    <n v="0"/>
    <n v="0"/>
    <n v="0"/>
    <n v="0"/>
    <n v="0"/>
    <n v="0"/>
    <n v="0"/>
  </r>
  <r>
    <x v="8"/>
    <x v="2"/>
    <n v="1"/>
    <x v="2"/>
    <s v="Østdanmark"/>
    <n v="1013.9144691364182"/>
    <n v="0"/>
    <n v="0"/>
    <n v="0"/>
    <n v="912.52302222277638"/>
    <n v="101.39144691364179"/>
    <n v="0"/>
    <n v="0"/>
    <n v="0"/>
    <n v="0"/>
    <n v="912.52302222277638"/>
    <n v="0"/>
    <n v="4.2915045212114949E-4"/>
    <n v="4.2915045212114949E-4"/>
    <n v="0"/>
    <n v="0"/>
    <n v="57.488950400034909"/>
    <n v="57.488950400034909"/>
    <n v="0"/>
  </r>
  <r>
    <x v="9"/>
    <x v="10"/>
    <n v="0"/>
    <x v="2"/>
    <s v="Østdanmark"/>
    <n v="13218.944305969808"/>
    <n v="0"/>
    <n v="0"/>
    <n v="31993.002188443785"/>
    <n v="0"/>
    <n v="0"/>
    <n v="0"/>
    <n v="0"/>
    <n v="-18774.057882473979"/>
    <n v="0"/>
    <n v="0"/>
    <n v="0"/>
    <n v="0"/>
    <n v="0"/>
    <n v="0"/>
    <n v="0"/>
    <n v="0"/>
    <n v="0"/>
    <n v="0"/>
  </r>
  <r>
    <x v="10"/>
    <x v="10"/>
    <n v="0"/>
    <x v="2"/>
    <s v="Østdanmark"/>
    <n v="310830.63731938269"/>
    <n v="0"/>
    <n v="0"/>
    <n v="0"/>
    <n v="0"/>
    <n v="0"/>
    <n v="0"/>
    <n v="0"/>
    <n v="310830.63731938269"/>
    <n v="0"/>
    <n v="0"/>
    <n v="0"/>
    <n v="0"/>
    <n v="0"/>
    <n v="0"/>
    <n v="0"/>
    <n v="0"/>
    <n v="0"/>
    <n v="0"/>
  </r>
  <r>
    <x v="11"/>
    <x v="10"/>
    <n v="0"/>
    <x v="2"/>
    <s v="Østdanmark"/>
    <n v="8983.290705592015"/>
    <n v="0"/>
    <n v="0"/>
    <n v="233795.01599247381"/>
    <n v="0"/>
    <n v="0"/>
    <n v="0"/>
    <n v="0"/>
    <n v="-224811.7252868817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7896195.2687320514"/>
    <n v="1804161.9976497933"/>
    <n v="0"/>
    <n v="0"/>
    <n v="19640.626365042219"/>
    <n v="0"/>
    <n v="0"/>
    <n v="220388.70708993179"/>
    <n v="5852003.9376272839"/>
    <n v="5852003.9376272839"/>
    <n v="19640.626365042219"/>
    <n v="10.766955744741999"/>
    <n v="10.803092042175381"/>
    <n v="3.6136297433382057E-2"/>
    <n v="10.766955744741999"/>
    <n v="1638561.1025356397"/>
    <n v="1644060.4779178514"/>
    <n v="5499.3753822118215"/>
    <n v="1638561.1025356397"/>
  </r>
  <r>
    <x v="14"/>
    <x v="10"/>
    <n v="0"/>
    <x v="2"/>
    <s v="Østdanmark"/>
    <n v="36842.686905024006"/>
    <n v="36842.686905024006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60945.756189628817"/>
    <n v="0"/>
    <n v="0"/>
    <n v="244869.51675001203"/>
    <n v="0"/>
    <n v="0"/>
    <n v="0"/>
    <n v="0"/>
    <n v="-183923.76056038321"/>
    <n v="0"/>
    <n v="0"/>
    <n v="0"/>
    <n v="0"/>
    <n v="0"/>
    <n v="0"/>
    <n v="0"/>
    <n v="0"/>
    <n v="0"/>
    <n v="0"/>
  </r>
  <r>
    <x v="16"/>
    <x v="5"/>
    <n v="1"/>
    <x v="2"/>
    <s v="Østdanmark"/>
    <n v="787867.95670773066"/>
    <n v="112782.12636853076"/>
    <n v="120747.75217508907"/>
    <n v="0"/>
    <n v="21730.984425574563"/>
    <n v="0"/>
    <n v="532607.09373853623"/>
    <n v="0"/>
    <n v="0"/>
    <n v="0"/>
    <n v="554338.07816411078"/>
    <n v="0"/>
    <n v="5.6302146356757206"/>
    <n v="0.12529085994502717"/>
    <n v="5.5049237757306937"/>
    <n v="0"/>
    <n v="471187.36643949413"/>
    <n v="18471.336761738377"/>
    <n v="452716.02967775578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710440.57434076618"/>
    <n v="0"/>
    <n v="0"/>
    <n v="0"/>
    <n v="0"/>
    <n v="0"/>
    <n v="0"/>
    <n v="-710440.57434076618"/>
    <n v="0"/>
    <n v="0"/>
    <n v="0"/>
    <n v="0"/>
    <n v="0"/>
    <n v="0"/>
    <n v="0"/>
    <n v="0"/>
    <n v="0"/>
    <n v="0"/>
  </r>
  <r>
    <x v="19"/>
    <x v="1"/>
    <n v="1"/>
    <x v="2"/>
    <s v="Østdanmark"/>
    <n v="209352.88683397757"/>
    <n v="0"/>
    <n v="0"/>
    <n v="0"/>
    <n v="190385.15645484926"/>
    <n v="0"/>
    <n v="0"/>
    <n v="0"/>
    <n v="18967.730379128305"/>
    <n v="18967.730379128305"/>
    <n v="190385.15645484926"/>
    <n v="8.2189641537712244E-2"/>
    <n v="0.78340872957853314"/>
    <n v="0.70121908804082089"/>
    <n v="8.2189641537712244E-2"/>
    <n v="7966.4467592338879"/>
    <n v="87928.212470270577"/>
    <n v="79961.765711036685"/>
    <n v="7966.4467592338915"/>
  </r>
  <r>
    <x v="20"/>
    <x v="10"/>
    <n v="0"/>
    <x v="2"/>
    <s v="Østdanmark"/>
    <n v="195712.98876309939"/>
    <n v="0"/>
    <n v="0"/>
    <n v="0"/>
    <n v="0"/>
    <n v="0"/>
    <n v="0"/>
    <n v="0"/>
    <n v="195712.98876309939"/>
    <n v="0"/>
    <n v="0"/>
    <n v="0"/>
    <n v="0"/>
    <n v="0"/>
    <n v="0"/>
    <n v="0"/>
    <n v="0"/>
    <n v="0"/>
    <n v="0"/>
  </r>
  <r>
    <x v="21"/>
    <x v="10"/>
    <n v="0"/>
    <x v="2"/>
    <s v="Østdanmark"/>
    <n v="477733.48917643895"/>
    <n v="0"/>
    <n v="0"/>
    <n v="111975.50765955324"/>
    <n v="0"/>
    <n v="0"/>
    <n v="0"/>
    <n v="0"/>
    <n v="365757.98151688569"/>
    <n v="0"/>
    <n v="0"/>
    <n v="0"/>
    <n v="0"/>
    <n v="0"/>
    <n v="0"/>
    <n v="0"/>
    <n v="0"/>
    <n v="0"/>
    <n v="0"/>
  </r>
  <r>
    <x v="22"/>
    <x v="5"/>
    <n v="1"/>
    <x v="2"/>
    <s v="Østdanmark"/>
    <n v="1533461.5685547295"/>
    <n v="757805.32306376752"/>
    <n v="0"/>
    <n v="268249.01834925939"/>
    <n v="902.30865703399286"/>
    <n v="0"/>
    <n v="0"/>
    <n v="0"/>
    <n v="506504.9184846686"/>
    <n v="0"/>
    <n v="902.30865703399286"/>
    <n v="0"/>
    <n v="3.0902808271294413E-3"/>
    <n v="3.0902808271294413E-3"/>
    <n v="0"/>
    <n v="0"/>
    <n v="279.71568368053778"/>
    <n v="279.71568368053778"/>
    <n v="0"/>
  </r>
  <r>
    <x v="23"/>
    <x v="10"/>
    <n v="0"/>
    <x v="2"/>
    <s v="Østdanmark"/>
    <n v="0"/>
    <n v="0"/>
    <n v="0"/>
    <n v="0"/>
    <n v="0"/>
    <n v="270103.53604430315"/>
    <n v="0"/>
    <n v="0"/>
    <n v="-270103.53604430315"/>
    <n v="0"/>
    <n v="0"/>
    <n v="0"/>
    <n v="0"/>
    <n v="0"/>
    <n v="0"/>
    <n v="0"/>
    <n v="0"/>
    <n v="0"/>
    <n v="0"/>
  </r>
  <r>
    <x v="24"/>
    <x v="2"/>
    <n v="1"/>
    <x v="2"/>
    <s v="Østdanmark"/>
    <n v="973600.61608850933"/>
    <n v="0"/>
    <n v="0"/>
    <n v="0"/>
    <n v="876240.55447965837"/>
    <n v="97360.061608850912"/>
    <n v="0"/>
    <n v="0"/>
    <n v="0"/>
    <n v="0"/>
    <n v="876240.55447965837"/>
    <n v="0"/>
    <n v="0.44354420627205832"/>
    <n v="0.44354420627205832"/>
    <n v="0"/>
    <n v="0"/>
    <n v="66594.28214045403"/>
    <n v="66594.28214045403"/>
    <n v="0"/>
  </r>
  <r>
    <x v="25"/>
    <x v="10"/>
    <n v="0"/>
    <x v="2"/>
    <s v="Østdanmark"/>
    <n v="122020.01011231828"/>
    <n v="222477.49455637607"/>
    <n v="0"/>
    <n v="0"/>
    <n v="0"/>
    <n v="0"/>
    <n v="0"/>
    <n v="0"/>
    <n v="-100457.48444405779"/>
    <n v="0"/>
    <n v="0"/>
    <n v="0"/>
    <n v="0"/>
    <n v="0"/>
    <n v="0"/>
    <n v="0"/>
    <n v="0"/>
    <n v="0"/>
    <n v="0"/>
  </r>
  <r>
    <x v="26"/>
    <x v="4"/>
    <n v="1"/>
    <x v="2"/>
    <s v="Østdanmark"/>
    <n v="1741163.5278240088"/>
    <n v="735458.31011123862"/>
    <n v="0"/>
    <n v="0"/>
    <n v="77843.772170287746"/>
    <n v="0"/>
    <n v="0"/>
    <n v="0"/>
    <n v="927861.44554248243"/>
    <n v="324396.41146601527"/>
    <n v="77843.772170287746"/>
    <n v="1.164583117162995"/>
    <n v="1.4440422592543281"/>
    <n v="0.27945914209133305"/>
    <n v="1.164583117162995"/>
    <n v="97318.923439804581"/>
    <n v="120672.05509089089"/>
    <n v="23353.131651086322"/>
    <n v="97318.923439804566"/>
  </r>
  <r>
    <x v="27"/>
    <x v="10"/>
    <n v="0"/>
    <x v="2"/>
    <s v="Østdanmark"/>
    <n v="235435.29243193395"/>
    <n v="0"/>
    <n v="0"/>
    <n v="428214.02929147833"/>
    <n v="0"/>
    <n v="0"/>
    <n v="0"/>
    <n v="0"/>
    <n v="-192778.73685954438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7232.7710179462747"/>
    <n v="0"/>
    <n v="0"/>
    <n v="54412.71372203785"/>
    <n v="0"/>
    <n v="0"/>
    <n v="0"/>
    <n v="0"/>
    <n v="-47179.942704091576"/>
    <n v="0"/>
    <n v="0"/>
    <n v="0"/>
    <n v="0"/>
    <n v="0"/>
    <n v="0"/>
    <n v="0"/>
    <n v="0"/>
    <n v="0"/>
    <n v="0"/>
  </r>
  <r>
    <x v="30"/>
    <x v="10"/>
    <n v="0"/>
    <x v="2"/>
    <s v="Østdanmark"/>
    <n v="430692.0417893788"/>
    <n v="0"/>
    <n v="0"/>
    <n v="0"/>
    <n v="0"/>
    <n v="0"/>
    <n v="0"/>
    <n v="0"/>
    <n v="430692.0417893788"/>
    <n v="0"/>
    <n v="0"/>
    <n v="0"/>
    <n v="0"/>
    <n v="0"/>
    <n v="0"/>
    <n v="0"/>
    <n v="0"/>
    <n v="0"/>
    <n v="0"/>
  </r>
  <r>
    <x v="31"/>
    <x v="7"/>
    <n v="1"/>
    <x v="2"/>
    <s v="Østdanmark"/>
    <n v="38200.145674741361"/>
    <n v="0"/>
    <n v="0"/>
    <n v="0"/>
    <n v="0"/>
    <n v="0"/>
    <n v="38200.145674741361"/>
    <n v="0"/>
    <n v="0"/>
    <n v="0"/>
    <n v="38200.145674741361"/>
    <n v="0"/>
    <n v="0.70288268041524093"/>
    <n v="0"/>
    <n v="0.70288268041524093"/>
    <n v="0"/>
    <n v="15853.060455017667"/>
    <n v="0"/>
    <n v="15853.060455017667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66620.82312230999"/>
    <n v="0"/>
    <n v="0"/>
    <n v="0"/>
    <n v="0"/>
    <n v="0"/>
    <n v="0"/>
    <n v="0"/>
    <n v="366620.82312230999"/>
    <n v="0"/>
    <n v="0"/>
    <n v="0"/>
    <n v="0"/>
    <n v="0"/>
    <n v="0"/>
    <n v="0"/>
    <n v="0"/>
    <n v="0"/>
    <n v="0"/>
  </r>
  <r>
    <x v="35"/>
    <x v="10"/>
    <n v="0"/>
    <x v="2"/>
    <s v="Østdanmark"/>
    <n v="115017.58907939846"/>
    <n v="0"/>
    <n v="0"/>
    <n v="0"/>
    <n v="0"/>
    <n v="0"/>
    <n v="0"/>
    <n v="115017.58907939846"/>
    <n v="0"/>
    <n v="0"/>
    <n v="0"/>
    <n v="0"/>
    <n v="0"/>
    <n v="0"/>
    <n v="0"/>
    <n v="0"/>
    <n v="0"/>
    <n v="0"/>
    <n v="0"/>
  </r>
  <r>
    <x v="36"/>
    <x v="10"/>
    <n v="0"/>
    <x v="2"/>
    <s v="Østdanmark"/>
    <n v="57508.794539699229"/>
    <n v="30915.871009673829"/>
    <n v="0"/>
    <n v="0"/>
    <n v="0"/>
    <n v="0"/>
    <n v="0"/>
    <n v="0"/>
    <n v="26592.9235300254"/>
    <n v="0"/>
    <n v="0"/>
    <n v="0"/>
    <n v="0"/>
    <n v="0"/>
    <n v="0"/>
    <n v="0"/>
    <n v="0"/>
    <n v="0"/>
    <n v="0"/>
  </r>
  <r>
    <x v="37"/>
    <x v="9"/>
    <n v="1"/>
    <x v="2"/>
    <s v="Østdanmark"/>
    <n v="36805.628505407505"/>
    <n v="0"/>
    <n v="0"/>
    <n v="0"/>
    <n v="0"/>
    <n v="0"/>
    <n v="36805.628505407505"/>
    <n v="0"/>
    <n v="0"/>
    <n v="0"/>
    <n v="36805.628505407505"/>
    <n v="0"/>
    <n v="1.2881969976892627"/>
    <n v="0"/>
    <n v="1.2881969976892627"/>
    <n v="0"/>
    <n v="0"/>
    <n v="0"/>
    <n v="0"/>
  </r>
  <r>
    <x v="38"/>
    <x v="4"/>
    <n v="1"/>
    <x v="2"/>
    <s v="Østdanmark"/>
    <n v="565868.01262208389"/>
    <n v="127941.13536914771"/>
    <n v="0"/>
    <n v="0"/>
    <n v="6948.5666474669151"/>
    <n v="0"/>
    <n v="0"/>
    <n v="0"/>
    <n v="430978.31060546928"/>
    <n v="430978.31060546928"/>
    <n v="6948.5666474669151"/>
    <n v="1.169692374115668"/>
    <n v="1.1885510619395592"/>
    <n v="1.8858687823891107E-2"/>
    <n v="1.1696923741156682"/>
    <n v="86195.662121093861"/>
    <n v="87585.375450587249"/>
    <n v="1389.7133294933831"/>
    <n v="86195.662121093861"/>
  </r>
  <r>
    <x v="39"/>
    <x v="10"/>
    <n v="0"/>
    <x v="2"/>
    <s v="Østdanmark"/>
    <n v="22182.119996210597"/>
    <n v="0"/>
    <n v="0"/>
    <n v="0"/>
    <n v="0"/>
    <n v="0"/>
    <n v="0"/>
    <n v="0"/>
    <n v="22182.119996210597"/>
    <n v="0"/>
    <n v="0"/>
    <n v="0"/>
    <n v="0"/>
    <n v="0"/>
    <n v="0"/>
    <n v="0"/>
    <n v="0"/>
    <n v="0"/>
    <n v="0"/>
  </r>
  <r>
    <x v="40"/>
    <x v="10"/>
    <n v="0"/>
    <x v="2"/>
    <s v="Østdanmark"/>
    <n v="18120.669233843775"/>
    <n v="5668.1056776960004"/>
    <n v="0"/>
    <n v="0"/>
    <n v="0"/>
    <n v="0"/>
    <n v="0"/>
    <n v="0"/>
    <n v="12452.563556147776"/>
    <n v="0"/>
    <n v="0"/>
    <n v="0"/>
    <n v="0"/>
    <n v="0"/>
    <n v="0"/>
    <n v="0"/>
    <n v="0"/>
    <n v="0"/>
    <n v="0"/>
  </r>
  <r>
    <x v="41"/>
    <x v="1"/>
    <n v="1"/>
    <x v="2"/>
    <s v="Østdanmark"/>
    <n v="3500953.7358260299"/>
    <n v="0"/>
    <n v="0"/>
    <n v="0"/>
    <n v="1327732.6575790939"/>
    <n v="0"/>
    <n v="0"/>
    <n v="0"/>
    <n v="2173221.0782469362"/>
    <n v="2173221.0782469362"/>
    <n v="1327732.6575790939"/>
    <n v="1.0844590502560039"/>
    <n v="1.7470109237145475"/>
    <n v="0.66255187345854372"/>
    <n v="1.0844590502560036"/>
    <n v="130393.26469481617"/>
    <n v="210057.22414956181"/>
    <n v="79663.959454745636"/>
    <n v="130393.26469481617"/>
  </r>
  <r>
    <x v="42"/>
    <x v="2"/>
    <n v="1"/>
    <x v="2"/>
    <s v="Østdanmark"/>
    <n v="1914968.3000286557"/>
    <n v="0"/>
    <n v="0"/>
    <n v="0"/>
    <n v="1723471.4700257902"/>
    <n v="191496.83000286552"/>
    <n v="0"/>
    <n v="0"/>
    <n v="0"/>
    <n v="0"/>
    <n v="1723471.4700257902"/>
    <n v="0"/>
    <n v="0.74247150928711048"/>
    <n v="0.74247150928711048"/>
    <n v="0"/>
    <n v="0"/>
    <n v="86173.573501289517"/>
    <n v="86173.573501289517"/>
    <n v="0"/>
  </r>
  <r>
    <x v="43"/>
    <x v="10"/>
    <n v="0"/>
    <x v="2"/>
    <s v="Østdanmark"/>
    <n v="197991.36208420046"/>
    <n v="0"/>
    <n v="0"/>
    <n v="110474.29755686472"/>
    <n v="0"/>
    <n v="0"/>
    <n v="0"/>
    <n v="0"/>
    <n v="87517.064527335737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</r>
  <r>
    <x v="47"/>
    <x v="10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0380855.402742002"/>
    <s v="CO2 - atmosfære"/>
    <x v="0"/>
  </r>
  <r>
    <s v="Vestdanmark"/>
    <x v="1"/>
    <n v="6022247.0459976699"/>
    <s v="Landbrug"/>
    <x v="1"/>
  </r>
  <r>
    <s v="Vestdanmark"/>
    <x v="1"/>
    <n v="4015714.7438644618"/>
    <s v="Landbrug"/>
    <x v="2"/>
  </r>
  <r>
    <s v="Vestdanmark"/>
    <x v="1"/>
    <n v="766318.75452505716"/>
    <s v="Landbrug"/>
    <x v="2"/>
  </r>
  <r>
    <s v="Vestdanmark"/>
    <x v="1"/>
    <n v="1316852.9194475911"/>
    <s v="Landbrug"/>
    <x v="2"/>
  </r>
  <r>
    <s v="Vestdanmark"/>
    <x v="1"/>
    <n v="-37462.493699251529"/>
    <s v="Hav"/>
    <x v="3"/>
  </r>
  <r>
    <s v="Vestdanmark"/>
    <x v="1"/>
    <n v="-671075.85993180249"/>
    <s v="Skov"/>
    <x v="4"/>
  </r>
  <r>
    <s v="Vestdanmark"/>
    <x v="1"/>
    <n v="-443563.40437744389"/>
    <s v="HWP"/>
    <x v="5"/>
  </r>
  <r>
    <s v="Vestdanmark"/>
    <x v="1"/>
    <n v="-588176.30308427545"/>
    <s v="Biogasanlæg"/>
    <x v="6"/>
  </r>
  <r>
    <s v="Vestdanmark"/>
    <x v="1"/>
    <n v="0"/>
    <s v="Pyrolyseproces"/>
    <x v="7"/>
  </r>
  <r>
    <s v="Vestdanmark"/>
    <x v="2"/>
    <n v="9062654.031155033"/>
    <s v="CO2 - atmosfære"/>
    <x v="0"/>
  </r>
  <r>
    <s v="Vestdanmark"/>
    <x v="2"/>
    <n v="5910938.2388992785"/>
    <s v="Landbrug"/>
    <x v="1"/>
  </r>
  <r>
    <s v="Vestdanmark"/>
    <x v="2"/>
    <n v="3788160.4298032811"/>
    <s v="Landbrug"/>
    <x v="2"/>
  </r>
  <r>
    <s v="Vestdanmark"/>
    <x v="2"/>
    <n v="766318.75452505692"/>
    <s v="Landbrug"/>
    <x v="2"/>
  </r>
  <r>
    <s v="Vestdanmark"/>
    <x v="2"/>
    <n v="1316852.9194475913"/>
    <s v="Landbrug"/>
    <x v="2"/>
  </r>
  <r>
    <s v="Vestdanmark"/>
    <x v="2"/>
    <n v="-37462.493699251529"/>
    <s v="Hav"/>
    <x v="3"/>
  </r>
  <r>
    <s v="Vestdanmark"/>
    <x v="2"/>
    <n v="-1756147.6279562197"/>
    <s v="Skov"/>
    <x v="4"/>
  </r>
  <r>
    <s v="Vestdanmark"/>
    <x v="2"/>
    <n v="-411833.66021316953"/>
    <s v="HWP"/>
    <x v="5"/>
  </r>
  <r>
    <s v="Vestdanmark"/>
    <x v="2"/>
    <n v="-514172.529651533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620697.8017178481"/>
    <s v="CO2 - atmosfære"/>
    <x v="0"/>
  </r>
  <r>
    <s v="Østdanmark"/>
    <x v="1"/>
    <n v="536336.8164015403"/>
    <s v="Landbrug"/>
    <x v="1"/>
  </r>
  <r>
    <s v="Østdanmark"/>
    <x v="1"/>
    <n v="1227432.2367233362"/>
    <s v="Landbrug"/>
    <x v="2"/>
  </r>
  <r>
    <s v="Østdanmark"/>
    <x v="1"/>
    <n v="82593.734040805444"/>
    <s v="Landbrug"/>
    <x v="2"/>
  </r>
  <r>
    <s v="Østdanmark"/>
    <x v="1"/>
    <n v="141890.01586566915"/>
    <s v="Landbrug"/>
    <x v="2"/>
  </r>
  <r>
    <s v="Østdanmark"/>
    <x v="1"/>
    <n v="-12810.937899750508"/>
    <s v="Hav"/>
    <x v="3"/>
  </r>
  <r>
    <s v="Østdanmark"/>
    <x v="1"/>
    <n v="-169044.48073818354"/>
    <s v="Skov"/>
    <x v="4"/>
  </r>
  <r>
    <s v="Østdanmark"/>
    <x v="1"/>
    <n v="-129833.14224340807"/>
    <s v="HWP"/>
    <x v="5"/>
  </r>
  <r>
    <s v="Østdanmark"/>
    <x v="1"/>
    <n v="-55866.440432161005"/>
    <s v="Biogasanlæg"/>
    <x v="6"/>
  </r>
  <r>
    <s v="Østdanmark"/>
    <x v="1"/>
    <n v="0"/>
    <s v="Pyrolyseproces"/>
    <x v="7"/>
  </r>
  <r>
    <s v="Østdanmark"/>
    <x v="2"/>
    <n v="1408412.2353034199"/>
    <s v="CO2 - atmosfære"/>
    <x v="0"/>
  </r>
  <r>
    <s v="Østdanmark"/>
    <x v="2"/>
    <n v="530317.58989111742"/>
    <s v="Landbrug"/>
    <x v="1"/>
  </r>
  <r>
    <s v="Østdanmark"/>
    <x v="2"/>
    <n v="1202906.5763792384"/>
    <s v="Landbrug"/>
    <x v="2"/>
  </r>
  <r>
    <s v="Østdanmark"/>
    <x v="2"/>
    <n v="82593.73404080543"/>
    <s v="Landbrug"/>
    <x v="2"/>
  </r>
  <r>
    <s v="Østdanmark"/>
    <x v="2"/>
    <n v="141890.01586566918"/>
    <s v="Landbrug"/>
    <x v="2"/>
  </r>
  <r>
    <s v="Østdanmark"/>
    <x v="2"/>
    <n v="-12810.937899750508"/>
    <s v="Hav"/>
    <x v="3"/>
  </r>
  <r>
    <s v="Østdanmark"/>
    <x v="2"/>
    <n v="-369504.68295536668"/>
    <s v="Skov"/>
    <x v="4"/>
  </r>
  <r>
    <s v="Østdanmark"/>
    <x v="2"/>
    <n v="-119259.83906063907"/>
    <s v="HWP"/>
    <x v="5"/>
  </r>
  <r>
    <s v="Østdanmark"/>
    <x v="2"/>
    <n v="-47720.220957654601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43893.92541050701"/>
    <n v="0"/>
    <n v="0"/>
    <n v="32579.784552999867"/>
    <n v="0"/>
    <n v="0"/>
    <n v="0"/>
    <n v="0"/>
    <n v="211314.1408575071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13337.88029141159"/>
    <n v="73265.306718627704"/>
    <n v="0"/>
    <n v="0"/>
    <n v="0"/>
    <n v="0"/>
    <n v="0"/>
    <n v="0"/>
    <n v="140072.5735727839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658589449.50267792"/>
    <n v="0"/>
    <n v="0"/>
    <n v="0"/>
    <n v="0"/>
    <n v="0"/>
    <n v="658589449.50267792"/>
    <n v="0"/>
    <n v="0"/>
    <n v="0"/>
    <n v="658589449.50267792"/>
    <n v="0"/>
    <n v="0"/>
    <n v="0"/>
    <n v="0"/>
    <n v="0"/>
    <n v="0"/>
    <n v="0"/>
    <n v="0"/>
    <n v="0"/>
    <x v="1"/>
  </r>
  <r>
    <x v="4"/>
    <s v=""/>
    <n v="0"/>
    <x v="1"/>
    <s v="Vestdanmark"/>
    <n v="30454220.72762743"/>
    <n v="0"/>
    <n v="0"/>
    <n v="0"/>
    <n v="0"/>
    <n v="27990597.390617166"/>
    <n v="0"/>
    <n v="0"/>
    <n v="2463623.3370102644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742417.78752118419"/>
    <n v="0"/>
    <n v="0"/>
    <n v="0"/>
    <n v="148483.55750423684"/>
    <n v="0"/>
    <n v="0"/>
    <n v="0"/>
    <n v="593934.23001694737"/>
    <n v="593934.23001694737"/>
    <n v="148483.55750423684"/>
    <n v="0.3373701306364244"/>
    <n v="0.42171266329553048"/>
    <n v="8.4342532659106101E-2"/>
    <n v="0.3373701306364244"/>
    <n v="25398.639662457605"/>
    <n v="31748.299578072005"/>
    <n v="6349.6599156144011"/>
    <n v="25398.639662457605"/>
    <n v="0"/>
    <x v="0"/>
  </r>
  <r>
    <x v="6"/>
    <s v="Husdyrgødning"/>
    <n v="1"/>
    <x v="1"/>
    <s v="Vestdanmark"/>
    <n v="3467725.556428601"/>
    <n v="0"/>
    <n v="0"/>
    <n v="0"/>
    <n v="1733862.7782143005"/>
    <n v="656390.90889541374"/>
    <n v="0"/>
    <n v="0"/>
    <n v="1077471.8693188867"/>
    <n v="1077471.8693188867"/>
    <n v="1733862.7782143005"/>
    <n v="2.3208744065128819"/>
    <n v="6.0556148307864852"/>
    <n v="3.7347404242736033"/>
    <n v="2.3208744065128819"/>
    <n v="323241.56079566601"/>
    <n v="843400.39425995608"/>
    <n v="520158.83346429013"/>
    <n v="323241.56079566595"/>
    <n v="0"/>
    <x v="0"/>
  </r>
  <r>
    <x v="7"/>
    <s v=""/>
    <n v="0"/>
    <x v="1"/>
    <s v="Vestdanmark"/>
    <n v="522913.16952118598"/>
    <n v="513062.37197918555"/>
    <n v="0"/>
    <n v="0"/>
    <n v="0"/>
    <n v="0"/>
    <n v="0"/>
    <n v="0"/>
    <n v="9850.7975420004223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10631.296472463182"/>
    <n v="0"/>
    <n v="0"/>
    <n v="0"/>
    <n v="9568.1668252168638"/>
    <n v="1063.129647246318"/>
    <n v="0"/>
    <n v="0"/>
    <n v="0"/>
    <n v="0"/>
    <n v="9568.1668252168638"/>
    <n v="0"/>
    <n v="4.4998131762312389E-3"/>
    <n v="4.4998131762312389E-3"/>
    <n v="0"/>
    <n v="0"/>
    <n v="602.79450998866241"/>
    <n v="602.79450998866241"/>
    <n v="0"/>
    <n v="0"/>
    <x v="1"/>
  </r>
  <r>
    <x v="9"/>
    <s v=""/>
    <n v="0"/>
    <x v="1"/>
    <s v="Vestdanmark"/>
    <n v="199840.35413478027"/>
    <n v="0"/>
    <n v="0"/>
    <n v="35294.766599083188"/>
    <n v="0"/>
    <n v="0"/>
    <n v="0"/>
    <n v="0"/>
    <n v="164545.5875356970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052106.88659479"/>
    <n v="0"/>
    <n v="0"/>
    <n v="0"/>
    <n v="0"/>
    <n v="0"/>
    <n v="0"/>
    <n v="0"/>
    <n v="1052106.88659479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0569.09248387249"/>
    <n v="0"/>
    <n v="0"/>
    <n v="257923.29437791562"/>
    <n v="0"/>
    <n v="0"/>
    <n v="0"/>
    <n v="0"/>
    <n v="-227354.2018940431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7095725.89284119"/>
    <n v="14698917.729434509"/>
    <n v="0"/>
    <n v="0"/>
    <n v="66530.392044719745"/>
    <n v="0"/>
    <n v="0"/>
    <n v="1519317.3536669463"/>
    <n v="10810960.417695016"/>
    <n v="10810960.417695016"/>
    <n v="66530.392044719745"/>
    <n v="19.890815798506619"/>
    <n v="20.013223403569899"/>
    <n v="0.12240760506327875"/>
    <n v="19.890815798506619"/>
    <n v="3027068.9169546044"/>
    <n v="3045697.4267271259"/>
    <n v="18628.509772521531"/>
    <n v="3027068.9169546044"/>
    <n v="0"/>
    <x v="0"/>
  </r>
  <r>
    <x v="14"/>
    <s v=""/>
    <n v="0"/>
    <x v="1"/>
    <s v="Vestdanmark"/>
    <n v="253986.39662457604"/>
    <n v="253986.396624576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08752.59567778328"/>
    <n v="0"/>
    <n v="0"/>
    <n v="270140.71358529059"/>
    <n v="0"/>
    <n v="0"/>
    <n v="0"/>
    <n v="0"/>
    <n v="-61388.117907507316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853693.4203751995"/>
    <n v="918861.60943487054"/>
    <n v="865639.24548804213"/>
    <n v="0"/>
    <n v="55360.11066582489"/>
    <n v="0"/>
    <n v="1013832.4547864624"/>
    <n v="0"/>
    <n v="0"/>
    <n v="0"/>
    <n v="1069192.5654522872"/>
    <n v="0"/>
    <n v="10.797956845450313"/>
    <n v="0.31918093244824008"/>
    <n v="10.478775913002073"/>
    <n v="0"/>
    <n v="908813.68063444411"/>
    <n v="47056.094065951154"/>
    <n v="861757.58656849293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5788120.7826627567"/>
    <n v="0"/>
    <n v="0"/>
    <n v="0"/>
    <n v="0"/>
    <n v="0"/>
    <n v="0"/>
    <n v="-5788120.7826627567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83497.9658742107"/>
    <n v="0"/>
    <n v="0"/>
    <n v="0"/>
    <n v="529759.62082392198"/>
    <n v="0"/>
    <n v="0"/>
    <n v="0"/>
    <n v="53738.345050288714"/>
    <n v="53738.345050288714"/>
    <n v="529759.62082392198"/>
    <n v="0.23285523508775754"/>
    <n v="2.1840449450014048"/>
    <n v="1.951189709913647"/>
    <n v="0.23285523508775774"/>
    <n v="22570.104921121259"/>
    <n v="245069.14566716849"/>
    <n v="222499.04074604722"/>
    <n v="22570.104921121267"/>
    <n v="0"/>
    <x v="0"/>
  </r>
  <r>
    <x v="20"/>
    <s v=""/>
    <n v="0"/>
    <x v="1"/>
    <s v="Vestdanmark"/>
    <n v="677222.38479268458"/>
    <n v="0"/>
    <n v="0"/>
    <n v="0"/>
    <n v="0"/>
    <n v="0"/>
    <n v="0"/>
    <n v="0"/>
    <n v="677222.38479268458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678516.8822786708"/>
    <n v="0"/>
    <n v="0"/>
    <n v="123531.68309679118"/>
    <n v="0"/>
    <n v="0"/>
    <n v="0"/>
    <n v="0"/>
    <n v="1554985.1991818796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159420.7570548151"/>
    <n v="6350412.4997561099"/>
    <n v="0"/>
    <n v="295933.04302308214"/>
    <n v="2908.785048538592"/>
    <n v="0"/>
    <n v="0"/>
    <n v="0"/>
    <n v="-1489833.5707729161"/>
    <n v="0"/>
    <n v="2908.785048538592"/>
    <n v="0"/>
    <n v="9.9621815613378847E-3"/>
    <n v="9.9621815613378847E-3"/>
    <n v="0"/>
    <n v="0"/>
    <n v="901.72336504696352"/>
    <n v="901.72336504696352"/>
    <n v="0"/>
    <n v="1"/>
    <x v="1"/>
  </r>
  <r>
    <x v="23"/>
    <s v=""/>
    <n v="0"/>
    <x v="1"/>
    <s v="Vestdanmark"/>
    <n v="0"/>
    <n v="0"/>
    <n v="0"/>
    <n v="0"/>
    <n v="0"/>
    <n v="260487.33692313972"/>
    <n v="0"/>
    <n v="0"/>
    <n v="-260487.33692313972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5016343.382284625"/>
    <n v="0"/>
    <n v="0"/>
    <n v="0"/>
    <n v="13514709.044056162"/>
    <n v="1501634.338228462"/>
    <n v="0"/>
    <n v="0"/>
    <n v="0"/>
    <n v="0"/>
    <n v="13514709.044056162"/>
    <n v="0"/>
    <n v="6.8410105710107896"/>
    <n v="6.8410105710107896"/>
    <n v="0"/>
    <n v="0"/>
    <n v="1027117.8873482683"/>
    <n v="1027117.8873482683"/>
    <n v="0"/>
    <n v="0"/>
    <x v="1"/>
  </r>
  <r>
    <x v="25"/>
    <s v=""/>
    <n v="0"/>
    <x v="1"/>
    <s v="Vestdanmark"/>
    <n v="1876758.5518994229"/>
    <n v="1812574.6986106629"/>
    <n v="0"/>
    <n v="0"/>
    <n v="0"/>
    <n v="0"/>
    <n v="0"/>
    <n v="0"/>
    <n v="64183.853288759943"/>
    <n v="0"/>
    <n v="0"/>
    <n v="0"/>
    <n v="0"/>
    <n v="0"/>
    <n v="0"/>
    <n v="0"/>
    <n v="0"/>
    <n v="0"/>
    <n v="0"/>
    <n v="1"/>
    <x v="1"/>
  </r>
  <r>
    <x v="26"/>
    <s v="Græs og urter"/>
    <n v="1"/>
    <x v="1"/>
    <s v="Vestdanmark"/>
    <n v="5743822.9759319266"/>
    <n v="5991945.9604161605"/>
    <n v="0"/>
    <n v="0"/>
    <n v="254332.18283336936"/>
    <n v="0"/>
    <n v="0"/>
    <n v="0"/>
    <n v="-502455.16731760371"/>
    <n v="0"/>
    <n v="254332.18283336936"/>
    <n v="0"/>
    <n v="0.91305253637179606"/>
    <n v="0.91305253637179606"/>
    <n v="0"/>
    <n v="0"/>
    <n v="76299.654850010804"/>
    <n v="76299.654850010804"/>
    <n v="0"/>
    <n v="0"/>
    <x v="0"/>
  </r>
  <r>
    <x v="27"/>
    <s v=""/>
    <n v="0"/>
    <x v="1"/>
    <s v="Vestdanmark"/>
    <n v="3621169.9874786926"/>
    <n v="0"/>
    <n v="0"/>
    <n v="472406.87601849809"/>
    <n v="0"/>
    <n v="0"/>
    <n v="0"/>
    <n v="0"/>
    <n v="3148763.1114601945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119719.7424554231"/>
    <n v="0"/>
    <n v="0"/>
    <n v="60028.253038902265"/>
    <n v="0"/>
    <n v="0"/>
    <n v="0"/>
    <n v="0"/>
    <n v="59691.489416520832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486066.0976233429"/>
    <n v="0"/>
    <n v="0"/>
    <n v="0"/>
    <n v="0"/>
    <n v="0"/>
    <n v="0"/>
    <n v="0"/>
    <n v="1486066.0976233429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40082.86866845257"/>
    <n v="0"/>
    <n v="0"/>
    <n v="0"/>
    <n v="0"/>
    <n v="0"/>
    <n v="140082.86866845257"/>
    <n v="0"/>
    <n v="0"/>
    <n v="0"/>
    <n v="140082.86866845257"/>
    <n v="0"/>
    <n v="2.577524783499527"/>
    <n v="0"/>
    <n v="2.577524783499527"/>
    <n v="0"/>
    <n v="58134.390497407825"/>
    <n v="0"/>
    <n v="58134.390497407825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5638901.0660288362"/>
    <n v="0"/>
    <n v="0"/>
    <n v="0"/>
    <n v="0"/>
    <n v="0"/>
    <n v="0"/>
    <n v="0"/>
    <n v="5638901.0660288362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395390.17485052859"/>
    <n v="0"/>
    <n v="0"/>
    <n v="0"/>
    <n v="0"/>
    <n v="0"/>
    <n v="0"/>
    <n v="395390.17485052859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197695.0874252643"/>
    <n v="251878.62569823104"/>
    <n v="0"/>
    <n v="0"/>
    <n v="0"/>
    <n v="0"/>
    <n v="0"/>
    <n v="0"/>
    <n v="-54183.538272966747"/>
    <n v="0"/>
    <n v="0"/>
    <n v="0"/>
    <n v="0"/>
    <n v="0"/>
    <n v="0"/>
    <n v="0"/>
    <n v="0"/>
    <n v="0"/>
    <n v="0"/>
    <n v="1"/>
    <x v="1"/>
  </r>
  <r>
    <x v="37"/>
    <s v="Rapsolie"/>
    <n v="1"/>
    <x v="1"/>
    <s v="Vestdanmark"/>
    <n v="126524.85595216915"/>
    <n v="0"/>
    <n v="0"/>
    <n v="0"/>
    <n v="0"/>
    <n v="0"/>
    <n v="126524.85595216915"/>
    <n v="0"/>
    <n v="0"/>
    <n v="0"/>
    <n v="126524.85595216915"/>
    <n v="0"/>
    <n v="4.42836995832592"/>
    <n v="0"/>
    <n v="4.42836995832592"/>
    <n v="0"/>
    <n v="0"/>
    <n v="0"/>
    <n v="0"/>
    <n v="0"/>
    <x v="1"/>
  </r>
  <r>
    <x v="38"/>
    <s v="Græs og urter"/>
    <n v="1"/>
    <x v="1"/>
    <s v="Vestdanmark"/>
    <n v="1905404.856436112"/>
    <n v="1042365.5001332033"/>
    <n v="0"/>
    <n v="0"/>
    <n v="21895.892415714086"/>
    <n v="0"/>
    <n v="0"/>
    <n v="0"/>
    <n v="841143.46388719464"/>
    <n v="841143.46388719464"/>
    <n v="21895.892415714086"/>
    <n v="2.2828970067284016"/>
    <n v="2.342323334580346"/>
    <n v="5.9426327851944662E-2"/>
    <n v="2.2828970067284016"/>
    <n v="168228.69277743893"/>
    <n v="172607.87126058177"/>
    <n v="4379.1784831428176"/>
    <n v="168228.69277743896"/>
    <n v="0"/>
    <x v="0"/>
  </r>
  <r>
    <x v="39"/>
    <s v=""/>
    <n v="0"/>
    <x v="1"/>
    <s v="Vestdanmark"/>
    <n v="216720.35926101435"/>
    <n v="0"/>
    <n v="0"/>
    <n v="0"/>
    <n v="0"/>
    <n v="0"/>
    <n v="0"/>
    <n v="0"/>
    <n v="216720.35926101435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47465.74012636166"/>
    <n v="46179.344840832011"/>
    <n v="0"/>
    <n v="0"/>
    <n v="0"/>
    <n v="0"/>
    <n v="0"/>
    <n v="0"/>
    <n v="101286.3952855296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3122.7357712239"/>
    <n v="0"/>
    <n v="0"/>
    <n v="0"/>
    <n v="1514387.1819129025"/>
    <n v="0"/>
    <n v="0"/>
    <n v="0"/>
    <n v="2478735.5538583212"/>
    <n v="2478735.5538583212"/>
    <n v="1514387.1819129025"/>
    <n v="1.236913828730841"/>
    <n v="1.9926081763771986"/>
    <n v="0.75569434764635757"/>
    <n v="1.236913828730841"/>
    <n v="148724.13323149926"/>
    <n v="239587.36414627344"/>
    <n v="90863.230914774147"/>
    <n v="148724.13323149929"/>
    <n v="0"/>
    <x v="0"/>
  </r>
  <r>
    <x v="42"/>
    <s v="Husdyrgødning"/>
    <n v="1"/>
    <x v="1"/>
    <s v="Vestdanmark"/>
    <n v="16629449.193931503"/>
    <n v="0"/>
    <n v="0"/>
    <n v="0"/>
    <n v="14966504.274538353"/>
    <n v="1662944.9193931499"/>
    <n v="0"/>
    <n v="0"/>
    <n v="0"/>
    <n v="0"/>
    <n v="14966504.274538353"/>
    <n v="0"/>
    <n v="6.4475700414711232"/>
    <n v="6.4475700414711232"/>
    <n v="0"/>
    <n v="0"/>
    <n v="748325.21372691775"/>
    <n v="748325.21372691775"/>
    <n v="0"/>
    <n v="0"/>
    <x v="1"/>
  </r>
  <r>
    <x v="43"/>
    <s v=""/>
    <n v="0"/>
    <x v="1"/>
    <s v="Vestdanmark"/>
    <n v="1567563.5653193598"/>
    <n v="0"/>
    <n v="0"/>
    <n v="121875.54404868034"/>
    <n v="0"/>
    <n v="0"/>
    <n v="0"/>
    <n v="0"/>
    <n v="1445688.0212706793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14311.08005782543"/>
    <n v="0"/>
    <n v="0"/>
    <n v="33849.968886444818"/>
    <n v="0"/>
    <n v="0"/>
    <n v="0"/>
    <n v="0"/>
    <n v="180461.11117138062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198114.08883444962"/>
    <n v="73265.306718627704"/>
    <n v="0"/>
    <n v="0"/>
    <n v="0"/>
    <n v="0"/>
    <n v="0"/>
    <n v="0"/>
    <n v="124848.7821158219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624579787.93354332"/>
    <n v="0"/>
    <n v="0"/>
    <n v="0"/>
    <n v="0"/>
    <n v="0"/>
    <n v="624579787.93354332"/>
    <n v="0"/>
    <n v="0"/>
    <n v="0"/>
    <n v="624579787.93354332"/>
    <n v="0"/>
    <n v="0"/>
    <n v="0"/>
    <n v="0"/>
    <n v="0"/>
    <n v="0"/>
    <n v="0"/>
    <n v="0"/>
    <n v="0"/>
    <x v="1"/>
  </r>
  <r>
    <x v="4"/>
    <s v=""/>
    <n v="0"/>
    <x v="2"/>
    <s v="Vestdanmark"/>
    <n v="26905998.693784095"/>
    <n v="0"/>
    <n v="0"/>
    <n v="0"/>
    <n v="0"/>
    <n v="24286338.861024369"/>
    <n v="0"/>
    <n v="0"/>
    <n v="2619659.8327597268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877402.83979776292"/>
    <n v="0"/>
    <n v="0"/>
    <n v="0"/>
    <n v="175480.5679595526"/>
    <n v="0"/>
    <n v="0"/>
    <n v="0"/>
    <n v="701922.27183821029"/>
    <n v="701922.27183821029"/>
    <n v="175480.5679595526"/>
    <n v="0.39871015438850144"/>
    <n v="0.4983876929856268"/>
    <n v="9.9677538597125373E-2"/>
    <n v="0.39871015438850144"/>
    <n v="30016.574146540795"/>
    <n v="37520.717683175993"/>
    <n v="7504.1435366351998"/>
    <n v="30016.574146540792"/>
    <n v="0"/>
    <x v="0"/>
  </r>
  <r>
    <x v="6"/>
    <s v="Husdyrgødning"/>
    <n v="1"/>
    <x v="2"/>
    <s v="Vestdanmark"/>
    <n v="4132042.9154774514"/>
    <n v="0"/>
    <n v="0"/>
    <n v="0"/>
    <n v="2066021.4577387257"/>
    <n v="782136.69471537473"/>
    <n v="0"/>
    <n v="0"/>
    <n v="1283884.7630233509"/>
    <n v="1283884.7630233509"/>
    <n v="2066021.4577387257"/>
    <n v="2.7654877795522976"/>
    <n v="7.2156979995215131"/>
    <n v="4.4502102199692155"/>
    <n v="2.7654877795522976"/>
    <n v="385165.42890700523"/>
    <n v="1004971.866228623"/>
    <n v="619806.43732161773"/>
    <n v="385165.42890700523"/>
    <n v="0"/>
    <x v="0"/>
  </r>
  <r>
    <x v="7"/>
    <s v=""/>
    <n v="0"/>
    <x v="2"/>
    <s v="Vestdanmark"/>
    <n v="617988.29125231062"/>
    <n v="615674.84637502255"/>
    <n v="0"/>
    <n v="0"/>
    <n v="0"/>
    <n v="0"/>
    <n v="0"/>
    <n v="0"/>
    <n v="2313.4448772880714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2080.53053985185"/>
    <n v="0"/>
    <n v="0"/>
    <n v="0"/>
    <n v="10872.477485866666"/>
    <n v="1208.0530539851848"/>
    <n v="0"/>
    <n v="0"/>
    <n v="0"/>
    <n v="0"/>
    <n v="10872.477485866666"/>
    <n v="0"/>
    <n v="5.1132174368282348E-3"/>
    <n v="5.1132174368282348E-3"/>
    <n v="0"/>
    <n v="0"/>
    <n v="684.9660816096"/>
    <n v="684.9660816096"/>
    <n v="0"/>
    <n v="0"/>
    <x v="1"/>
  </r>
  <r>
    <x v="9"/>
    <s v=""/>
    <n v="0"/>
    <x v="2"/>
    <s v="Vestdanmark"/>
    <n v="157500.32695448503"/>
    <n v="0"/>
    <n v="0"/>
    <n v="36670.799626981883"/>
    <n v="0"/>
    <n v="0"/>
    <n v="0"/>
    <n v="0"/>
    <n v="120829.52732750315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78236.2422912115"/>
    <n v="0"/>
    <n v="0"/>
    <n v="0"/>
    <n v="0"/>
    <n v="0"/>
    <n v="0"/>
    <n v="0"/>
    <n v="978236.2422912115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8377.663005470582"/>
    <n v="0"/>
    <n v="0"/>
    <n v="267978.92035102146"/>
    <n v="0"/>
    <n v="0"/>
    <n v="0"/>
    <n v="0"/>
    <n v="-239601.25734555087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26548852.942320853"/>
    <n v="14698917.729434509"/>
    <n v="0"/>
    <n v="0"/>
    <n v="66036.373634957796"/>
    <n v="0"/>
    <n v="0"/>
    <n v="1795556.8725154817"/>
    <n v="9988341.966735905"/>
    <n v="9988341.966735905"/>
    <n v="66036.373634957796"/>
    <n v="18.377300676048225"/>
    <n v="18.498799348989845"/>
    <n v="0.12149867294161798"/>
    <n v="18.377300676048225"/>
    <n v="2796735.7506860537"/>
    <n v="2815225.9353038422"/>
    <n v="18490.184617788185"/>
    <n v="2796735.7506860541"/>
    <n v="0"/>
    <x v="0"/>
  </r>
  <r>
    <x v="14"/>
    <s v=""/>
    <n v="0"/>
    <x v="2"/>
    <s v="Vestdanmark"/>
    <n v="300165.74146540801"/>
    <n v="300165.741465408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2327.0774028138"/>
    <n v="0"/>
    <n v="0"/>
    <n v="280672.65868343826"/>
    <n v="0"/>
    <n v="0"/>
    <n v="0"/>
    <n v="0"/>
    <n v="-88345.581280624465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13887.2010549977"/>
    <n v="918861.60943487042"/>
    <n v="849907.04589271802"/>
    <n v="0"/>
    <n v="54203.01557442543"/>
    <n v="0"/>
    <n v="690915.53015298408"/>
    <n v="0"/>
    <n v="0"/>
    <n v="0"/>
    <n v="745118.54572740954"/>
    <n v="0"/>
    <n v="7.4536787707765662"/>
    <n v="0.3125096544149728"/>
    <n v="7.1411691163615938"/>
    <n v="0"/>
    <n v="633350.76386829815"/>
    <n v="46072.563238261617"/>
    <n v="587278.20063003653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5788120.7826627549"/>
    <n v="0"/>
    <n v="0"/>
    <n v="0"/>
    <n v="0"/>
    <n v="0"/>
    <n v="0"/>
    <n v="-5788120.7826627549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68531.79900121083"/>
    <n v="0"/>
    <n v="0"/>
    <n v="0"/>
    <n v="517021.84354515088"/>
    <n v="0"/>
    <n v="0"/>
    <n v="0"/>
    <n v="51509.95545605995"/>
    <n v="51509.95545605995"/>
    <n v="517021.84354515088"/>
    <n v="0.22319933328531708"/>
    <n v="2.1274737650679971"/>
    <n v="1.9042744317826799"/>
    <n v="0.22319933328531727"/>
    <n v="21634.181291545177"/>
    <n v="238783.35558050853"/>
    <n v="217149.17428896338"/>
    <n v="21634.181291545159"/>
    <n v="0"/>
    <x v="0"/>
  </r>
  <r>
    <x v="20"/>
    <s v=""/>
    <n v="0"/>
    <x v="2"/>
    <s v="Vestdanmark"/>
    <n v="628916.4005833331"/>
    <n v="0"/>
    <n v="0"/>
    <n v="0"/>
    <n v="0"/>
    <n v="0"/>
    <n v="0"/>
    <n v="0"/>
    <n v="628916.400583333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559779.6153129078"/>
    <n v="0"/>
    <n v="0"/>
    <n v="128347.79869443661"/>
    <n v="0"/>
    <n v="0"/>
    <n v="0"/>
    <n v="0"/>
    <n v="1431431.8166184712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900795.1054666163"/>
    <n v="6174012.1525406614"/>
    <n v="0"/>
    <n v="307470.55071854044"/>
    <n v="2883.6913429660071"/>
    <n v="0"/>
    <n v="0"/>
    <n v="0"/>
    <n v="-1583571.2891355511"/>
    <n v="0"/>
    <n v="2883.6913429660071"/>
    <n v="0"/>
    <n v="9.8762391328705602E-3"/>
    <n v="9.8762391328705602E-3"/>
    <n v="0"/>
    <n v="0"/>
    <n v="893.94431631946225"/>
    <n v="893.94431631946225"/>
    <n v="0"/>
    <n v="1"/>
    <x v="1"/>
  </r>
  <r>
    <x v="23"/>
    <s v=""/>
    <n v="0"/>
    <x v="2"/>
    <s v="Vestdanmark"/>
    <n v="0"/>
    <n v="0"/>
    <n v="0"/>
    <n v="0"/>
    <n v="0"/>
    <n v="246005.45516354125"/>
    <n v="0"/>
    <n v="0"/>
    <n v="-246005.45516354125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3698405.628900958"/>
    <n v="0"/>
    <n v="0"/>
    <n v="0"/>
    <n v="12328565.066010863"/>
    <n v="1369840.5628900954"/>
    <n v="0"/>
    <n v="0"/>
    <n v="0"/>
    <n v="0"/>
    <n v="12328565.066010863"/>
    <n v="0"/>
    <n v="6.2405963507640392"/>
    <n v="6.2405963507640392"/>
    <n v="0"/>
    <n v="0"/>
    <n v="936970.94501682557"/>
    <n v="936970.94501682557"/>
    <n v="0"/>
    <n v="0"/>
    <x v="1"/>
  </r>
  <r>
    <x v="25"/>
    <s v=""/>
    <n v="0"/>
    <x v="2"/>
    <s v="Vestdanmark"/>
    <n v="1716802.1114000401"/>
    <n v="1812574.6986106627"/>
    <n v="0"/>
    <n v="0"/>
    <n v="0"/>
    <n v="0"/>
    <n v="0"/>
    <n v="0"/>
    <n v="-95772.587210622616"/>
    <n v="0"/>
    <n v="0"/>
    <n v="0"/>
    <n v="0"/>
    <n v="0"/>
    <n v="0"/>
    <n v="0"/>
    <n v="0"/>
    <n v="0"/>
    <n v="0"/>
    <n v="1"/>
    <x v="1"/>
  </r>
  <r>
    <x v="26"/>
    <s v="Græs og urter"/>
    <n v="1"/>
    <x v="2"/>
    <s v="Vestdanmark"/>
    <n v="5640663.1541694049"/>
    <n v="5991945.9604161596"/>
    <n v="0"/>
    <n v="0"/>
    <n v="252182.2278297123"/>
    <n v="0"/>
    <n v="0"/>
    <n v="0"/>
    <n v="-603465.03407646716"/>
    <n v="0"/>
    <n v="252182.2278297123"/>
    <n v="0"/>
    <n v="0.9053341979086672"/>
    <n v="0.9053341979086672"/>
    <n v="0"/>
    <n v="0"/>
    <n v="75654.668348913692"/>
    <n v="75654.668348913692"/>
    <n v="0"/>
    <n v="0"/>
    <x v="0"/>
  </r>
  <r>
    <x v="27"/>
    <s v=""/>
    <n v="0"/>
    <x v="2"/>
    <s v="Vestdanmark"/>
    <n v="3312537.0730027938"/>
    <n v="0"/>
    <n v="0"/>
    <n v="490824.54885344987"/>
    <n v="0"/>
    <n v="0"/>
    <n v="0"/>
    <n v="0"/>
    <n v="2821712.5241493438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101763.93645151507"/>
    <n v="0"/>
    <n v="0"/>
    <n v="62368.567673274578"/>
    <n v="0"/>
    <n v="0"/>
    <n v="0"/>
    <n v="0"/>
    <n v="39395.368778240489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379975.3828292931"/>
    <n v="0"/>
    <n v="0"/>
    <n v="0"/>
    <n v="0"/>
    <n v="0"/>
    <n v="0"/>
    <n v="0"/>
    <n v="1379975.3828292931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30798.88136292373"/>
    <n v="0"/>
    <n v="0"/>
    <n v="0"/>
    <n v="0"/>
    <n v="0"/>
    <n v="130798.88136292373"/>
    <n v="0"/>
    <n v="0"/>
    <n v="0"/>
    <n v="130798.88136292373"/>
    <n v="0"/>
    <n v="2.406699417077796"/>
    <n v="0"/>
    <n v="2.406699417077796"/>
    <n v="0"/>
    <n v="54281.535765613349"/>
    <n v="0"/>
    <n v="54281.535765613349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5158296.5993875219"/>
    <n v="0"/>
    <n v="0"/>
    <n v="0"/>
    <n v="0"/>
    <n v="0"/>
    <n v="0"/>
    <n v="0"/>
    <n v="5158296.5993875219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65281.50726983073"/>
    <n v="0"/>
    <n v="0"/>
    <n v="0"/>
    <n v="0"/>
    <n v="0"/>
    <n v="0"/>
    <n v="365281.5072698307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82640.75363491537"/>
    <n v="251878.62569823102"/>
    <n v="0"/>
    <n v="0"/>
    <n v="0"/>
    <n v="0"/>
    <n v="0"/>
    <n v="0"/>
    <n v="-69237.872063315648"/>
    <n v="0"/>
    <n v="0"/>
    <n v="0"/>
    <n v="0"/>
    <n v="0"/>
    <n v="0"/>
    <n v="0"/>
    <n v="0"/>
    <n v="0"/>
    <n v="0"/>
    <n v="1"/>
    <x v="1"/>
  </r>
  <r>
    <x v="37"/>
    <s v="Rapsolie"/>
    <n v="1"/>
    <x v="2"/>
    <s v="Vestdanmark"/>
    <n v="116890.08232634584"/>
    <n v="0"/>
    <n v="0"/>
    <n v="0"/>
    <n v="0"/>
    <n v="0"/>
    <n v="116890.08232634584"/>
    <n v="0"/>
    <n v="0"/>
    <n v="0"/>
    <n v="116890.08232634584"/>
    <n v="0"/>
    <n v="4.0911528814221043"/>
    <n v="0"/>
    <n v="4.0911528814221043"/>
    <n v="0"/>
    <n v="0"/>
    <n v="0"/>
    <n v="0"/>
    <n v="0"/>
    <x v="1"/>
  </r>
  <r>
    <x v="38"/>
    <s v="Græs og urter"/>
    <n v="1"/>
    <x v="2"/>
    <s v="Vestdanmark"/>
    <n v="1766884.9195914473"/>
    <n v="1042365.5001332033"/>
    <n v="0"/>
    <n v="0"/>
    <n v="21696.433352533084"/>
    <n v="0"/>
    <n v="0"/>
    <n v="0"/>
    <n v="702822.98610571097"/>
    <n v="702822.98610571097"/>
    <n v="21696.433352533084"/>
    <n v="1.9074896972103439"/>
    <n v="1.9663746851864528"/>
    <n v="5.8884987976108895E-2"/>
    <n v="1.9074896972103439"/>
    <n v="140564.5972211422"/>
    <n v="144903.88389164882"/>
    <n v="4339.2866705066172"/>
    <n v="140564.5972211422"/>
    <n v="0"/>
    <x v="0"/>
  </r>
  <r>
    <x v="39"/>
    <s v=""/>
    <n v="0"/>
    <x v="2"/>
    <s v="Vestdanmark"/>
    <n v="187205.4874474731"/>
    <n v="0"/>
    <n v="0"/>
    <n v="0"/>
    <n v="0"/>
    <n v="0"/>
    <n v="0"/>
    <n v="0"/>
    <n v="187205.4874474731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8378.10633228059"/>
    <n v="46179.344840832004"/>
    <n v="0"/>
    <n v="0"/>
    <n v="0"/>
    <n v="0"/>
    <n v="0"/>
    <n v="0"/>
    <n v="82198.761491448589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31290.9636463677"/>
    <n v="0"/>
    <n v="0"/>
    <n v="0"/>
    <n v="1566787.3226266655"/>
    <n v="0"/>
    <n v="0"/>
    <n v="0"/>
    <n v="2564503.641019702"/>
    <n v="2564503.641019702"/>
    <n v="1566787.3226266655"/>
    <n v="1.2797129619052416"/>
    <n v="2.0615555037691742"/>
    <n v="0.78184254186393243"/>
    <n v="1.2797129619052416"/>
    <n v="153870.21846118211"/>
    <n v="247877.45781878202"/>
    <n v="94007.23935759993"/>
    <n v="153870.21846118208"/>
    <n v="0"/>
    <x v="0"/>
  </r>
  <r>
    <x v="42"/>
    <s v="Husdyrgødning"/>
    <n v="1"/>
    <x v="2"/>
    <s v="Vestdanmark"/>
    <n v="13216055.395535078"/>
    <n v="0"/>
    <n v="0"/>
    <n v="0"/>
    <n v="11894449.85598157"/>
    <n v="1321605.5395535075"/>
    <n v="0"/>
    <n v="0"/>
    <n v="0"/>
    <n v="0"/>
    <n v="11894449.85598157"/>
    <n v="0"/>
    <n v="5.1241289979568609"/>
    <n v="5.1241289979568609"/>
    <n v="0"/>
    <n v="0"/>
    <n v="594722.49279907846"/>
    <n v="594722.49279907846"/>
    <n v="0"/>
    <n v="0"/>
    <x v="1"/>
  </r>
  <r>
    <x v="43"/>
    <s v=""/>
    <n v="0"/>
    <x v="2"/>
    <s v="Vestdanmark"/>
    <n v="1366427.219240695"/>
    <n v="0"/>
    <n v="0"/>
    <n v="126627.09194270898"/>
    <n v="0"/>
    <n v="0"/>
    <n v="0"/>
    <n v="0"/>
    <n v="1239800.1272979861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  <n v="0"/>
    <x v="1"/>
  </r>
  <r>
    <x v="47"/>
    <s v="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20469.927135437214"/>
    <n v="0"/>
    <n v="0"/>
    <n v="28209.340124628539"/>
    <n v="0"/>
    <n v="0"/>
    <n v="0"/>
    <n v="0"/>
    <n v="-7739.412989191325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3812.089455455738"/>
    <n v="8992.6676617292323"/>
    <n v="0"/>
    <n v="0"/>
    <n v="0"/>
    <n v="0"/>
    <n v="0"/>
    <n v="0"/>
    <n v="54819.421793726506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31813030.03639302"/>
    <n v="0"/>
    <n v="0"/>
    <n v="0"/>
    <n v="0"/>
    <n v="0"/>
    <n v="131813030.03639302"/>
    <n v="0"/>
    <n v="0"/>
    <n v="0"/>
    <n v="131813030.03639302"/>
    <n v="0"/>
    <n v="0"/>
    <n v="0"/>
    <n v="0"/>
    <n v="0"/>
    <n v="0"/>
    <n v="0"/>
    <n v="0"/>
    <n v="0"/>
    <x v="1"/>
  </r>
  <r>
    <x v="4"/>
    <s v=""/>
    <n v="0"/>
    <x v="1"/>
    <s v="Østdanmark"/>
    <n v="4747757.6055027461"/>
    <n v="0"/>
    <n v="0"/>
    <n v="0"/>
    <n v="0"/>
    <n v="4363683.2093789419"/>
    <n v="0"/>
    <n v="0"/>
    <n v="384074.3961238041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91125.209575309986"/>
    <n v="0"/>
    <n v="0"/>
    <n v="0"/>
    <n v="18225.041915061996"/>
    <n v="0"/>
    <n v="0"/>
    <n v="0"/>
    <n v="72900.167660247986"/>
    <n v="72900.167660247986"/>
    <n v="18225.041915061996"/>
    <n v="4.1409196244259788E-2"/>
    <n v="5.1761495305324735E-2"/>
    <n v="1.0352299061064947E-2"/>
    <n v="4.1409196244259788E-2"/>
    <n v="3117.4581227327999"/>
    <n v="3896.8226534159999"/>
    <n v="779.36453068319997"/>
    <n v="3117.4581227327999"/>
    <n v="0"/>
    <x v="0"/>
  </r>
  <r>
    <x v="6"/>
    <s v="Husdyrgødning"/>
    <n v="1"/>
    <x v="1"/>
    <s v="Østdanmark"/>
    <n v="472855.62662575697"/>
    <n v="0"/>
    <n v="0"/>
    <n v="0"/>
    <n v="236427.81331287848"/>
    <n v="89504.815039875422"/>
    <n v="0"/>
    <n v="0"/>
    <n v="146922.99827300303"/>
    <n v="146922.99827300303"/>
    <n v="236427.81331287848"/>
    <n v="0.31647213828004855"/>
    <n v="0.82573764815598882"/>
    <n v="0.50926550987594021"/>
    <n v="0.31647213828004861"/>
    <n v="44076.899481900909"/>
    <n v="115005.24347576445"/>
    <n v="70928.343993863542"/>
    <n v="44076.899481900909"/>
    <n v="0"/>
    <x v="0"/>
  </r>
  <r>
    <x v="7"/>
    <s v=""/>
    <n v="0"/>
    <x v="1"/>
    <s v="Østdanmark"/>
    <n v="64182.961350381185"/>
    <n v="62973.863177375562"/>
    <n v="0"/>
    <n v="0"/>
    <n v="0"/>
    <n v="0"/>
    <n v="0"/>
    <n v="0"/>
    <n v="1209.0981730056228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892.28078879071916"/>
    <n v="0"/>
    <n v="0"/>
    <n v="0"/>
    <n v="803.0527099116473"/>
    <n v="89.228078879071901"/>
    <n v="0"/>
    <n v="0"/>
    <n v="0"/>
    <n v="0"/>
    <n v="803.0527099116473"/>
    <n v="0"/>
    <n v="3.7766765894434862E-4"/>
    <n v="3.7766765894434862E-4"/>
    <n v="0"/>
    <n v="0"/>
    <n v="50.592320724433783"/>
    <n v="50.592320724433783"/>
    <n v="0"/>
    <n v="0"/>
    <x v="1"/>
  </r>
  <r>
    <x v="9"/>
    <s v=""/>
    <n v="0"/>
    <x v="1"/>
    <s v="Østdanmark"/>
    <n v="16772.527158983896"/>
    <n v="0"/>
    <n v="0"/>
    <n v="30560.118468347584"/>
    <n v="0"/>
    <n v="0"/>
    <n v="0"/>
    <n v="0"/>
    <n v="-13787.591309363688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22357.88952697685"/>
    <n v="0"/>
    <n v="0"/>
    <n v="0"/>
    <n v="0"/>
    <n v="0"/>
    <n v="0"/>
    <n v="0"/>
    <n v="322357.88952697685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322.3305837736352"/>
    <n v="0"/>
    <n v="0"/>
    <n v="223323.94265330929"/>
    <n v="0"/>
    <n v="0"/>
    <n v="0"/>
    <n v="0"/>
    <n v="-214001.61206953565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797808.2646085992"/>
    <n v="1804161.9976497933"/>
    <n v="0"/>
    <n v="0"/>
    <n v="19146.607955280237"/>
    <n v="0"/>
    <n v="0"/>
    <n v="186482.75215301919"/>
    <n v="5788016.9068505066"/>
    <n v="5788016.9068505066"/>
    <n v="19146.607955280237"/>
    <n v="10.649227606491577"/>
    <n v="10.684454971803298"/>
    <n v="3.5227365311721229E-2"/>
    <n v="10.649227606491577"/>
    <n v="1620644.733918142"/>
    <n v="1626005.7841456207"/>
    <n v="5361.0502274784667"/>
    <n v="1620644.7339181423"/>
    <n v="0"/>
    <x v="0"/>
  </r>
  <r>
    <x v="14"/>
    <s v=""/>
    <n v="0"/>
    <x v="1"/>
    <s v="Østdanmark"/>
    <n v="31174.581227328003"/>
    <n v="31174.581227328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3693.311018631553"/>
    <n v="0"/>
    <n v="0"/>
    <n v="233902.44520004498"/>
    <n v="0"/>
    <n v="0"/>
    <n v="0"/>
    <n v="0"/>
    <n v="-170209.1341814134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862018.45968881075"/>
    <n v="112782.12636853076"/>
    <n v="123183.11249498594"/>
    <n v="0"/>
    <n v="20573.889334175161"/>
    <n v="0"/>
    <n v="605479.33149111876"/>
    <n v="0"/>
    <n v="0"/>
    <n v="0"/>
    <n v="626053.22082529392"/>
    <n v="0"/>
    <n v="6.3767366945525037"/>
    <n v="0.11861958191176027"/>
    <n v="6.2581171126407433"/>
    <n v="0"/>
    <n v="532145.23770149983"/>
    <n v="17487.805934048887"/>
    <n v="514657.43176745094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710440.57434076618"/>
    <n v="0"/>
    <n v="0"/>
    <n v="0"/>
    <n v="0"/>
    <n v="0"/>
    <n v="0"/>
    <n v="-710440.57434076618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9986.47985944702"/>
    <n v="0"/>
    <n v="0"/>
    <n v="0"/>
    <n v="190647.37917607787"/>
    <n v="0"/>
    <n v="0"/>
    <n v="0"/>
    <n v="19339.10068336915"/>
    <n v="19339.10068336915"/>
    <n v="190647.37917607787"/>
    <n v="8.379883734412738E-2"/>
    <n v="0.78598373375398001"/>
    <n v="0.7021848964098526"/>
    <n v="8.3798837344127408E-2"/>
    <n v="8122.4222870150425"/>
    <n v="88194.32154096775"/>
    <n v="80071.899253952695"/>
    <n v="8122.4222870150552"/>
    <n v="0"/>
    <x v="0"/>
  </r>
  <r>
    <x v="20"/>
    <s v=""/>
    <n v="0"/>
    <x v="1"/>
    <s v="Østdanmark"/>
    <n v="203140.11473090298"/>
    <n v="0"/>
    <n v="0"/>
    <n v="0"/>
    <n v="0"/>
    <n v="0"/>
    <n v="0"/>
    <n v="0"/>
    <n v="203140.1147309029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495905.68810885074"/>
    <n v="0"/>
    <n v="0"/>
    <n v="106960.41463921656"/>
    <n v="0"/>
    <n v="0"/>
    <n v="0"/>
    <n v="0"/>
    <n v="388945.27346963418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55948.945503107"/>
    <n v="779456.90372273244"/>
    <n v="0"/>
    <n v="256234.83946537593"/>
    <n v="877.2149514614091"/>
    <n v="0"/>
    <n v="0"/>
    <n v="0"/>
    <n v="519379.98736353731"/>
    <n v="0"/>
    <n v="877.2149514614091"/>
    <n v="0"/>
    <n v="3.004338398662122E-3"/>
    <n v="3.004338398662122E-3"/>
    <n v="0"/>
    <n v="0"/>
    <n v="271.93663495303684"/>
    <n v="271.93663495303684"/>
    <n v="0"/>
    <n v="1"/>
    <x v="1"/>
  </r>
  <r>
    <x v="23"/>
    <s v=""/>
    <n v="0"/>
    <x v="1"/>
    <s v="Østdanmark"/>
    <n v="0"/>
    <n v="0"/>
    <n v="0"/>
    <n v="0"/>
    <n v="0"/>
    <n v="289998.70816946391"/>
    <n v="0"/>
    <n v="0"/>
    <n v="-289998.7081694639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1067271.7369051871"/>
    <n v="0"/>
    <n v="0"/>
    <n v="0"/>
    <n v="960544.56321466842"/>
    <n v="106727.17369051868"/>
    <n v="0"/>
    <n v="0"/>
    <n v="0"/>
    <n v="0"/>
    <n v="960544.56321466842"/>
    <n v="0"/>
    <n v="0.48621805245363309"/>
    <n v="0.48621805245363309"/>
    <n v="0"/>
    <n v="0"/>
    <n v="73001.386804314796"/>
    <n v="73001.386804314796"/>
    <n v="0"/>
    <n v="0"/>
    <x v="1"/>
  </r>
  <r>
    <x v="25"/>
    <s v=""/>
    <n v="0"/>
    <x v="1"/>
    <s v="Østdanmark"/>
    <n v="133388.75573399532"/>
    <n v="222477.49455637607"/>
    <n v="0"/>
    <n v="0"/>
    <n v="0"/>
    <n v="0"/>
    <n v="0"/>
    <n v="0"/>
    <n v="-89088.73882238075"/>
    <n v="0"/>
    <n v="0"/>
    <n v="0"/>
    <n v="0"/>
    <n v="0"/>
    <n v="0"/>
    <n v="0"/>
    <n v="0"/>
    <n v="0"/>
    <n v="0"/>
    <n v="1"/>
    <x v="1"/>
  </r>
  <r>
    <x v="26"/>
    <s v="Græs og urter"/>
    <n v="1"/>
    <x v="1"/>
    <s v="Østdanmark"/>
    <n v="1709464.6903672938"/>
    <n v="735458.31011123862"/>
    <n v="0"/>
    <n v="0"/>
    <n v="75693.817166630659"/>
    <n v="0"/>
    <n v="0"/>
    <n v="0"/>
    <n v="898312.56308942451"/>
    <n v="395857.3957718208"/>
    <n v="75693.817166630659"/>
    <n v="1.4211280508208368"/>
    <n v="1.6928688544490409"/>
    <n v="0.27174080362820408"/>
    <n v="1.4211280508208368"/>
    <n v="118757.21873154624"/>
    <n v="141465.36388153542"/>
    <n v="22708.145149989195"/>
    <n v="118757.21873154622"/>
    <n v="0"/>
    <x v="0"/>
  </r>
  <r>
    <x v="27"/>
    <s v=""/>
    <n v="0"/>
    <x v="1"/>
    <s v="Østdanmark"/>
    <n v="257371.07122395348"/>
    <n v="0"/>
    <n v="0"/>
    <n v="409035.43180711387"/>
    <n v="0"/>
    <n v="0"/>
    <n v="0"/>
    <n v="0"/>
    <n v="-151664.3605831603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8508.9621500651465"/>
    <n v="0"/>
    <n v="0"/>
    <n v="51975.70917962808"/>
    <n v="0"/>
    <n v="0"/>
    <n v="0"/>
    <n v="0"/>
    <n v="-43466.747029562932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47021.00940158637"/>
    <n v="0"/>
    <n v="0"/>
    <n v="0"/>
    <n v="0"/>
    <n v="0"/>
    <n v="0"/>
    <n v="0"/>
    <n v="447021.00940158637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619.171284232172"/>
    <n v="0"/>
    <n v="0"/>
    <n v="0"/>
    <n v="0"/>
    <n v="0"/>
    <n v="39619.171284232172"/>
    <n v="0"/>
    <n v="0"/>
    <n v="0"/>
    <n v="39619.171284232172"/>
    <n v="0"/>
    <n v="0.72899275162987187"/>
    <n v="0"/>
    <n v="0.72899275162987187"/>
    <n v="0"/>
    <n v="16441.956082956352"/>
    <n v="0"/>
    <n v="16441.956082956352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400779.30970046029"/>
    <n v="0"/>
    <n v="0"/>
    <n v="0"/>
    <n v="0"/>
    <n v="0"/>
    <n v="0"/>
    <n v="0"/>
    <n v="400779.30970046029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19938.95898177236"/>
    <n v="0"/>
    <n v="0"/>
    <n v="0"/>
    <n v="0"/>
    <n v="0"/>
    <n v="0"/>
    <n v="119938.95898177236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59969.47949088618"/>
    <n v="30915.871009673829"/>
    <n v="0"/>
    <n v="0"/>
    <n v="0"/>
    <n v="0"/>
    <n v="0"/>
    <n v="0"/>
    <n v="29053.608481212352"/>
    <n v="0"/>
    <n v="0"/>
    <n v="0"/>
    <n v="0"/>
    <n v="0"/>
    <n v="0"/>
    <n v="0"/>
    <n v="0"/>
    <n v="0"/>
    <n v="0"/>
    <n v="1"/>
    <x v="1"/>
  </r>
  <r>
    <x v="37"/>
    <s v="Rapsolie"/>
    <n v="1"/>
    <x v="1"/>
    <s v="Østdanmark"/>
    <n v="38380.466874167156"/>
    <n v="0"/>
    <n v="0"/>
    <n v="0"/>
    <n v="0"/>
    <n v="0"/>
    <n v="38380.466874167156"/>
    <n v="0"/>
    <n v="0"/>
    <n v="0"/>
    <n v="38380.466874167156"/>
    <n v="0"/>
    <n v="1.3433163405958504"/>
    <n v="0"/>
    <n v="1.3433163405958504"/>
    <n v="0"/>
    <n v="0"/>
    <n v="0"/>
    <n v="0"/>
    <n v="0"/>
    <x v="1"/>
  </r>
  <r>
    <x v="38"/>
    <s v="Græs og urter"/>
    <n v="1"/>
    <x v="1"/>
    <s v="Østdanmark"/>
    <n v="587314.83163842501"/>
    <n v="127941.13536914771"/>
    <n v="0"/>
    <n v="0"/>
    <n v="6749.1075842859182"/>
    <n v="0"/>
    <n v="0"/>
    <n v="0"/>
    <n v="452624.58868499135"/>
    <n v="452624.58868499135"/>
    <n v="6749.1075842859182"/>
    <n v="1.228441238674614"/>
    <n v="1.2467585866226694"/>
    <n v="1.8317347948055354E-2"/>
    <n v="1.228441238674614"/>
    <n v="90524.917736998279"/>
    <n v="91874.739253855456"/>
    <n v="1349.8215168571837"/>
    <n v="90524.917736998279"/>
    <n v="0"/>
    <x v="0"/>
  </r>
  <r>
    <x v="39"/>
    <s v=""/>
    <n v="0"/>
    <x v="1"/>
    <s v="Østdanmark"/>
    <n v="25586.495588439793"/>
    <n v="0"/>
    <n v="0"/>
    <n v="0"/>
    <n v="0"/>
    <n v="0"/>
    <n v="0"/>
    <n v="0"/>
    <n v="25586.49558843979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20801.551109508149"/>
    <n v="5668.1056776960004"/>
    <n v="0"/>
    <n v="0"/>
    <n v="0"/>
    <n v="0"/>
    <n v="0"/>
    <n v="0"/>
    <n v="15133.4454318121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419.54603831"/>
    <n v="0"/>
    <n v="0"/>
    <n v="0"/>
    <n v="1268746.495883205"/>
    <n v="0"/>
    <n v="0"/>
    <n v="0"/>
    <n v="2076673.0501551051"/>
    <n v="2076673.0501551051"/>
    <n v="1268746.495883205"/>
    <n v="1.0362806187578992"/>
    <n v="1.6693978076685774"/>
    <n v="0.63311718891067825"/>
    <n v="1.0362806187578992"/>
    <n v="124600.3830093063"/>
    <n v="200725.17276229861"/>
    <n v="76124.789752992292"/>
    <n v="124600.38300930632"/>
    <n v="0"/>
    <x v="0"/>
  </r>
  <r>
    <x v="42"/>
    <s v="Husdyrgødning"/>
    <n v="1"/>
    <x v="1"/>
    <s v="Østdanmark"/>
    <n v="2409559.214171757"/>
    <n v="0"/>
    <n v="0"/>
    <n v="0"/>
    <n v="2168603.2927545812"/>
    <n v="240955.92141717565"/>
    <n v="0"/>
    <n v="0"/>
    <n v="0"/>
    <n v="0"/>
    <n v="2168603.2927545812"/>
    <n v="0"/>
    <n v="0.93423429851867379"/>
    <n v="0.93423429851867379"/>
    <n v="0"/>
    <n v="0"/>
    <n v="108430.16463772906"/>
    <n v="108430.16463772906"/>
    <n v="0"/>
    <n v="0"/>
    <x v="1"/>
  </r>
  <r>
    <x v="43"/>
    <s v=""/>
    <n v="0"/>
    <x v="1"/>
    <s v="Østdanmark"/>
    <n v="227135.43837600856"/>
    <n v="0"/>
    <n v="0"/>
    <n v="105526.43984954793"/>
    <n v="0"/>
    <n v="0"/>
    <n v="0"/>
    <n v="0"/>
    <n v="121608.9985264606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987.049844381028"/>
    <n v="0"/>
    <n v="0"/>
    <n v="29532.002020101954"/>
    <n v="0"/>
    <n v="0"/>
    <n v="0"/>
    <n v="0"/>
    <n v="-11544.952175720926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1474.791050873988"/>
    <n v="8992.6676617292323"/>
    <n v="0"/>
    <n v="0"/>
    <n v="0"/>
    <n v="0"/>
    <n v="0"/>
    <n v="0"/>
    <n v="52482.123389144755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29922524.11463594"/>
    <n v="0"/>
    <n v="0"/>
    <n v="0"/>
    <n v="0"/>
    <n v="0"/>
    <n v="129922524.11463594"/>
    <n v="0"/>
    <n v="0"/>
    <n v="0"/>
    <n v="129922524.11463594"/>
    <n v="0"/>
    <n v="0"/>
    <n v="0"/>
    <n v="0"/>
    <n v="0"/>
    <n v="0"/>
    <n v="0"/>
    <n v="0"/>
    <n v="0"/>
    <x v="1"/>
  </r>
  <r>
    <x v="4"/>
    <s v=""/>
    <n v="0"/>
    <x v="2"/>
    <s v="Østdanmark"/>
    <n v="4371388.9422579342"/>
    <n v="0"/>
    <n v="0"/>
    <n v="0"/>
    <n v="0"/>
    <n v="3945775.6002024049"/>
    <n v="0"/>
    <n v="0"/>
    <n v="425613.34205552936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107693.42949809364"/>
    <n v="0"/>
    <n v="0"/>
    <n v="0"/>
    <n v="21538.685899618729"/>
    <n v="0"/>
    <n v="0"/>
    <n v="0"/>
    <n v="86154.743598474917"/>
    <n v="86154.743598474917"/>
    <n v="21538.685899618729"/>
    <n v="4.8938141015943397E-2"/>
    <n v="6.1172676269929248E-2"/>
    <n v="1.2234535253985849E-2"/>
    <n v="4.8938141015943397E-2"/>
    <n v="3684.2686905024007"/>
    <n v="4605.3358631280007"/>
    <n v="921.06717262560016"/>
    <n v="3684.2686905024007"/>
    <n v="0"/>
    <x v="0"/>
  </r>
  <r>
    <x v="6"/>
    <s v="Husdyrgødning"/>
    <n v="1"/>
    <x v="2"/>
    <s v="Østdanmark"/>
    <n v="573805.87313028623"/>
    <n v="0"/>
    <n v="0"/>
    <n v="0"/>
    <n v="286902.93656514311"/>
    <n v="108613.25455680418"/>
    <n v="0"/>
    <n v="0"/>
    <n v="178289.68200833892"/>
    <n v="178289.68200833892"/>
    <n v="286902.93656514311"/>
    <n v="0.38403597504596204"/>
    <n v="1.0020249004072803"/>
    <n v="0.61798892536131833"/>
    <n v="0.38403597504596199"/>
    <n v="53486.904602501672"/>
    <n v="139557.78557204461"/>
    <n v="86070.880969542937"/>
    <n v="53486.904602501672"/>
    <n v="0"/>
    <x v="0"/>
  </r>
  <r>
    <x v="7"/>
    <s v=""/>
    <n v="0"/>
    <x v="2"/>
    <s v="Østdanmark"/>
    <n v="75852.590686814132"/>
    <n v="75568.635812850684"/>
    <n v="0"/>
    <n v="0"/>
    <n v="0"/>
    <n v="0"/>
    <n v="0"/>
    <n v="0"/>
    <n v="283.95487396344834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1013.9144691364182"/>
    <n v="0"/>
    <n v="0"/>
    <n v="0"/>
    <n v="912.52302222277638"/>
    <n v="101.39144691364179"/>
    <n v="0"/>
    <n v="0"/>
    <n v="0"/>
    <n v="0"/>
    <n v="912.52302222277638"/>
    <n v="0"/>
    <n v="4.2915045212114949E-4"/>
    <n v="4.2915045212114949E-4"/>
    <n v="0"/>
    <n v="0"/>
    <n v="57.488950400034909"/>
    <n v="57.488950400034909"/>
    <n v="0"/>
    <n v="0"/>
    <x v="1"/>
  </r>
  <r>
    <x v="9"/>
    <s v=""/>
    <n v="0"/>
    <x v="2"/>
    <s v="Østdanmark"/>
    <n v="13218.944305969808"/>
    <n v="0"/>
    <n v="0"/>
    <n v="31993.002188443785"/>
    <n v="0"/>
    <n v="0"/>
    <n v="0"/>
    <n v="0"/>
    <n v="-18774.0578824739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10830.63731938269"/>
    <n v="0"/>
    <n v="0"/>
    <n v="0"/>
    <n v="0"/>
    <n v="0"/>
    <n v="0"/>
    <n v="0"/>
    <n v="310830.63731938269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8983.290705592015"/>
    <n v="0"/>
    <n v="0"/>
    <n v="233795.01599247381"/>
    <n v="0"/>
    <n v="0"/>
    <n v="0"/>
    <n v="0"/>
    <n v="-224811.7252868817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7896195.2687320514"/>
    <n v="1804161.9976497933"/>
    <n v="0"/>
    <n v="0"/>
    <n v="19640.626365042219"/>
    <n v="0"/>
    <n v="0"/>
    <n v="220388.70708993179"/>
    <n v="5852003.9376272839"/>
    <n v="5852003.9376272839"/>
    <n v="19640.626365042219"/>
    <n v="10.766955744741999"/>
    <n v="10.803092042175381"/>
    <n v="3.6136297433382057E-2"/>
    <n v="10.766955744741999"/>
    <n v="1638561.1025356397"/>
    <n v="1644060.4779178514"/>
    <n v="5499.3753822118215"/>
    <n v="1638561.1025356397"/>
    <n v="0"/>
    <x v="0"/>
  </r>
  <r>
    <x v="14"/>
    <s v=""/>
    <n v="0"/>
    <x v="2"/>
    <s v="Østdanmark"/>
    <n v="36842.686905024006"/>
    <n v="36842.686905024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60945.756189628817"/>
    <n v="0"/>
    <n v="0"/>
    <n v="244869.51675001203"/>
    <n v="0"/>
    <n v="0"/>
    <n v="0"/>
    <n v="0"/>
    <n v="-183923.76056038321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787867.95670773066"/>
    <n v="112782.12636853076"/>
    <n v="120747.75217508907"/>
    <n v="0"/>
    <n v="21730.984425574563"/>
    <n v="0"/>
    <n v="532607.09373853623"/>
    <n v="0"/>
    <n v="0"/>
    <n v="0"/>
    <n v="554338.07816411078"/>
    <n v="0"/>
    <n v="5.6302146356757206"/>
    <n v="0.12529085994502717"/>
    <n v="5.5049237757306937"/>
    <n v="0"/>
    <n v="471187.36643949413"/>
    <n v="18471.336761738377"/>
    <n v="452716.02967775578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710440.57434076618"/>
    <n v="0"/>
    <n v="0"/>
    <n v="0"/>
    <n v="0"/>
    <n v="0"/>
    <n v="0"/>
    <n v="-710440.5743407661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9352.88683397757"/>
    <n v="0"/>
    <n v="0"/>
    <n v="0"/>
    <n v="190385.15645484926"/>
    <n v="0"/>
    <n v="0"/>
    <n v="0"/>
    <n v="18967.730379128305"/>
    <n v="18967.730379128305"/>
    <n v="190385.15645484926"/>
    <n v="8.2189641537712244E-2"/>
    <n v="0.78340872957853314"/>
    <n v="0.70121908804082089"/>
    <n v="8.2189641537712244E-2"/>
    <n v="7966.4467592338879"/>
    <n v="87928.212470270577"/>
    <n v="79961.765711036685"/>
    <n v="7966.4467592338915"/>
    <n v="0"/>
    <x v="0"/>
  </r>
  <r>
    <x v="20"/>
    <s v=""/>
    <n v="0"/>
    <x v="2"/>
    <s v="Østdanmark"/>
    <n v="195712.98876309939"/>
    <n v="0"/>
    <n v="0"/>
    <n v="0"/>
    <n v="0"/>
    <n v="0"/>
    <n v="0"/>
    <n v="0"/>
    <n v="195712.98876309939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477733.48917643895"/>
    <n v="0"/>
    <n v="0"/>
    <n v="111975.50765955324"/>
    <n v="0"/>
    <n v="0"/>
    <n v="0"/>
    <n v="0"/>
    <n v="365757.98151688569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533461.5685547295"/>
    <n v="757805.32306376752"/>
    <n v="0"/>
    <n v="268249.01834925939"/>
    <n v="902.30865703399286"/>
    <n v="0"/>
    <n v="0"/>
    <n v="0"/>
    <n v="506504.9184846686"/>
    <n v="0"/>
    <n v="902.30865703399286"/>
    <n v="0"/>
    <n v="3.0902808271294413E-3"/>
    <n v="3.0902808271294413E-3"/>
    <n v="0"/>
    <n v="0"/>
    <n v="279.71568368053778"/>
    <n v="279.71568368053778"/>
    <n v="0"/>
    <n v="1"/>
    <x v="1"/>
  </r>
  <r>
    <x v="23"/>
    <s v=""/>
    <n v="0"/>
    <x v="2"/>
    <s v="Østdanmark"/>
    <n v="0"/>
    <n v="0"/>
    <n v="0"/>
    <n v="0"/>
    <n v="0"/>
    <n v="270103.53604430315"/>
    <n v="0"/>
    <n v="0"/>
    <n v="-270103.53604430315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73600.61608850933"/>
    <n v="0"/>
    <n v="0"/>
    <n v="0"/>
    <n v="876240.55447965837"/>
    <n v="97360.061608850912"/>
    <n v="0"/>
    <n v="0"/>
    <n v="0"/>
    <n v="0"/>
    <n v="876240.55447965837"/>
    <n v="0"/>
    <n v="0.44354420627205832"/>
    <n v="0.44354420627205832"/>
    <n v="0"/>
    <n v="0"/>
    <n v="66594.28214045403"/>
    <n v="66594.28214045403"/>
    <n v="0"/>
    <n v="0"/>
    <x v="1"/>
  </r>
  <r>
    <x v="25"/>
    <s v=""/>
    <n v="0"/>
    <x v="2"/>
    <s v="Østdanmark"/>
    <n v="122020.01011231828"/>
    <n v="222477.49455637607"/>
    <n v="0"/>
    <n v="0"/>
    <n v="0"/>
    <n v="0"/>
    <n v="0"/>
    <n v="0"/>
    <n v="-100457.48444405779"/>
    <n v="0"/>
    <n v="0"/>
    <n v="0"/>
    <n v="0"/>
    <n v="0"/>
    <n v="0"/>
    <n v="0"/>
    <n v="0"/>
    <n v="0"/>
    <n v="0"/>
    <n v="1"/>
    <x v="1"/>
  </r>
  <r>
    <x v="26"/>
    <s v="Græs og urter"/>
    <n v="1"/>
    <x v="2"/>
    <s v="Østdanmark"/>
    <n v="1741163.5278240088"/>
    <n v="735458.31011123862"/>
    <n v="0"/>
    <n v="0"/>
    <n v="77843.772170287746"/>
    <n v="0"/>
    <n v="0"/>
    <n v="0"/>
    <n v="927861.44554248243"/>
    <n v="324396.41146601527"/>
    <n v="77843.772170287746"/>
    <n v="1.164583117162995"/>
    <n v="1.4440422592543281"/>
    <n v="0.27945914209133305"/>
    <n v="1.164583117162995"/>
    <n v="97318.923439804581"/>
    <n v="120672.05509089089"/>
    <n v="23353.131651086322"/>
    <n v="97318.923439804566"/>
    <n v="0"/>
    <x v="0"/>
  </r>
  <r>
    <x v="27"/>
    <s v=""/>
    <n v="0"/>
    <x v="2"/>
    <s v="Østdanmark"/>
    <n v="235435.29243193395"/>
    <n v="0"/>
    <n v="0"/>
    <n v="428214.02929147833"/>
    <n v="0"/>
    <n v="0"/>
    <n v="0"/>
    <n v="0"/>
    <n v="-192778.73685954438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7232.7710179462747"/>
    <n v="0"/>
    <n v="0"/>
    <n v="54412.71372203785"/>
    <n v="0"/>
    <n v="0"/>
    <n v="0"/>
    <n v="0"/>
    <n v="-47179.942704091576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30692.0417893788"/>
    <n v="0"/>
    <n v="0"/>
    <n v="0"/>
    <n v="0"/>
    <n v="0"/>
    <n v="0"/>
    <n v="0"/>
    <n v="430692.0417893788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200.145674741361"/>
    <n v="0"/>
    <n v="0"/>
    <n v="0"/>
    <n v="0"/>
    <n v="0"/>
    <n v="38200.145674741361"/>
    <n v="0"/>
    <n v="0"/>
    <n v="0"/>
    <n v="38200.145674741361"/>
    <n v="0"/>
    <n v="0.70288268041524093"/>
    <n v="0"/>
    <n v="0.70288268041524093"/>
    <n v="0"/>
    <n v="15853.060455017667"/>
    <n v="0"/>
    <n v="15853.060455017667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66620.82312230999"/>
    <n v="0"/>
    <n v="0"/>
    <n v="0"/>
    <n v="0"/>
    <n v="0"/>
    <n v="0"/>
    <n v="0"/>
    <n v="366620.82312230999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17.58907939846"/>
    <n v="0"/>
    <n v="0"/>
    <n v="0"/>
    <n v="0"/>
    <n v="0"/>
    <n v="0"/>
    <n v="115017.58907939846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57508.794539699229"/>
    <n v="30915.871009673829"/>
    <n v="0"/>
    <n v="0"/>
    <n v="0"/>
    <n v="0"/>
    <n v="0"/>
    <n v="0"/>
    <n v="26592.9235300254"/>
    <n v="0"/>
    <n v="0"/>
    <n v="0"/>
    <n v="0"/>
    <n v="0"/>
    <n v="0"/>
    <n v="0"/>
    <n v="0"/>
    <n v="0"/>
    <n v="0"/>
    <n v="1"/>
    <x v="1"/>
  </r>
  <r>
    <x v="37"/>
    <s v="Rapsolie"/>
    <n v="1"/>
    <x v="2"/>
    <s v="Østdanmark"/>
    <n v="36805.628505407505"/>
    <n v="0"/>
    <n v="0"/>
    <n v="0"/>
    <n v="0"/>
    <n v="0"/>
    <n v="36805.628505407505"/>
    <n v="0"/>
    <n v="0"/>
    <n v="0"/>
    <n v="36805.628505407505"/>
    <n v="0"/>
    <n v="1.2881969976892627"/>
    <n v="0"/>
    <n v="1.2881969976892627"/>
    <n v="0"/>
    <n v="0"/>
    <n v="0"/>
    <n v="0"/>
    <n v="0"/>
    <x v="1"/>
  </r>
  <r>
    <x v="38"/>
    <s v="Græs og urter"/>
    <n v="1"/>
    <x v="2"/>
    <s v="Østdanmark"/>
    <n v="565868.01262208389"/>
    <n v="127941.13536914771"/>
    <n v="0"/>
    <n v="0"/>
    <n v="6948.5666474669151"/>
    <n v="0"/>
    <n v="0"/>
    <n v="0"/>
    <n v="430978.31060546928"/>
    <n v="430978.31060546928"/>
    <n v="6948.5666474669151"/>
    <n v="1.169692374115668"/>
    <n v="1.1885510619395592"/>
    <n v="1.8858687823891107E-2"/>
    <n v="1.1696923741156682"/>
    <n v="86195.662121093861"/>
    <n v="87585.375450587249"/>
    <n v="1389.7133294933831"/>
    <n v="86195.662121093861"/>
    <n v="0"/>
    <x v="0"/>
  </r>
  <r>
    <x v="39"/>
    <s v=""/>
    <n v="0"/>
    <x v="2"/>
    <s v="Østdanmark"/>
    <n v="22182.119996210597"/>
    <n v="0"/>
    <n v="0"/>
    <n v="0"/>
    <n v="0"/>
    <n v="0"/>
    <n v="0"/>
    <n v="0"/>
    <n v="22182.119996210597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8120.669233843775"/>
    <n v="5668.1056776960004"/>
    <n v="0"/>
    <n v="0"/>
    <n v="0"/>
    <n v="0"/>
    <n v="0"/>
    <n v="0"/>
    <n v="12452.563556147776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953.7358260299"/>
    <n v="0"/>
    <n v="0"/>
    <n v="0"/>
    <n v="1327732.6575790939"/>
    <n v="0"/>
    <n v="0"/>
    <n v="0"/>
    <n v="2173221.0782469362"/>
    <n v="2173221.0782469362"/>
    <n v="1327732.6575790939"/>
    <n v="1.0844590502560039"/>
    <n v="1.7470109237145475"/>
    <n v="0.66255187345854372"/>
    <n v="1.0844590502560036"/>
    <n v="130393.26469481617"/>
    <n v="210057.22414956181"/>
    <n v="79663.959454745636"/>
    <n v="130393.26469481617"/>
    <n v="0"/>
    <x v="0"/>
  </r>
  <r>
    <x v="42"/>
    <s v="Husdyrgødning"/>
    <n v="1"/>
    <x v="2"/>
    <s v="Østdanmark"/>
    <n v="1914968.3000286557"/>
    <n v="0"/>
    <n v="0"/>
    <n v="0"/>
    <n v="1723471.4700257902"/>
    <n v="191496.83000286552"/>
    <n v="0"/>
    <n v="0"/>
    <n v="0"/>
    <n v="0"/>
    <n v="1723471.4700257902"/>
    <n v="0"/>
    <n v="0.74247150928711048"/>
    <n v="0.74247150928711048"/>
    <n v="0"/>
    <n v="0"/>
    <n v="86173.573501289517"/>
    <n v="86173.573501289517"/>
    <n v="0"/>
    <n v="0"/>
    <x v="1"/>
  </r>
  <r>
    <x v="43"/>
    <s v=""/>
    <n v="0"/>
    <x v="2"/>
    <s v="Østdanmark"/>
    <n v="197991.36208420046"/>
    <n v="0"/>
    <n v="0"/>
    <n v="110474.29755686472"/>
    <n v="0"/>
    <n v="0"/>
    <n v="0"/>
    <n v="0"/>
    <n v="87517.064527335737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  <n v="0"/>
    <x v="1"/>
  </r>
  <r>
    <x v="47"/>
    <s v="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43893.92541050701"/>
    <n v="0"/>
    <n v="0"/>
    <n v="32579.784552999867"/>
    <n v="0"/>
    <n v="0"/>
    <n v="0"/>
    <n v="0"/>
    <n v="211314.14085750715"/>
    <n v="0"/>
    <n v="0"/>
    <n v="0"/>
    <n v="0"/>
    <n v="0"/>
    <n v="0"/>
    <n v="0"/>
    <n v="0"/>
    <n v="0"/>
    <n v="0"/>
    <x v="0"/>
  </r>
  <r>
    <x v="1"/>
    <s v=""/>
    <n v="0"/>
    <x v="1"/>
    <s v="Vestdanmark"/>
    <n v="213337.88029141159"/>
    <n v="73265.306718627704"/>
    <n v="0"/>
    <n v="0"/>
    <n v="0"/>
    <n v="0"/>
    <n v="0"/>
    <n v="0"/>
    <n v="140072.57357278391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658589449.50267792"/>
    <n v="0"/>
    <n v="0"/>
    <n v="0"/>
    <n v="0"/>
    <n v="0"/>
    <n v="658589449.50267792"/>
    <n v="0"/>
    <n v="0"/>
    <n v="0"/>
    <n v="658589449.50267792"/>
    <n v="0"/>
    <n v="0"/>
    <n v="0"/>
    <n v="0"/>
    <n v="0"/>
    <n v="0"/>
    <n v="0"/>
    <n v="0"/>
    <x v="0"/>
  </r>
  <r>
    <x v="4"/>
    <s v=""/>
    <n v="0"/>
    <x v="1"/>
    <s v="Vestdanmark"/>
    <n v="30454220.72762743"/>
    <n v="0"/>
    <n v="0"/>
    <n v="0"/>
    <n v="0"/>
    <n v="27990597.390617166"/>
    <n v="0"/>
    <n v="0"/>
    <n v="2463623.3370102644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742417.78752118419"/>
    <n v="0"/>
    <n v="0"/>
    <n v="0"/>
    <n v="148483.55750423684"/>
    <n v="0"/>
    <n v="0"/>
    <n v="0"/>
    <n v="593934.23001694737"/>
    <n v="593934.23001694737"/>
    <n v="148483.55750423684"/>
    <n v="0.3373701306364244"/>
    <n v="0.42171266329553048"/>
    <n v="8.4342532659106101E-2"/>
    <n v="0.3373701306364244"/>
    <n v="25398.639662457605"/>
    <n v="31748.299578072005"/>
    <n v="6349.6599156144011"/>
    <n v="25398.639662457605"/>
    <x v="0"/>
  </r>
  <r>
    <x v="6"/>
    <s v="Husdyrgødning"/>
    <n v="1"/>
    <x v="1"/>
    <s v="Vestdanmark"/>
    <n v="3467725.556428601"/>
    <n v="0"/>
    <n v="0"/>
    <n v="0"/>
    <n v="1733862.7782143005"/>
    <n v="656390.90889541374"/>
    <n v="0"/>
    <n v="0"/>
    <n v="1077471.8693188867"/>
    <n v="1077471.8693188867"/>
    <n v="1733862.7782143005"/>
    <n v="2.3208744065128819"/>
    <n v="6.0556148307864852"/>
    <n v="3.7347404242736033"/>
    <n v="2.3208744065128819"/>
    <n v="323241.56079566601"/>
    <n v="843400.39425995608"/>
    <n v="520158.83346429013"/>
    <n v="323241.56079566595"/>
    <x v="0"/>
  </r>
  <r>
    <x v="7"/>
    <s v=""/>
    <n v="0"/>
    <x v="1"/>
    <s v="Vestdanmark"/>
    <n v="522913.16952118598"/>
    <n v="513062.37197918555"/>
    <n v="0"/>
    <n v="0"/>
    <n v="0"/>
    <n v="0"/>
    <n v="0"/>
    <n v="0"/>
    <n v="9850.7975420004223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10631.296472463182"/>
    <n v="0"/>
    <n v="0"/>
    <n v="0"/>
    <n v="9568.1668252168638"/>
    <n v="1063.129647246318"/>
    <n v="0"/>
    <n v="0"/>
    <n v="0"/>
    <n v="0"/>
    <n v="9568.1668252168638"/>
    <n v="0"/>
    <n v="4.4998131762312389E-3"/>
    <n v="4.4998131762312389E-3"/>
    <n v="0"/>
    <n v="0"/>
    <n v="602.79450998866241"/>
    <n v="602.79450998866241"/>
    <n v="0"/>
    <x v="0"/>
  </r>
  <r>
    <x v="9"/>
    <s v=""/>
    <n v="0"/>
    <x v="1"/>
    <s v="Vestdanmark"/>
    <n v="199840.35413478027"/>
    <n v="0"/>
    <n v="0"/>
    <n v="35294.766599083188"/>
    <n v="0"/>
    <n v="0"/>
    <n v="0"/>
    <n v="0"/>
    <n v="164545.58753569709"/>
    <n v="0"/>
    <n v="0"/>
    <n v="0"/>
    <n v="0"/>
    <n v="0"/>
    <n v="0"/>
    <n v="0"/>
    <n v="0"/>
    <n v="0"/>
    <n v="0"/>
    <x v="0"/>
  </r>
  <r>
    <x v="10"/>
    <s v=""/>
    <n v="0"/>
    <x v="1"/>
    <s v="Vestdanmark"/>
    <n v="1052106.88659479"/>
    <n v="0"/>
    <n v="0"/>
    <n v="0"/>
    <n v="0"/>
    <n v="0"/>
    <n v="0"/>
    <n v="0"/>
    <n v="1052106.88659479"/>
    <n v="0"/>
    <n v="0"/>
    <n v="0"/>
    <n v="0"/>
    <n v="0"/>
    <n v="0"/>
    <n v="0"/>
    <n v="0"/>
    <n v="0"/>
    <n v="0"/>
    <x v="0"/>
  </r>
  <r>
    <x v="11"/>
    <s v=""/>
    <n v="0"/>
    <x v="1"/>
    <s v="Vestdanmark"/>
    <n v="30569.09248387249"/>
    <n v="0"/>
    <n v="0"/>
    <n v="257923.29437791562"/>
    <n v="0"/>
    <n v="0"/>
    <n v="0"/>
    <n v="0"/>
    <n v="-227354.2018940431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7095725.89284119"/>
    <n v="14698917.729434509"/>
    <n v="0"/>
    <n v="0"/>
    <n v="66530.392044719745"/>
    <n v="0"/>
    <n v="0"/>
    <n v="1519317.3536669463"/>
    <n v="10810960.417695016"/>
    <n v="10810960.417695016"/>
    <n v="66530.392044719745"/>
    <n v="19.890815798506619"/>
    <n v="20.013223403569899"/>
    <n v="0.12240760506327875"/>
    <n v="19.890815798506619"/>
    <n v="3027068.9169546044"/>
    <n v="3045697.4267271259"/>
    <n v="18628.509772521531"/>
    <n v="3027068.9169546044"/>
    <x v="0"/>
  </r>
  <r>
    <x v="14"/>
    <s v=""/>
    <n v="0"/>
    <x v="1"/>
    <s v="Vestdanmark"/>
    <n v="253986.39662457604"/>
    <n v="253986.39662457604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08752.59567778328"/>
    <n v="0"/>
    <n v="0"/>
    <n v="270140.71358529059"/>
    <n v="0"/>
    <n v="0"/>
    <n v="0"/>
    <n v="0"/>
    <n v="-61388.117907507316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853693.4203751995"/>
    <n v="918861.60943487054"/>
    <n v="865639.24548804213"/>
    <n v="0"/>
    <n v="55360.11066582489"/>
    <n v="0"/>
    <n v="1013832.4547864624"/>
    <n v="0"/>
    <n v="0"/>
    <n v="0"/>
    <n v="1069192.5654522872"/>
    <n v="0"/>
    <n v="10.797956845450313"/>
    <n v="0.31918093244824008"/>
    <n v="10.478775913002073"/>
    <n v="0"/>
    <n v="908813.68063444411"/>
    <n v="47056.094065951154"/>
    <n v="861757.58656849293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5788120.7826627567"/>
    <n v="0"/>
    <n v="0"/>
    <n v="0"/>
    <n v="0"/>
    <n v="0"/>
    <n v="0"/>
    <n v="-5788120.7826627567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83497.9658742107"/>
    <n v="0"/>
    <n v="0"/>
    <n v="0"/>
    <n v="529759.62082392198"/>
    <n v="0"/>
    <n v="0"/>
    <n v="0"/>
    <n v="53738.345050288714"/>
    <n v="53738.345050288714"/>
    <n v="529759.62082392198"/>
    <n v="0.23285523508775754"/>
    <n v="2.1840449450014048"/>
    <n v="1.951189709913647"/>
    <n v="0.23285523508775774"/>
    <n v="22570.104921121259"/>
    <n v="245069.14566716849"/>
    <n v="222499.04074604722"/>
    <n v="22570.104921121267"/>
    <x v="0"/>
  </r>
  <r>
    <x v="20"/>
    <s v=""/>
    <n v="0"/>
    <x v="1"/>
    <s v="Vestdanmark"/>
    <n v="677222.38479268458"/>
    <n v="0"/>
    <n v="0"/>
    <n v="0"/>
    <n v="0"/>
    <n v="0"/>
    <n v="0"/>
    <n v="0"/>
    <n v="677222.38479268458"/>
    <n v="0"/>
    <n v="0"/>
    <n v="0"/>
    <n v="0"/>
    <n v="0"/>
    <n v="0"/>
    <n v="0"/>
    <n v="0"/>
    <n v="0"/>
    <n v="0"/>
    <x v="0"/>
  </r>
  <r>
    <x v="21"/>
    <s v=""/>
    <n v="0"/>
    <x v="1"/>
    <s v="Vestdanmark"/>
    <n v="1678516.8822786708"/>
    <n v="0"/>
    <n v="0"/>
    <n v="123531.68309679118"/>
    <n v="0"/>
    <n v="0"/>
    <n v="0"/>
    <n v="0"/>
    <n v="1554985.1991818796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159420.7570548151"/>
    <n v="6350412.4997561099"/>
    <n v="0"/>
    <n v="295933.04302308214"/>
    <n v="2908.785048538592"/>
    <n v="0"/>
    <n v="0"/>
    <n v="0"/>
    <n v="-1489833.5707729161"/>
    <n v="0"/>
    <n v="2908.785048538592"/>
    <n v="0"/>
    <n v="9.9621815613378847E-3"/>
    <n v="9.9621815613378847E-3"/>
    <n v="0"/>
    <n v="0"/>
    <n v="901.72336504696352"/>
    <n v="901.72336504696352"/>
    <n v="0"/>
    <x v="1"/>
  </r>
  <r>
    <x v="23"/>
    <s v=""/>
    <n v="0"/>
    <x v="1"/>
    <s v="Vestdanmark"/>
    <n v="0"/>
    <n v="0"/>
    <n v="0"/>
    <n v="0"/>
    <n v="0"/>
    <n v="260487.33692313972"/>
    <n v="0"/>
    <n v="0"/>
    <n v="-260487.33692313972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5016343.382284625"/>
    <n v="0"/>
    <n v="0"/>
    <n v="0"/>
    <n v="13514709.044056162"/>
    <n v="1501634.338228462"/>
    <n v="0"/>
    <n v="0"/>
    <n v="0"/>
    <n v="0"/>
    <n v="13514709.044056162"/>
    <n v="0"/>
    <n v="6.8410105710107896"/>
    <n v="6.8410105710107896"/>
    <n v="0"/>
    <n v="0"/>
    <n v="1027117.8873482683"/>
    <n v="1027117.8873482683"/>
    <n v="0"/>
    <x v="0"/>
  </r>
  <r>
    <x v="25"/>
    <s v=""/>
    <n v="0"/>
    <x v="1"/>
    <s v="Vestdanmark"/>
    <n v="1876758.5518994229"/>
    <n v="1812574.6986106629"/>
    <n v="0"/>
    <n v="0"/>
    <n v="0"/>
    <n v="0"/>
    <n v="0"/>
    <n v="0"/>
    <n v="64183.853288759943"/>
    <n v="0"/>
    <n v="0"/>
    <n v="0"/>
    <n v="0"/>
    <n v="0"/>
    <n v="0"/>
    <n v="0"/>
    <n v="0"/>
    <n v="0"/>
    <n v="0"/>
    <x v="1"/>
  </r>
  <r>
    <x v="26"/>
    <s v="Græs og urter"/>
    <n v="1"/>
    <x v="1"/>
    <s v="Vestdanmark"/>
    <n v="5743822.9759319266"/>
    <n v="5991945.9604161605"/>
    <n v="0"/>
    <n v="0"/>
    <n v="254332.18283336936"/>
    <n v="0"/>
    <n v="0"/>
    <n v="0"/>
    <n v="-502455.16731760371"/>
    <n v="0"/>
    <n v="254332.18283336936"/>
    <n v="0"/>
    <n v="0.91305253637179606"/>
    <n v="0.91305253637179606"/>
    <n v="0"/>
    <n v="0"/>
    <n v="76299.654850010804"/>
    <n v="76299.654850010804"/>
    <n v="0"/>
    <x v="0"/>
  </r>
  <r>
    <x v="27"/>
    <s v=""/>
    <n v="0"/>
    <x v="1"/>
    <s v="Vestdanmark"/>
    <n v="3621169.9874786926"/>
    <n v="0"/>
    <n v="0"/>
    <n v="472406.87601849809"/>
    <n v="0"/>
    <n v="0"/>
    <n v="0"/>
    <n v="0"/>
    <n v="3148763.1114601945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119719.7424554231"/>
    <n v="0"/>
    <n v="0"/>
    <n v="60028.253038902265"/>
    <n v="0"/>
    <n v="0"/>
    <n v="0"/>
    <n v="0"/>
    <n v="59691.489416520832"/>
    <n v="0"/>
    <n v="0"/>
    <n v="0"/>
    <n v="0"/>
    <n v="0"/>
    <n v="0"/>
    <n v="0"/>
    <n v="0"/>
    <n v="0"/>
    <n v="0"/>
    <x v="0"/>
  </r>
  <r>
    <x v="30"/>
    <s v=""/>
    <n v="0"/>
    <x v="1"/>
    <s v="Vestdanmark"/>
    <n v="1486066.0976233429"/>
    <n v="0"/>
    <n v="0"/>
    <n v="0"/>
    <n v="0"/>
    <n v="0"/>
    <n v="0"/>
    <n v="0"/>
    <n v="1486066.0976233429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40082.86866845257"/>
    <n v="0"/>
    <n v="0"/>
    <n v="0"/>
    <n v="0"/>
    <n v="0"/>
    <n v="140082.86866845257"/>
    <n v="0"/>
    <n v="0"/>
    <n v="0"/>
    <n v="140082.86866845257"/>
    <n v="0"/>
    <n v="2.577524783499527"/>
    <n v="0"/>
    <n v="2.577524783499527"/>
    <n v="0"/>
    <n v="58134.390497407825"/>
    <n v="0"/>
    <n v="58134.390497407825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5638901.0660288362"/>
    <n v="0"/>
    <n v="0"/>
    <n v="0"/>
    <n v="0"/>
    <n v="0"/>
    <n v="0"/>
    <n v="0"/>
    <n v="5638901.0660288362"/>
    <n v="0"/>
    <n v="0"/>
    <n v="0"/>
    <n v="0"/>
    <n v="0"/>
    <n v="0"/>
    <n v="0"/>
    <n v="0"/>
    <n v="0"/>
    <n v="0"/>
    <x v="0"/>
  </r>
  <r>
    <x v="35"/>
    <s v=""/>
    <n v="0"/>
    <x v="1"/>
    <s v="Vestdanmark"/>
    <n v="395390.17485052859"/>
    <n v="0"/>
    <n v="0"/>
    <n v="0"/>
    <n v="0"/>
    <n v="0"/>
    <n v="0"/>
    <n v="395390.17485052859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197695.0874252643"/>
    <n v="251878.62569823104"/>
    <n v="0"/>
    <n v="0"/>
    <n v="0"/>
    <n v="0"/>
    <n v="0"/>
    <n v="0"/>
    <n v="-54183.538272966747"/>
    <n v="0"/>
    <n v="0"/>
    <n v="0"/>
    <n v="0"/>
    <n v="0"/>
    <n v="0"/>
    <n v="0"/>
    <n v="0"/>
    <n v="0"/>
    <n v="0"/>
    <x v="1"/>
  </r>
  <r>
    <x v="37"/>
    <s v="Rapsolie"/>
    <n v="1"/>
    <x v="1"/>
    <s v="Vestdanmark"/>
    <n v="126524.85595216915"/>
    <n v="0"/>
    <n v="0"/>
    <n v="0"/>
    <n v="0"/>
    <n v="0"/>
    <n v="126524.85595216915"/>
    <n v="0"/>
    <n v="0"/>
    <n v="0"/>
    <n v="126524.85595216915"/>
    <n v="0"/>
    <n v="4.42836995832592"/>
    <n v="0"/>
    <n v="4.42836995832592"/>
    <n v="0"/>
    <n v="0"/>
    <n v="0"/>
    <n v="0"/>
    <x v="0"/>
  </r>
  <r>
    <x v="38"/>
    <s v="Græs og urter"/>
    <n v="1"/>
    <x v="1"/>
    <s v="Vestdanmark"/>
    <n v="1905404.856436112"/>
    <n v="1042365.5001332033"/>
    <n v="0"/>
    <n v="0"/>
    <n v="21895.892415714086"/>
    <n v="0"/>
    <n v="0"/>
    <n v="0"/>
    <n v="841143.46388719464"/>
    <n v="841143.46388719464"/>
    <n v="21895.892415714086"/>
    <n v="2.2828970067284016"/>
    <n v="2.342323334580346"/>
    <n v="5.9426327851944662E-2"/>
    <n v="2.2828970067284016"/>
    <n v="168228.69277743893"/>
    <n v="172607.87126058177"/>
    <n v="4379.1784831428176"/>
    <n v="168228.69277743896"/>
    <x v="0"/>
  </r>
  <r>
    <x v="39"/>
    <s v=""/>
    <n v="0"/>
    <x v="1"/>
    <s v="Vestdanmark"/>
    <n v="216720.35926101435"/>
    <n v="0"/>
    <n v="0"/>
    <n v="0"/>
    <n v="0"/>
    <n v="0"/>
    <n v="0"/>
    <n v="0"/>
    <n v="216720.35926101435"/>
    <n v="0"/>
    <n v="0"/>
    <n v="0"/>
    <n v="0"/>
    <n v="0"/>
    <n v="0"/>
    <n v="0"/>
    <n v="0"/>
    <n v="0"/>
    <n v="0"/>
    <x v="0"/>
  </r>
  <r>
    <x v="40"/>
    <s v=""/>
    <n v="0"/>
    <x v="1"/>
    <s v="Vestdanmark"/>
    <n v="147465.74012636166"/>
    <n v="46179.344840832011"/>
    <n v="0"/>
    <n v="0"/>
    <n v="0"/>
    <n v="0"/>
    <n v="0"/>
    <n v="0"/>
    <n v="101286.39528552965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3122.7357712239"/>
    <n v="0"/>
    <n v="0"/>
    <n v="0"/>
    <n v="1514387.1819129025"/>
    <n v="0"/>
    <n v="0"/>
    <n v="0"/>
    <n v="2478735.5538583212"/>
    <n v="2478735.5538583212"/>
    <n v="1514387.1819129025"/>
    <n v="1.236913828730841"/>
    <n v="1.9926081763771986"/>
    <n v="0.75569434764635757"/>
    <n v="1.236913828730841"/>
    <n v="148724.13323149926"/>
    <n v="239587.36414627344"/>
    <n v="90863.230914774147"/>
    <n v="148724.13323149929"/>
    <x v="0"/>
  </r>
  <r>
    <x v="42"/>
    <s v="Husdyrgødning"/>
    <n v="1"/>
    <x v="1"/>
    <s v="Vestdanmark"/>
    <n v="16629449.193931503"/>
    <n v="0"/>
    <n v="0"/>
    <n v="0"/>
    <n v="14966504.274538353"/>
    <n v="1662944.9193931499"/>
    <n v="0"/>
    <n v="0"/>
    <n v="0"/>
    <n v="0"/>
    <n v="14966504.274538353"/>
    <n v="0"/>
    <n v="6.4475700414711232"/>
    <n v="6.4475700414711232"/>
    <n v="0"/>
    <n v="0"/>
    <n v="748325.21372691775"/>
    <n v="748325.21372691775"/>
    <n v="0"/>
    <x v="0"/>
  </r>
  <r>
    <x v="43"/>
    <s v=""/>
    <n v="0"/>
    <x v="1"/>
    <s v="Vestdanmark"/>
    <n v="1567563.5653193598"/>
    <n v="0"/>
    <n v="0"/>
    <n v="121875.54404868034"/>
    <n v="0"/>
    <n v="0"/>
    <n v="0"/>
    <n v="0"/>
    <n v="1445688.0212706793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14311.08005782543"/>
    <n v="0"/>
    <n v="0"/>
    <n v="33849.968886444818"/>
    <n v="0"/>
    <n v="0"/>
    <n v="0"/>
    <n v="0"/>
    <n v="180461.11117138062"/>
    <n v="0"/>
    <n v="0"/>
    <n v="0"/>
    <n v="0"/>
    <n v="0"/>
    <n v="0"/>
    <n v="0"/>
    <n v="0"/>
    <n v="0"/>
    <n v="0"/>
    <x v="0"/>
  </r>
  <r>
    <x v="1"/>
    <s v=""/>
    <n v="0"/>
    <x v="2"/>
    <s v="Vestdanmark"/>
    <n v="198114.08883444962"/>
    <n v="73265.306718627704"/>
    <n v="0"/>
    <n v="0"/>
    <n v="0"/>
    <n v="0"/>
    <n v="0"/>
    <n v="0"/>
    <n v="124848.7821158219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624579787.93354332"/>
    <n v="0"/>
    <n v="0"/>
    <n v="0"/>
    <n v="0"/>
    <n v="0"/>
    <n v="624579787.93354332"/>
    <n v="0"/>
    <n v="0"/>
    <n v="0"/>
    <n v="624579787.93354332"/>
    <n v="0"/>
    <n v="0"/>
    <n v="0"/>
    <n v="0"/>
    <n v="0"/>
    <n v="0"/>
    <n v="0"/>
    <n v="0"/>
    <x v="0"/>
  </r>
  <r>
    <x v="4"/>
    <s v=""/>
    <n v="0"/>
    <x v="2"/>
    <s v="Vestdanmark"/>
    <n v="26905998.693784095"/>
    <n v="0"/>
    <n v="0"/>
    <n v="0"/>
    <n v="0"/>
    <n v="24286338.861024369"/>
    <n v="0"/>
    <n v="0"/>
    <n v="2619659.8327597268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877402.83979776292"/>
    <n v="0"/>
    <n v="0"/>
    <n v="0"/>
    <n v="175480.5679595526"/>
    <n v="0"/>
    <n v="0"/>
    <n v="0"/>
    <n v="701922.27183821029"/>
    <n v="701922.27183821029"/>
    <n v="175480.5679595526"/>
    <n v="0.39871015438850144"/>
    <n v="0.4983876929856268"/>
    <n v="9.9677538597125373E-2"/>
    <n v="0.39871015438850144"/>
    <n v="30016.574146540795"/>
    <n v="37520.717683175993"/>
    <n v="7504.1435366351998"/>
    <n v="30016.574146540792"/>
    <x v="0"/>
  </r>
  <r>
    <x v="6"/>
    <s v="Husdyrgødning"/>
    <n v="1"/>
    <x v="2"/>
    <s v="Vestdanmark"/>
    <n v="4132042.9154774514"/>
    <n v="0"/>
    <n v="0"/>
    <n v="0"/>
    <n v="2066021.4577387257"/>
    <n v="782136.69471537473"/>
    <n v="0"/>
    <n v="0"/>
    <n v="1283884.7630233509"/>
    <n v="1283884.7630233509"/>
    <n v="2066021.4577387257"/>
    <n v="2.7654877795522976"/>
    <n v="7.2156979995215131"/>
    <n v="4.4502102199692155"/>
    <n v="2.7654877795522976"/>
    <n v="385165.42890700523"/>
    <n v="1004971.866228623"/>
    <n v="619806.43732161773"/>
    <n v="385165.42890700523"/>
    <x v="0"/>
  </r>
  <r>
    <x v="7"/>
    <s v=""/>
    <n v="0"/>
    <x v="2"/>
    <s v="Vestdanmark"/>
    <n v="617988.29125231062"/>
    <n v="615674.84637502255"/>
    <n v="0"/>
    <n v="0"/>
    <n v="0"/>
    <n v="0"/>
    <n v="0"/>
    <n v="0"/>
    <n v="2313.4448772880714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2080.53053985185"/>
    <n v="0"/>
    <n v="0"/>
    <n v="0"/>
    <n v="10872.477485866666"/>
    <n v="1208.0530539851848"/>
    <n v="0"/>
    <n v="0"/>
    <n v="0"/>
    <n v="0"/>
    <n v="10872.477485866666"/>
    <n v="0"/>
    <n v="5.1132174368282348E-3"/>
    <n v="5.1132174368282348E-3"/>
    <n v="0"/>
    <n v="0"/>
    <n v="684.9660816096"/>
    <n v="684.9660816096"/>
    <n v="0"/>
    <x v="0"/>
  </r>
  <r>
    <x v="9"/>
    <s v=""/>
    <n v="0"/>
    <x v="2"/>
    <s v="Vestdanmark"/>
    <n v="157500.32695448503"/>
    <n v="0"/>
    <n v="0"/>
    <n v="36670.799626981883"/>
    <n v="0"/>
    <n v="0"/>
    <n v="0"/>
    <n v="0"/>
    <n v="120829.52732750315"/>
    <n v="0"/>
    <n v="0"/>
    <n v="0"/>
    <n v="0"/>
    <n v="0"/>
    <n v="0"/>
    <n v="0"/>
    <n v="0"/>
    <n v="0"/>
    <n v="0"/>
    <x v="0"/>
  </r>
  <r>
    <x v="10"/>
    <s v=""/>
    <n v="0"/>
    <x v="2"/>
    <s v="Vestdanmark"/>
    <n v="978236.2422912115"/>
    <n v="0"/>
    <n v="0"/>
    <n v="0"/>
    <n v="0"/>
    <n v="0"/>
    <n v="0"/>
    <n v="0"/>
    <n v="978236.2422912115"/>
    <n v="0"/>
    <n v="0"/>
    <n v="0"/>
    <n v="0"/>
    <n v="0"/>
    <n v="0"/>
    <n v="0"/>
    <n v="0"/>
    <n v="0"/>
    <n v="0"/>
    <x v="0"/>
  </r>
  <r>
    <x v="11"/>
    <s v=""/>
    <n v="0"/>
    <x v="2"/>
    <s v="Vestdanmark"/>
    <n v="28377.663005470582"/>
    <n v="0"/>
    <n v="0"/>
    <n v="267978.92035102146"/>
    <n v="0"/>
    <n v="0"/>
    <n v="0"/>
    <n v="0"/>
    <n v="-239601.25734555087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26548852.942320853"/>
    <n v="14698917.729434509"/>
    <n v="0"/>
    <n v="0"/>
    <n v="66036.373634957796"/>
    <n v="0"/>
    <n v="0"/>
    <n v="1795556.8725154817"/>
    <n v="9988341.966735905"/>
    <n v="9988341.966735905"/>
    <n v="66036.373634957796"/>
    <n v="18.377300676048225"/>
    <n v="18.498799348989845"/>
    <n v="0.12149867294161798"/>
    <n v="18.377300676048225"/>
    <n v="2796735.7506860537"/>
    <n v="2815225.9353038422"/>
    <n v="18490.184617788185"/>
    <n v="2796735.7506860541"/>
    <x v="0"/>
  </r>
  <r>
    <x v="14"/>
    <s v=""/>
    <n v="0"/>
    <x v="2"/>
    <s v="Vestdanmark"/>
    <n v="300165.74146540801"/>
    <n v="300165.74146540801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2327.0774028138"/>
    <n v="0"/>
    <n v="0"/>
    <n v="280672.65868343826"/>
    <n v="0"/>
    <n v="0"/>
    <n v="0"/>
    <n v="0"/>
    <n v="-88345.581280624465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13887.2010549977"/>
    <n v="918861.60943487042"/>
    <n v="849907.04589271802"/>
    <n v="0"/>
    <n v="54203.01557442543"/>
    <n v="0"/>
    <n v="690915.53015298408"/>
    <n v="0"/>
    <n v="0"/>
    <n v="0"/>
    <n v="745118.54572740954"/>
    <n v="0"/>
    <n v="7.4536787707765662"/>
    <n v="0.3125096544149728"/>
    <n v="7.1411691163615938"/>
    <n v="0"/>
    <n v="633350.76386829815"/>
    <n v="46072.563238261617"/>
    <n v="587278.20063003653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5788120.7826627549"/>
    <n v="0"/>
    <n v="0"/>
    <n v="0"/>
    <n v="0"/>
    <n v="0"/>
    <n v="0"/>
    <n v="-5788120.7826627549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68531.79900121083"/>
    <n v="0"/>
    <n v="0"/>
    <n v="0"/>
    <n v="517021.84354515088"/>
    <n v="0"/>
    <n v="0"/>
    <n v="0"/>
    <n v="51509.95545605995"/>
    <n v="51509.95545605995"/>
    <n v="517021.84354515088"/>
    <n v="0.22319933328531708"/>
    <n v="2.1274737650679971"/>
    <n v="1.9042744317826799"/>
    <n v="0.22319933328531727"/>
    <n v="21634.181291545177"/>
    <n v="238783.35558050853"/>
    <n v="217149.17428896338"/>
    <n v="21634.181291545159"/>
    <x v="0"/>
  </r>
  <r>
    <x v="20"/>
    <s v=""/>
    <n v="0"/>
    <x v="2"/>
    <s v="Vestdanmark"/>
    <n v="628916.4005833331"/>
    <n v="0"/>
    <n v="0"/>
    <n v="0"/>
    <n v="0"/>
    <n v="0"/>
    <n v="0"/>
    <n v="0"/>
    <n v="628916.4005833331"/>
    <n v="0"/>
    <n v="0"/>
    <n v="0"/>
    <n v="0"/>
    <n v="0"/>
    <n v="0"/>
    <n v="0"/>
    <n v="0"/>
    <n v="0"/>
    <n v="0"/>
    <x v="0"/>
  </r>
  <r>
    <x v="21"/>
    <s v=""/>
    <n v="0"/>
    <x v="2"/>
    <s v="Vestdanmark"/>
    <n v="1559779.6153129078"/>
    <n v="0"/>
    <n v="0"/>
    <n v="128347.79869443661"/>
    <n v="0"/>
    <n v="0"/>
    <n v="0"/>
    <n v="0"/>
    <n v="1431431.8166184712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900795.1054666163"/>
    <n v="6174012.1525406614"/>
    <n v="0"/>
    <n v="307470.55071854044"/>
    <n v="2883.6913429660071"/>
    <n v="0"/>
    <n v="0"/>
    <n v="0"/>
    <n v="-1583571.2891355511"/>
    <n v="0"/>
    <n v="2883.6913429660071"/>
    <n v="0"/>
    <n v="9.8762391328705602E-3"/>
    <n v="9.8762391328705602E-3"/>
    <n v="0"/>
    <n v="0"/>
    <n v="893.94431631946225"/>
    <n v="893.94431631946225"/>
    <n v="0"/>
    <x v="1"/>
  </r>
  <r>
    <x v="23"/>
    <s v=""/>
    <n v="0"/>
    <x v="2"/>
    <s v="Vestdanmark"/>
    <n v="0"/>
    <n v="0"/>
    <n v="0"/>
    <n v="0"/>
    <n v="0"/>
    <n v="246005.45516354125"/>
    <n v="0"/>
    <n v="0"/>
    <n v="-246005.45516354125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3698405.628900958"/>
    <n v="0"/>
    <n v="0"/>
    <n v="0"/>
    <n v="12328565.066010863"/>
    <n v="1369840.5628900954"/>
    <n v="0"/>
    <n v="0"/>
    <n v="0"/>
    <n v="0"/>
    <n v="12328565.066010863"/>
    <n v="0"/>
    <n v="6.2405963507640392"/>
    <n v="6.2405963507640392"/>
    <n v="0"/>
    <n v="0"/>
    <n v="936970.94501682557"/>
    <n v="936970.94501682557"/>
    <n v="0"/>
    <x v="0"/>
  </r>
  <r>
    <x v="25"/>
    <s v=""/>
    <n v="0"/>
    <x v="2"/>
    <s v="Vestdanmark"/>
    <n v="1716802.1114000401"/>
    <n v="1812574.6986106627"/>
    <n v="0"/>
    <n v="0"/>
    <n v="0"/>
    <n v="0"/>
    <n v="0"/>
    <n v="0"/>
    <n v="-95772.587210622616"/>
    <n v="0"/>
    <n v="0"/>
    <n v="0"/>
    <n v="0"/>
    <n v="0"/>
    <n v="0"/>
    <n v="0"/>
    <n v="0"/>
    <n v="0"/>
    <n v="0"/>
    <x v="1"/>
  </r>
  <r>
    <x v="26"/>
    <s v="Græs og urter"/>
    <n v="1"/>
    <x v="2"/>
    <s v="Vestdanmark"/>
    <n v="5640663.1541694049"/>
    <n v="5991945.9604161596"/>
    <n v="0"/>
    <n v="0"/>
    <n v="252182.2278297123"/>
    <n v="0"/>
    <n v="0"/>
    <n v="0"/>
    <n v="-603465.03407646716"/>
    <n v="0"/>
    <n v="252182.2278297123"/>
    <n v="0"/>
    <n v="0.9053341979086672"/>
    <n v="0.9053341979086672"/>
    <n v="0"/>
    <n v="0"/>
    <n v="75654.668348913692"/>
    <n v="75654.668348913692"/>
    <n v="0"/>
    <x v="0"/>
  </r>
  <r>
    <x v="27"/>
    <s v=""/>
    <n v="0"/>
    <x v="2"/>
    <s v="Vestdanmark"/>
    <n v="3312537.0730027938"/>
    <n v="0"/>
    <n v="0"/>
    <n v="490824.54885344987"/>
    <n v="0"/>
    <n v="0"/>
    <n v="0"/>
    <n v="0"/>
    <n v="2821712.5241493438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101763.93645151507"/>
    <n v="0"/>
    <n v="0"/>
    <n v="62368.567673274578"/>
    <n v="0"/>
    <n v="0"/>
    <n v="0"/>
    <n v="0"/>
    <n v="39395.368778240489"/>
    <n v="0"/>
    <n v="0"/>
    <n v="0"/>
    <n v="0"/>
    <n v="0"/>
    <n v="0"/>
    <n v="0"/>
    <n v="0"/>
    <n v="0"/>
    <n v="0"/>
    <x v="1"/>
  </r>
  <r>
    <x v="30"/>
    <s v=""/>
    <n v="0"/>
    <x v="2"/>
    <s v="Vestdanmark"/>
    <n v="1379975.3828292931"/>
    <n v="0"/>
    <n v="0"/>
    <n v="0"/>
    <n v="0"/>
    <n v="0"/>
    <n v="0"/>
    <n v="0"/>
    <n v="1379975.3828292931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30798.88136292373"/>
    <n v="0"/>
    <n v="0"/>
    <n v="0"/>
    <n v="0"/>
    <n v="0"/>
    <n v="130798.88136292373"/>
    <n v="0"/>
    <n v="0"/>
    <n v="0"/>
    <n v="130798.88136292373"/>
    <n v="0"/>
    <n v="2.406699417077796"/>
    <n v="0"/>
    <n v="2.406699417077796"/>
    <n v="0"/>
    <n v="54281.535765613349"/>
    <n v="0"/>
    <n v="54281.535765613349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5158296.5993875219"/>
    <n v="0"/>
    <n v="0"/>
    <n v="0"/>
    <n v="0"/>
    <n v="0"/>
    <n v="0"/>
    <n v="0"/>
    <n v="5158296.5993875219"/>
    <n v="0"/>
    <n v="0"/>
    <n v="0"/>
    <n v="0"/>
    <n v="0"/>
    <n v="0"/>
    <n v="0"/>
    <n v="0"/>
    <n v="0"/>
    <n v="0"/>
    <x v="0"/>
  </r>
  <r>
    <x v="35"/>
    <s v=""/>
    <n v="0"/>
    <x v="2"/>
    <s v="Vestdanmark"/>
    <n v="365281.50726983073"/>
    <n v="0"/>
    <n v="0"/>
    <n v="0"/>
    <n v="0"/>
    <n v="0"/>
    <n v="0"/>
    <n v="365281.50726983073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82640.75363491537"/>
    <n v="251878.62569823102"/>
    <n v="0"/>
    <n v="0"/>
    <n v="0"/>
    <n v="0"/>
    <n v="0"/>
    <n v="0"/>
    <n v="-69237.872063315648"/>
    <n v="0"/>
    <n v="0"/>
    <n v="0"/>
    <n v="0"/>
    <n v="0"/>
    <n v="0"/>
    <n v="0"/>
    <n v="0"/>
    <n v="0"/>
    <n v="0"/>
    <x v="1"/>
  </r>
  <r>
    <x v="37"/>
    <s v="Rapsolie"/>
    <n v="1"/>
    <x v="2"/>
    <s v="Vestdanmark"/>
    <n v="116890.08232634584"/>
    <n v="0"/>
    <n v="0"/>
    <n v="0"/>
    <n v="0"/>
    <n v="0"/>
    <n v="116890.08232634584"/>
    <n v="0"/>
    <n v="0"/>
    <n v="0"/>
    <n v="116890.08232634584"/>
    <n v="0"/>
    <n v="4.0911528814221043"/>
    <n v="0"/>
    <n v="4.0911528814221043"/>
    <n v="0"/>
    <n v="0"/>
    <n v="0"/>
    <n v="0"/>
    <x v="0"/>
  </r>
  <r>
    <x v="38"/>
    <s v="Græs og urter"/>
    <n v="1"/>
    <x v="2"/>
    <s v="Vestdanmark"/>
    <n v="1766884.9195914473"/>
    <n v="1042365.5001332033"/>
    <n v="0"/>
    <n v="0"/>
    <n v="21696.433352533084"/>
    <n v="0"/>
    <n v="0"/>
    <n v="0"/>
    <n v="702822.98610571097"/>
    <n v="702822.98610571097"/>
    <n v="21696.433352533084"/>
    <n v="1.9074896972103439"/>
    <n v="1.9663746851864528"/>
    <n v="5.8884987976108895E-2"/>
    <n v="1.9074896972103439"/>
    <n v="140564.5972211422"/>
    <n v="144903.88389164882"/>
    <n v="4339.2866705066172"/>
    <n v="140564.5972211422"/>
    <x v="0"/>
  </r>
  <r>
    <x v="39"/>
    <s v=""/>
    <n v="0"/>
    <x v="2"/>
    <s v="Vestdanmark"/>
    <n v="187205.4874474731"/>
    <n v="0"/>
    <n v="0"/>
    <n v="0"/>
    <n v="0"/>
    <n v="0"/>
    <n v="0"/>
    <n v="0"/>
    <n v="187205.4874474731"/>
    <n v="0"/>
    <n v="0"/>
    <n v="0"/>
    <n v="0"/>
    <n v="0"/>
    <n v="0"/>
    <n v="0"/>
    <n v="0"/>
    <n v="0"/>
    <n v="0"/>
    <x v="0"/>
  </r>
  <r>
    <x v="40"/>
    <s v=""/>
    <n v="0"/>
    <x v="2"/>
    <s v="Vestdanmark"/>
    <n v="128378.10633228059"/>
    <n v="46179.344840832004"/>
    <n v="0"/>
    <n v="0"/>
    <n v="0"/>
    <n v="0"/>
    <n v="0"/>
    <n v="0"/>
    <n v="82198.761491448589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31290.9636463677"/>
    <n v="0"/>
    <n v="0"/>
    <n v="0"/>
    <n v="1566787.3226266655"/>
    <n v="0"/>
    <n v="0"/>
    <n v="0"/>
    <n v="2564503.641019702"/>
    <n v="2564503.641019702"/>
    <n v="1566787.3226266655"/>
    <n v="1.2797129619052416"/>
    <n v="2.0615555037691742"/>
    <n v="0.78184254186393243"/>
    <n v="1.2797129619052416"/>
    <n v="153870.21846118211"/>
    <n v="247877.45781878202"/>
    <n v="94007.23935759993"/>
    <n v="153870.21846118208"/>
    <x v="0"/>
  </r>
  <r>
    <x v="42"/>
    <s v="Husdyrgødning"/>
    <n v="1"/>
    <x v="2"/>
    <s v="Vestdanmark"/>
    <n v="13216055.395535078"/>
    <n v="0"/>
    <n v="0"/>
    <n v="0"/>
    <n v="11894449.85598157"/>
    <n v="1321605.5395535075"/>
    <n v="0"/>
    <n v="0"/>
    <n v="0"/>
    <n v="0"/>
    <n v="11894449.85598157"/>
    <n v="0"/>
    <n v="5.1241289979568609"/>
    <n v="5.1241289979568609"/>
    <n v="0"/>
    <n v="0"/>
    <n v="594722.49279907846"/>
    <n v="594722.49279907846"/>
    <n v="0"/>
    <x v="0"/>
  </r>
  <r>
    <x v="43"/>
    <s v=""/>
    <n v="0"/>
    <x v="2"/>
    <s v="Vestdanmark"/>
    <n v="1366427.219240695"/>
    <n v="0"/>
    <n v="0"/>
    <n v="126627.09194270898"/>
    <n v="0"/>
    <n v="0"/>
    <n v="0"/>
    <n v="0"/>
    <n v="1239800.1272979861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  <x v="0"/>
  </r>
  <r>
    <x v="47"/>
    <s v="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20469.927135437214"/>
    <n v="0"/>
    <n v="0"/>
    <n v="28209.340124628539"/>
    <n v="0"/>
    <n v="0"/>
    <n v="0"/>
    <n v="0"/>
    <n v="-7739.4129891913253"/>
    <n v="0"/>
    <n v="0"/>
    <n v="0"/>
    <n v="0"/>
    <n v="0"/>
    <n v="0"/>
    <n v="0"/>
    <n v="0"/>
    <n v="0"/>
    <n v="0"/>
    <x v="0"/>
  </r>
  <r>
    <x v="1"/>
    <s v=""/>
    <n v="0"/>
    <x v="1"/>
    <s v="Østdanmark"/>
    <n v="63812.089455455738"/>
    <n v="8992.6676617292323"/>
    <n v="0"/>
    <n v="0"/>
    <n v="0"/>
    <n v="0"/>
    <n v="0"/>
    <n v="0"/>
    <n v="54819.421793726506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31813030.03639302"/>
    <n v="0"/>
    <n v="0"/>
    <n v="0"/>
    <n v="0"/>
    <n v="0"/>
    <n v="131813030.03639302"/>
    <n v="0"/>
    <n v="0"/>
    <n v="0"/>
    <n v="131813030.03639302"/>
    <n v="0"/>
    <n v="0"/>
    <n v="0"/>
    <n v="0"/>
    <n v="0"/>
    <n v="0"/>
    <n v="0"/>
    <n v="0"/>
    <x v="0"/>
  </r>
  <r>
    <x v="4"/>
    <s v=""/>
    <n v="0"/>
    <x v="1"/>
    <s v="Østdanmark"/>
    <n v="4747757.6055027461"/>
    <n v="0"/>
    <n v="0"/>
    <n v="0"/>
    <n v="0"/>
    <n v="4363683.2093789419"/>
    <n v="0"/>
    <n v="0"/>
    <n v="384074.39612380415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91125.209575309986"/>
    <n v="0"/>
    <n v="0"/>
    <n v="0"/>
    <n v="18225.041915061996"/>
    <n v="0"/>
    <n v="0"/>
    <n v="0"/>
    <n v="72900.167660247986"/>
    <n v="72900.167660247986"/>
    <n v="18225.041915061996"/>
    <n v="4.1409196244259788E-2"/>
    <n v="5.1761495305324735E-2"/>
    <n v="1.0352299061064947E-2"/>
    <n v="4.1409196244259788E-2"/>
    <n v="3117.4581227327999"/>
    <n v="3896.8226534159999"/>
    <n v="779.36453068319997"/>
    <n v="3117.4581227327999"/>
    <x v="0"/>
  </r>
  <r>
    <x v="6"/>
    <s v="Husdyrgødning"/>
    <n v="1"/>
    <x v="1"/>
    <s v="Østdanmark"/>
    <n v="472855.62662575697"/>
    <n v="0"/>
    <n v="0"/>
    <n v="0"/>
    <n v="236427.81331287848"/>
    <n v="89504.815039875422"/>
    <n v="0"/>
    <n v="0"/>
    <n v="146922.99827300303"/>
    <n v="146922.99827300303"/>
    <n v="236427.81331287848"/>
    <n v="0.31647213828004855"/>
    <n v="0.82573764815598882"/>
    <n v="0.50926550987594021"/>
    <n v="0.31647213828004861"/>
    <n v="44076.899481900909"/>
    <n v="115005.24347576445"/>
    <n v="70928.343993863542"/>
    <n v="44076.899481900909"/>
    <x v="0"/>
  </r>
  <r>
    <x v="7"/>
    <s v=""/>
    <n v="0"/>
    <x v="1"/>
    <s v="Østdanmark"/>
    <n v="64182.961350381185"/>
    <n v="62973.863177375562"/>
    <n v="0"/>
    <n v="0"/>
    <n v="0"/>
    <n v="0"/>
    <n v="0"/>
    <n v="0"/>
    <n v="1209.0981730056228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892.28078879071916"/>
    <n v="0"/>
    <n v="0"/>
    <n v="0"/>
    <n v="803.0527099116473"/>
    <n v="89.228078879071901"/>
    <n v="0"/>
    <n v="0"/>
    <n v="0"/>
    <n v="0"/>
    <n v="803.0527099116473"/>
    <n v="0"/>
    <n v="3.7766765894434862E-4"/>
    <n v="3.7766765894434862E-4"/>
    <n v="0"/>
    <n v="0"/>
    <n v="50.592320724433783"/>
    <n v="50.592320724433783"/>
    <n v="0"/>
    <x v="0"/>
  </r>
  <r>
    <x v="9"/>
    <s v=""/>
    <n v="0"/>
    <x v="1"/>
    <s v="Østdanmark"/>
    <n v="16772.527158983896"/>
    <n v="0"/>
    <n v="0"/>
    <n v="30560.118468347584"/>
    <n v="0"/>
    <n v="0"/>
    <n v="0"/>
    <n v="0"/>
    <n v="-13787.591309363688"/>
    <n v="0"/>
    <n v="0"/>
    <n v="0"/>
    <n v="0"/>
    <n v="0"/>
    <n v="0"/>
    <n v="0"/>
    <n v="0"/>
    <n v="0"/>
    <n v="0"/>
    <x v="0"/>
  </r>
  <r>
    <x v="10"/>
    <s v=""/>
    <n v="0"/>
    <x v="1"/>
    <s v="Østdanmark"/>
    <n v="322357.88952697685"/>
    <n v="0"/>
    <n v="0"/>
    <n v="0"/>
    <n v="0"/>
    <n v="0"/>
    <n v="0"/>
    <n v="0"/>
    <n v="322357.88952697685"/>
    <n v="0"/>
    <n v="0"/>
    <n v="0"/>
    <n v="0"/>
    <n v="0"/>
    <n v="0"/>
    <n v="0"/>
    <n v="0"/>
    <n v="0"/>
    <n v="0"/>
    <x v="0"/>
  </r>
  <r>
    <x v="11"/>
    <s v=""/>
    <n v="0"/>
    <x v="1"/>
    <s v="Østdanmark"/>
    <n v="9322.3305837736352"/>
    <n v="0"/>
    <n v="0"/>
    <n v="223323.94265330929"/>
    <n v="0"/>
    <n v="0"/>
    <n v="0"/>
    <n v="0"/>
    <n v="-214001.61206953565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797808.2646085992"/>
    <n v="1804161.9976497933"/>
    <n v="0"/>
    <n v="0"/>
    <n v="19146.607955280237"/>
    <n v="0"/>
    <n v="0"/>
    <n v="186482.75215301919"/>
    <n v="5788016.9068505066"/>
    <n v="5788016.9068505066"/>
    <n v="19146.607955280237"/>
    <n v="10.649227606491577"/>
    <n v="10.684454971803298"/>
    <n v="3.5227365311721229E-2"/>
    <n v="10.649227606491577"/>
    <n v="1620644.733918142"/>
    <n v="1626005.7841456207"/>
    <n v="5361.0502274784667"/>
    <n v="1620644.7339181423"/>
    <x v="0"/>
  </r>
  <r>
    <x v="14"/>
    <s v=""/>
    <n v="0"/>
    <x v="1"/>
    <s v="Østdanmark"/>
    <n v="31174.581227328003"/>
    <n v="31174.581227328003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3693.311018631553"/>
    <n v="0"/>
    <n v="0"/>
    <n v="233902.44520004498"/>
    <n v="0"/>
    <n v="0"/>
    <n v="0"/>
    <n v="0"/>
    <n v="-170209.13418141342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862018.45968881075"/>
    <n v="112782.12636853076"/>
    <n v="123183.11249498594"/>
    <n v="0"/>
    <n v="20573.889334175161"/>
    <n v="0"/>
    <n v="605479.33149111876"/>
    <n v="0"/>
    <n v="0"/>
    <n v="0"/>
    <n v="626053.22082529392"/>
    <n v="0"/>
    <n v="6.3767366945525037"/>
    <n v="0.11861958191176027"/>
    <n v="6.2581171126407433"/>
    <n v="0"/>
    <n v="532145.23770149983"/>
    <n v="17487.805934048887"/>
    <n v="514657.43176745094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710440.57434076618"/>
    <n v="0"/>
    <n v="0"/>
    <n v="0"/>
    <n v="0"/>
    <n v="0"/>
    <n v="0"/>
    <n v="-710440.57434076618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9986.47985944702"/>
    <n v="0"/>
    <n v="0"/>
    <n v="0"/>
    <n v="190647.37917607787"/>
    <n v="0"/>
    <n v="0"/>
    <n v="0"/>
    <n v="19339.10068336915"/>
    <n v="19339.10068336915"/>
    <n v="190647.37917607787"/>
    <n v="8.379883734412738E-2"/>
    <n v="0.78598373375398001"/>
    <n v="0.7021848964098526"/>
    <n v="8.3798837344127408E-2"/>
    <n v="8122.4222870150425"/>
    <n v="88194.32154096775"/>
    <n v="80071.899253952695"/>
    <n v="8122.4222870150552"/>
    <x v="0"/>
  </r>
  <r>
    <x v="20"/>
    <s v=""/>
    <n v="0"/>
    <x v="1"/>
    <s v="Østdanmark"/>
    <n v="203140.11473090298"/>
    <n v="0"/>
    <n v="0"/>
    <n v="0"/>
    <n v="0"/>
    <n v="0"/>
    <n v="0"/>
    <n v="0"/>
    <n v="203140.11473090298"/>
    <n v="0"/>
    <n v="0"/>
    <n v="0"/>
    <n v="0"/>
    <n v="0"/>
    <n v="0"/>
    <n v="0"/>
    <n v="0"/>
    <n v="0"/>
    <n v="0"/>
    <x v="0"/>
  </r>
  <r>
    <x v="21"/>
    <s v=""/>
    <n v="0"/>
    <x v="1"/>
    <s v="Østdanmark"/>
    <n v="495905.68810885074"/>
    <n v="0"/>
    <n v="0"/>
    <n v="106960.41463921656"/>
    <n v="0"/>
    <n v="0"/>
    <n v="0"/>
    <n v="0"/>
    <n v="388945.27346963418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55948.945503107"/>
    <n v="779456.90372273244"/>
    <n v="0"/>
    <n v="256234.83946537593"/>
    <n v="877.2149514614091"/>
    <n v="0"/>
    <n v="0"/>
    <n v="0"/>
    <n v="519379.98736353731"/>
    <n v="0"/>
    <n v="877.2149514614091"/>
    <n v="0"/>
    <n v="3.004338398662122E-3"/>
    <n v="3.004338398662122E-3"/>
    <n v="0"/>
    <n v="0"/>
    <n v="271.93663495303684"/>
    <n v="271.93663495303684"/>
    <n v="0"/>
    <x v="1"/>
  </r>
  <r>
    <x v="23"/>
    <s v=""/>
    <n v="0"/>
    <x v="1"/>
    <s v="Østdanmark"/>
    <n v="0"/>
    <n v="0"/>
    <n v="0"/>
    <n v="0"/>
    <n v="0"/>
    <n v="289998.70816946391"/>
    <n v="0"/>
    <n v="0"/>
    <n v="-289998.70816946391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1067271.7369051871"/>
    <n v="0"/>
    <n v="0"/>
    <n v="0"/>
    <n v="960544.56321466842"/>
    <n v="106727.17369051868"/>
    <n v="0"/>
    <n v="0"/>
    <n v="0"/>
    <n v="0"/>
    <n v="960544.56321466842"/>
    <n v="0"/>
    <n v="0.48621805245363309"/>
    <n v="0.48621805245363309"/>
    <n v="0"/>
    <n v="0"/>
    <n v="73001.386804314796"/>
    <n v="73001.386804314796"/>
    <n v="0"/>
    <x v="0"/>
  </r>
  <r>
    <x v="25"/>
    <s v=""/>
    <n v="0"/>
    <x v="1"/>
    <s v="Østdanmark"/>
    <n v="133388.75573399532"/>
    <n v="222477.49455637607"/>
    <n v="0"/>
    <n v="0"/>
    <n v="0"/>
    <n v="0"/>
    <n v="0"/>
    <n v="0"/>
    <n v="-89088.73882238075"/>
    <n v="0"/>
    <n v="0"/>
    <n v="0"/>
    <n v="0"/>
    <n v="0"/>
    <n v="0"/>
    <n v="0"/>
    <n v="0"/>
    <n v="0"/>
    <n v="0"/>
    <x v="1"/>
  </r>
  <r>
    <x v="26"/>
    <s v="Græs og urter"/>
    <n v="1"/>
    <x v="1"/>
    <s v="Østdanmark"/>
    <n v="1709464.6903672938"/>
    <n v="735458.31011123862"/>
    <n v="0"/>
    <n v="0"/>
    <n v="75693.817166630659"/>
    <n v="0"/>
    <n v="0"/>
    <n v="0"/>
    <n v="898312.56308942451"/>
    <n v="395857.3957718208"/>
    <n v="75693.817166630659"/>
    <n v="1.4211280508208368"/>
    <n v="1.6928688544490409"/>
    <n v="0.27174080362820408"/>
    <n v="1.4211280508208368"/>
    <n v="118757.21873154624"/>
    <n v="141465.36388153542"/>
    <n v="22708.145149989195"/>
    <n v="118757.21873154622"/>
    <x v="0"/>
  </r>
  <r>
    <x v="27"/>
    <s v=""/>
    <n v="0"/>
    <x v="1"/>
    <s v="Østdanmark"/>
    <n v="257371.07122395348"/>
    <n v="0"/>
    <n v="0"/>
    <n v="409035.43180711387"/>
    <n v="0"/>
    <n v="0"/>
    <n v="0"/>
    <n v="0"/>
    <n v="-151664.3605831603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8508.9621500651465"/>
    <n v="0"/>
    <n v="0"/>
    <n v="51975.70917962808"/>
    <n v="0"/>
    <n v="0"/>
    <n v="0"/>
    <n v="0"/>
    <n v="-43466.747029562932"/>
    <n v="0"/>
    <n v="0"/>
    <n v="0"/>
    <n v="0"/>
    <n v="0"/>
    <n v="0"/>
    <n v="0"/>
    <n v="0"/>
    <n v="0"/>
    <n v="0"/>
    <x v="0"/>
  </r>
  <r>
    <x v="30"/>
    <s v=""/>
    <n v="0"/>
    <x v="1"/>
    <s v="Østdanmark"/>
    <n v="447021.00940158637"/>
    <n v="0"/>
    <n v="0"/>
    <n v="0"/>
    <n v="0"/>
    <n v="0"/>
    <n v="0"/>
    <n v="0"/>
    <n v="447021.00940158637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619.171284232172"/>
    <n v="0"/>
    <n v="0"/>
    <n v="0"/>
    <n v="0"/>
    <n v="0"/>
    <n v="39619.171284232172"/>
    <n v="0"/>
    <n v="0"/>
    <n v="0"/>
    <n v="39619.171284232172"/>
    <n v="0"/>
    <n v="0.72899275162987187"/>
    <n v="0"/>
    <n v="0.72899275162987187"/>
    <n v="0"/>
    <n v="16441.956082956352"/>
    <n v="0"/>
    <n v="16441.956082956352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400779.30970046029"/>
    <n v="0"/>
    <n v="0"/>
    <n v="0"/>
    <n v="0"/>
    <n v="0"/>
    <n v="0"/>
    <n v="0"/>
    <n v="400779.30970046029"/>
    <n v="0"/>
    <n v="0"/>
    <n v="0"/>
    <n v="0"/>
    <n v="0"/>
    <n v="0"/>
    <n v="0"/>
    <n v="0"/>
    <n v="0"/>
    <n v="0"/>
    <x v="0"/>
  </r>
  <r>
    <x v="35"/>
    <s v=""/>
    <n v="0"/>
    <x v="1"/>
    <s v="Østdanmark"/>
    <n v="119938.95898177236"/>
    <n v="0"/>
    <n v="0"/>
    <n v="0"/>
    <n v="0"/>
    <n v="0"/>
    <n v="0"/>
    <n v="119938.95898177236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59969.47949088618"/>
    <n v="30915.871009673829"/>
    <n v="0"/>
    <n v="0"/>
    <n v="0"/>
    <n v="0"/>
    <n v="0"/>
    <n v="0"/>
    <n v="29053.608481212352"/>
    <n v="0"/>
    <n v="0"/>
    <n v="0"/>
    <n v="0"/>
    <n v="0"/>
    <n v="0"/>
    <n v="0"/>
    <n v="0"/>
    <n v="0"/>
    <n v="0"/>
    <x v="1"/>
  </r>
  <r>
    <x v="37"/>
    <s v="Rapsolie"/>
    <n v="1"/>
    <x v="1"/>
    <s v="Østdanmark"/>
    <n v="38380.466874167156"/>
    <n v="0"/>
    <n v="0"/>
    <n v="0"/>
    <n v="0"/>
    <n v="0"/>
    <n v="38380.466874167156"/>
    <n v="0"/>
    <n v="0"/>
    <n v="0"/>
    <n v="38380.466874167156"/>
    <n v="0"/>
    <n v="1.3433163405958504"/>
    <n v="0"/>
    <n v="1.3433163405958504"/>
    <n v="0"/>
    <n v="0"/>
    <n v="0"/>
    <n v="0"/>
    <x v="0"/>
  </r>
  <r>
    <x v="38"/>
    <s v="Græs og urter"/>
    <n v="1"/>
    <x v="1"/>
    <s v="Østdanmark"/>
    <n v="587314.83163842501"/>
    <n v="127941.13536914771"/>
    <n v="0"/>
    <n v="0"/>
    <n v="6749.1075842859182"/>
    <n v="0"/>
    <n v="0"/>
    <n v="0"/>
    <n v="452624.58868499135"/>
    <n v="452624.58868499135"/>
    <n v="6749.1075842859182"/>
    <n v="1.228441238674614"/>
    <n v="1.2467585866226694"/>
    <n v="1.8317347948055354E-2"/>
    <n v="1.228441238674614"/>
    <n v="90524.917736998279"/>
    <n v="91874.739253855456"/>
    <n v="1349.8215168571837"/>
    <n v="90524.917736998279"/>
    <x v="0"/>
  </r>
  <r>
    <x v="39"/>
    <s v=""/>
    <n v="0"/>
    <x v="1"/>
    <s v="Østdanmark"/>
    <n v="25586.495588439793"/>
    <n v="0"/>
    <n v="0"/>
    <n v="0"/>
    <n v="0"/>
    <n v="0"/>
    <n v="0"/>
    <n v="0"/>
    <n v="25586.495588439793"/>
    <n v="0"/>
    <n v="0"/>
    <n v="0"/>
    <n v="0"/>
    <n v="0"/>
    <n v="0"/>
    <n v="0"/>
    <n v="0"/>
    <n v="0"/>
    <n v="0"/>
    <x v="0"/>
  </r>
  <r>
    <x v="40"/>
    <s v=""/>
    <n v="0"/>
    <x v="1"/>
    <s v="Østdanmark"/>
    <n v="20801.551109508149"/>
    <n v="5668.1056776960004"/>
    <n v="0"/>
    <n v="0"/>
    <n v="0"/>
    <n v="0"/>
    <n v="0"/>
    <n v="0"/>
    <n v="15133.44543181215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419.54603831"/>
    <n v="0"/>
    <n v="0"/>
    <n v="0"/>
    <n v="1268746.495883205"/>
    <n v="0"/>
    <n v="0"/>
    <n v="0"/>
    <n v="2076673.0501551051"/>
    <n v="2076673.0501551051"/>
    <n v="1268746.495883205"/>
    <n v="1.0362806187578992"/>
    <n v="1.6693978076685774"/>
    <n v="0.63311718891067825"/>
    <n v="1.0362806187578992"/>
    <n v="124600.3830093063"/>
    <n v="200725.17276229861"/>
    <n v="76124.789752992292"/>
    <n v="124600.38300930632"/>
    <x v="0"/>
  </r>
  <r>
    <x v="42"/>
    <s v="Husdyrgødning"/>
    <n v="1"/>
    <x v="1"/>
    <s v="Østdanmark"/>
    <n v="2409559.214171757"/>
    <n v="0"/>
    <n v="0"/>
    <n v="0"/>
    <n v="2168603.2927545812"/>
    <n v="240955.92141717565"/>
    <n v="0"/>
    <n v="0"/>
    <n v="0"/>
    <n v="0"/>
    <n v="2168603.2927545812"/>
    <n v="0"/>
    <n v="0.93423429851867379"/>
    <n v="0.93423429851867379"/>
    <n v="0"/>
    <n v="0"/>
    <n v="108430.16463772906"/>
    <n v="108430.16463772906"/>
    <n v="0"/>
    <x v="0"/>
  </r>
  <r>
    <x v="43"/>
    <s v=""/>
    <n v="0"/>
    <x v="1"/>
    <s v="Østdanmark"/>
    <n v="227135.43837600856"/>
    <n v="0"/>
    <n v="0"/>
    <n v="105526.43984954793"/>
    <n v="0"/>
    <n v="0"/>
    <n v="0"/>
    <n v="0"/>
    <n v="121608.9985264606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987.049844381028"/>
    <n v="0"/>
    <n v="0"/>
    <n v="29532.002020101954"/>
    <n v="0"/>
    <n v="0"/>
    <n v="0"/>
    <n v="0"/>
    <n v="-11544.952175720926"/>
    <n v="0"/>
    <n v="0"/>
    <n v="0"/>
    <n v="0"/>
    <n v="0"/>
    <n v="0"/>
    <n v="0"/>
    <n v="0"/>
    <n v="0"/>
    <n v="0"/>
    <x v="0"/>
  </r>
  <r>
    <x v="1"/>
    <s v=""/>
    <n v="0"/>
    <x v="2"/>
    <s v="Østdanmark"/>
    <n v="61474.791050873988"/>
    <n v="8992.6676617292323"/>
    <n v="0"/>
    <n v="0"/>
    <n v="0"/>
    <n v="0"/>
    <n v="0"/>
    <n v="0"/>
    <n v="52482.123389144755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29922524.11463594"/>
    <n v="0"/>
    <n v="0"/>
    <n v="0"/>
    <n v="0"/>
    <n v="0"/>
    <n v="129922524.11463594"/>
    <n v="0"/>
    <n v="0"/>
    <n v="0"/>
    <n v="129922524.11463594"/>
    <n v="0"/>
    <n v="0"/>
    <n v="0"/>
    <n v="0"/>
    <n v="0"/>
    <n v="0"/>
    <n v="0"/>
    <n v="0"/>
    <x v="0"/>
  </r>
  <r>
    <x v="4"/>
    <s v=""/>
    <n v="0"/>
    <x v="2"/>
    <s v="Østdanmark"/>
    <n v="4371388.9422579342"/>
    <n v="0"/>
    <n v="0"/>
    <n v="0"/>
    <n v="0"/>
    <n v="3945775.6002024049"/>
    <n v="0"/>
    <n v="0"/>
    <n v="425613.34205552936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107693.42949809364"/>
    <n v="0"/>
    <n v="0"/>
    <n v="0"/>
    <n v="21538.685899618729"/>
    <n v="0"/>
    <n v="0"/>
    <n v="0"/>
    <n v="86154.743598474917"/>
    <n v="86154.743598474917"/>
    <n v="21538.685899618729"/>
    <n v="4.8938141015943397E-2"/>
    <n v="6.1172676269929248E-2"/>
    <n v="1.2234535253985849E-2"/>
    <n v="4.8938141015943397E-2"/>
    <n v="3684.2686905024007"/>
    <n v="4605.3358631280007"/>
    <n v="921.06717262560016"/>
    <n v="3684.2686905024007"/>
    <x v="0"/>
  </r>
  <r>
    <x v="6"/>
    <s v="Husdyrgødning"/>
    <n v="1"/>
    <x v="2"/>
    <s v="Østdanmark"/>
    <n v="573805.87313028623"/>
    <n v="0"/>
    <n v="0"/>
    <n v="0"/>
    <n v="286902.93656514311"/>
    <n v="108613.25455680418"/>
    <n v="0"/>
    <n v="0"/>
    <n v="178289.68200833892"/>
    <n v="178289.68200833892"/>
    <n v="286902.93656514311"/>
    <n v="0.38403597504596204"/>
    <n v="1.0020249004072803"/>
    <n v="0.61798892536131833"/>
    <n v="0.38403597504596199"/>
    <n v="53486.904602501672"/>
    <n v="139557.78557204461"/>
    <n v="86070.880969542937"/>
    <n v="53486.904602501672"/>
    <x v="0"/>
  </r>
  <r>
    <x v="7"/>
    <s v=""/>
    <n v="0"/>
    <x v="2"/>
    <s v="Østdanmark"/>
    <n v="75852.590686814132"/>
    <n v="75568.635812850684"/>
    <n v="0"/>
    <n v="0"/>
    <n v="0"/>
    <n v="0"/>
    <n v="0"/>
    <n v="0"/>
    <n v="283.95487396344834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1013.9144691364182"/>
    <n v="0"/>
    <n v="0"/>
    <n v="0"/>
    <n v="912.52302222277638"/>
    <n v="101.39144691364179"/>
    <n v="0"/>
    <n v="0"/>
    <n v="0"/>
    <n v="0"/>
    <n v="912.52302222277638"/>
    <n v="0"/>
    <n v="4.2915045212114949E-4"/>
    <n v="4.2915045212114949E-4"/>
    <n v="0"/>
    <n v="0"/>
    <n v="57.488950400034909"/>
    <n v="57.488950400034909"/>
    <n v="0"/>
    <x v="0"/>
  </r>
  <r>
    <x v="9"/>
    <s v=""/>
    <n v="0"/>
    <x v="2"/>
    <s v="Østdanmark"/>
    <n v="13218.944305969808"/>
    <n v="0"/>
    <n v="0"/>
    <n v="31993.002188443785"/>
    <n v="0"/>
    <n v="0"/>
    <n v="0"/>
    <n v="0"/>
    <n v="-18774.057882473979"/>
    <n v="0"/>
    <n v="0"/>
    <n v="0"/>
    <n v="0"/>
    <n v="0"/>
    <n v="0"/>
    <n v="0"/>
    <n v="0"/>
    <n v="0"/>
    <n v="0"/>
    <x v="0"/>
  </r>
  <r>
    <x v="10"/>
    <s v=""/>
    <n v="0"/>
    <x v="2"/>
    <s v="Østdanmark"/>
    <n v="310830.63731938269"/>
    <n v="0"/>
    <n v="0"/>
    <n v="0"/>
    <n v="0"/>
    <n v="0"/>
    <n v="0"/>
    <n v="0"/>
    <n v="310830.63731938269"/>
    <n v="0"/>
    <n v="0"/>
    <n v="0"/>
    <n v="0"/>
    <n v="0"/>
    <n v="0"/>
    <n v="0"/>
    <n v="0"/>
    <n v="0"/>
    <n v="0"/>
    <x v="0"/>
  </r>
  <r>
    <x v="11"/>
    <s v=""/>
    <n v="0"/>
    <x v="2"/>
    <s v="Østdanmark"/>
    <n v="8983.290705592015"/>
    <n v="0"/>
    <n v="0"/>
    <n v="233795.01599247381"/>
    <n v="0"/>
    <n v="0"/>
    <n v="0"/>
    <n v="0"/>
    <n v="-224811.7252868817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7896195.2687320514"/>
    <n v="1804161.9976497933"/>
    <n v="0"/>
    <n v="0"/>
    <n v="19640.626365042219"/>
    <n v="0"/>
    <n v="0"/>
    <n v="220388.70708993179"/>
    <n v="5852003.9376272839"/>
    <n v="5852003.9376272839"/>
    <n v="19640.626365042219"/>
    <n v="10.766955744741999"/>
    <n v="10.803092042175381"/>
    <n v="3.6136297433382057E-2"/>
    <n v="10.766955744741999"/>
    <n v="1638561.1025356397"/>
    <n v="1644060.4779178514"/>
    <n v="5499.3753822118215"/>
    <n v="1638561.1025356397"/>
    <x v="0"/>
  </r>
  <r>
    <x v="14"/>
    <s v=""/>
    <n v="0"/>
    <x v="2"/>
    <s v="Østdanmark"/>
    <n v="36842.686905024006"/>
    <n v="36842.686905024006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60945.756189628817"/>
    <n v="0"/>
    <n v="0"/>
    <n v="244869.51675001203"/>
    <n v="0"/>
    <n v="0"/>
    <n v="0"/>
    <n v="0"/>
    <n v="-183923.76056038321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787867.95670773066"/>
    <n v="112782.12636853076"/>
    <n v="120747.75217508907"/>
    <n v="0"/>
    <n v="21730.984425574563"/>
    <n v="0"/>
    <n v="532607.09373853623"/>
    <n v="0"/>
    <n v="0"/>
    <n v="0"/>
    <n v="554338.07816411078"/>
    <n v="0"/>
    <n v="5.6302146356757206"/>
    <n v="0.12529085994502717"/>
    <n v="5.5049237757306937"/>
    <n v="0"/>
    <n v="471187.36643949413"/>
    <n v="18471.336761738377"/>
    <n v="452716.02967775578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710440.57434076618"/>
    <n v="0"/>
    <n v="0"/>
    <n v="0"/>
    <n v="0"/>
    <n v="0"/>
    <n v="0"/>
    <n v="-710440.5743407661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9352.88683397757"/>
    <n v="0"/>
    <n v="0"/>
    <n v="0"/>
    <n v="190385.15645484926"/>
    <n v="0"/>
    <n v="0"/>
    <n v="0"/>
    <n v="18967.730379128305"/>
    <n v="18967.730379128305"/>
    <n v="190385.15645484926"/>
    <n v="8.2189641537712244E-2"/>
    <n v="0.78340872957853314"/>
    <n v="0.70121908804082089"/>
    <n v="8.2189641537712244E-2"/>
    <n v="7966.4467592338879"/>
    <n v="87928.212470270577"/>
    <n v="79961.765711036685"/>
    <n v="7966.4467592338915"/>
    <x v="0"/>
  </r>
  <r>
    <x v="20"/>
    <s v=""/>
    <n v="0"/>
    <x v="2"/>
    <s v="Østdanmark"/>
    <n v="195712.98876309939"/>
    <n v="0"/>
    <n v="0"/>
    <n v="0"/>
    <n v="0"/>
    <n v="0"/>
    <n v="0"/>
    <n v="0"/>
    <n v="195712.98876309939"/>
    <n v="0"/>
    <n v="0"/>
    <n v="0"/>
    <n v="0"/>
    <n v="0"/>
    <n v="0"/>
    <n v="0"/>
    <n v="0"/>
    <n v="0"/>
    <n v="0"/>
    <x v="0"/>
  </r>
  <r>
    <x v="21"/>
    <s v=""/>
    <n v="0"/>
    <x v="2"/>
    <s v="Østdanmark"/>
    <n v="477733.48917643895"/>
    <n v="0"/>
    <n v="0"/>
    <n v="111975.50765955324"/>
    <n v="0"/>
    <n v="0"/>
    <n v="0"/>
    <n v="0"/>
    <n v="365757.98151688569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533461.5685547295"/>
    <n v="757805.32306376752"/>
    <n v="0"/>
    <n v="268249.01834925939"/>
    <n v="902.30865703399286"/>
    <n v="0"/>
    <n v="0"/>
    <n v="0"/>
    <n v="506504.9184846686"/>
    <n v="0"/>
    <n v="902.30865703399286"/>
    <n v="0"/>
    <n v="3.0902808271294413E-3"/>
    <n v="3.0902808271294413E-3"/>
    <n v="0"/>
    <n v="0"/>
    <n v="279.71568368053778"/>
    <n v="279.71568368053778"/>
    <n v="0"/>
    <x v="1"/>
  </r>
  <r>
    <x v="23"/>
    <s v=""/>
    <n v="0"/>
    <x v="2"/>
    <s v="Østdanmark"/>
    <n v="0"/>
    <n v="0"/>
    <n v="0"/>
    <n v="0"/>
    <n v="0"/>
    <n v="270103.53604430315"/>
    <n v="0"/>
    <n v="0"/>
    <n v="-270103.53604430315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73600.61608850933"/>
    <n v="0"/>
    <n v="0"/>
    <n v="0"/>
    <n v="876240.55447965837"/>
    <n v="97360.061608850912"/>
    <n v="0"/>
    <n v="0"/>
    <n v="0"/>
    <n v="0"/>
    <n v="876240.55447965837"/>
    <n v="0"/>
    <n v="0.44354420627205832"/>
    <n v="0.44354420627205832"/>
    <n v="0"/>
    <n v="0"/>
    <n v="66594.28214045403"/>
    <n v="66594.28214045403"/>
    <n v="0"/>
    <x v="0"/>
  </r>
  <r>
    <x v="25"/>
    <s v=""/>
    <n v="0"/>
    <x v="2"/>
    <s v="Østdanmark"/>
    <n v="122020.01011231828"/>
    <n v="222477.49455637607"/>
    <n v="0"/>
    <n v="0"/>
    <n v="0"/>
    <n v="0"/>
    <n v="0"/>
    <n v="0"/>
    <n v="-100457.48444405779"/>
    <n v="0"/>
    <n v="0"/>
    <n v="0"/>
    <n v="0"/>
    <n v="0"/>
    <n v="0"/>
    <n v="0"/>
    <n v="0"/>
    <n v="0"/>
    <n v="0"/>
    <x v="1"/>
  </r>
  <r>
    <x v="26"/>
    <s v="Græs og urter"/>
    <n v="1"/>
    <x v="2"/>
    <s v="Østdanmark"/>
    <n v="1741163.5278240088"/>
    <n v="735458.31011123862"/>
    <n v="0"/>
    <n v="0"/>
    <n v="77843.772170287746"/>
    <n v="0"/>
    <n v="0"/>
    <n v="0"/>
    <n v="927861.44554248243"/>
    <n v="324396.41146601527"/>
    <n v="77843.772170287746"/>
    <n v="1.164583117162995"/>
    <n v="1.4440422592543281"/>
    <n v="0.27945914209133305"/>
    <n v="1.164583117162995"/>
    <n v="97318.923439804581"/>
    <n v="120672.05509089089"/>
    <n v="23353.131651086322"/>
    <n v="97318.923439804566"/>
    <x v="0"/>
  </r>
  <r>
    <x v="27"/>
    <s v=""/>
    <n v="0"/>
    <x v="2"/>
    <s v="Østdanmark"/>
    <n v="235435.29243193395"/>
    <n v="0"/>
    <n v="0"/>
    <n v="428214.02929147833"/>
    <n v="0"/>
    <n v="0"/>
    <n v="0"/>
    <n v="0"/>
    <n v="-192778.73685954438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7232.7710179462747"/>
    <n v="0"/>
    <n v="0"/>
    <n v="54412.71372203785"/>
    <n v="0"/>
    <n v="0"/>
    <n v="0"/>
    <n v="0"/>
    <n v="-47179.942704091576"/>
    <n v="0"/>
    <n v="0"/>
    <n v="0"/>
    <n v="0"/>
    <n v="0"/>
    <n v="0"/>
    <n v="0"/>
    <n v="0"/>
    <n v="0"/>
    <n v="0"/>
    <x v="1"/>
  </r>
  <r>
    <x v="30"/>
    <s v=""/>
    <n v="0"/>
    <x v="2"/>
    <s v="Østdanmark"/>
    <n v="430692.0417893788"/>
    <n v="0"/>
    <n v="0"/>
    <n v="0"/>
    <n v="0"/>
    <n v="0"/>
    <n v="0"/>
    <n v="0"/>
    <n v="430692.0417893788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200.145674741361"/>
    <n v="0"/>
    <n v="0"/>
    <n v="0"/>
    <n v="0"/>
    <n v="0"/>
    <n v="38200.145674741361"/>
    <n v="0"/>
    <n v="0"/>
    <n v="0"/>
    <n v="38200.145674741361"/>
    <n v="0"/>
    <n v="0.70288268041524093"/>
    <n v="0"/>
    <n v="0.70288268041524093"/>
    <n v="0"/>
    <n v="15853.060455017667"/>
    <n v="0"/>
    <n v="15853.060455017667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66620.82312230999"/>
    <n v="0"/>
    <n v="0"/>
    <n v="0"/>
    <n v="0"/>
    <n v="0"/>
    <n v="0"/>
    <n v="0"/>
    <n v="366620.82312230999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17.58907939846"/>
    <n v="0"/>
    <n v="0"/>
    <n v="0"/>
    <n v="0"/>
    <n v="0"/>
    <n v="0"/>
    <n v="115017.58907939846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57508.794539699229"/>
    <n v="30915.871009673829"/>
    <n v="0"/>
    <n v="0"/>
    <n v="0"/>
    <n v="0"/>
    <n v="0"/>
    <n v="0"/>
    <n v="26592.9235300254"/>
    <n v="0"/>
    <n v="0"/>
    <n v="0"/>
    <n v="0"/>
    <n v="0"/>
    <n v="0"/>
    <n v="0"/>
    <n v="0"/>
    <n v="0"/>
    <n v="0"/>
    <x v="1"/>
  </r>
  <r>
    <x v="37"/>
    <s v="Rapsolie"/>
    <n v="1"/>
    <x v="2"/>
    <s v="Østdanmark"/>
    <n v="36805.628505407505"/>
    <n v="0"/>
    <n v="0"/>
    <n v="0"/>
    <n v="0"/>
    <n v="0"/>
    <n v="36805.628505407505"/>
    <n v="0"/>
    <n v="0"/>
    <n v="0"/>
    <n v="36805.628505407505"/>
    <n v="0"/>
    <n v="1.2881969976892627"/>
    <n v="0"/>
    <n v="1.2881969976892627"/>
    <n v="0"/>
    <n v="0"/>
    <n v="0"/>
    <n v="0"/>
    <x v="0"/>
  </r>
  <r>
    <x v="38"/>
    <s v="Græs og urter"/>
    <n v="1"/>
    <x v="2"/>
    <s v="Østdanmark"/>
    <n v="565868.01262208389"/>
    <n v="127941.13536914771"/>
    <n v="0"/>
    <n v="0"/>
    <n v="6948.5666474669151"/>
    <n v="0"/>
    <n v="0"/>
    <n v="0"/>
    <n v="430978.31060546928"/>
    <n v="430978.31060546928"/>
    <n v="6948.5666474669151"/>
    <n v="1.169692374115668"/>
    <n v="1.1885510619395592"/>
    <n v="1.8858687823891107E-2"/>
    <n v="1.1696923741156682"/>
    <n v="86195.662121093861"/>
    <n v="87585.375450587249"/>
    <n v="1389.7133294933831"/>
    <n v="86195.662121093861"/>
    <x v="0"/>
  </r>
  <r>
    <x v="39"/>
    <s v=""/>
    <n v="0"/>
    <x v="2"/>
    <s v="Østdanmark"/>
    <n v="22182.119996210597"/>
    <n v="0"/>
    <n v="0"/>
    <n v="0"/>
    <n v="0"/>
    <n v="0"/>
    <n v="0"/>
    <n v="0"/>
    <n v="22182.119996210597"/>
    <n v="0"/>
    <n v="0"/>
    <n v="0"/>
    <n v="0"/>
    <n v="0"/>
    <n v="0"/>
    <n v="0"/>
    <n v="0"/>
    <n v="0"/>
    <n v="0"/>
    <x v="0"/>
  </r>
  <r>
    <x v="40"/>
    <s v=""/>
    <n v="0"/>
    <x v="2"/>
    <s v="Østdanmark"/>
    <n v="18120.669233843775"/>
    <n v="5668.1056776960004"/>
    <n v="0"/>
    <n v="0"/>
    <n v="0"/>
    <n v="0"/>
    <n v="0"/>
    <n v="0"/>
    <n v="12452.563556147776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953.7358260299"/>
    <n v="0"/>
    <n v="0"/>
    <n v="0"/>
    <n v="1327732.6575790939"/>
    <n v="0"/>
    <n v="0"/>
    <n v="0"/>
    <n v="2173221.0782469362"/>
    <n v="2173221.0782469362"/>
    <n v="1327732.6575790939"/>
    <n v="1.0844590502560039"/>
    <n v="1.7470109237145475"/>
    <n v="0.66255187345854372"/>
    <n v="1.0844590502560036"/>
    <n v="130393.26469481617"/>
    <n v="210057.22414956181"/>
    <n v="79663.959454745636"/>
    <n v="130393.26469481617"/>
    <x v="0"/>
  </r>
  <r>
    <x v="42"/>
    <s v="Husdyrgødning"/>
    <n v="1"/>
    <x v="2"/>
    <s v="Østdanmark"/>
    <n v="1914968.3000286557"/>
    <n v="0"/>
    <n v="0"/>
    <n v="0"/>
    <n v="1723471.4700257902"/>
    <n v="191496.83000286552"/>
    <n v="0"/>
    <n v="0"/>
    <n v="0"/>
    <n v="0"/>
    <n v="1723471.4700257902"/>
    <n v="0"/>
    <n v="0.74247150928711048"/>
    <n v="0.74247150928711048"/>
    <n v="0"/>
    <n v="0"/>
    <n v="86173.573501289517"/>
    <n v="86173.573501289517"/>
    <n v="0"/>
    <x v="0"/>
  </r>
  <r>
    <x v="43"/>
    <s v=""/>
    <n v="0"/>
    <x v="2"/>
    <s v="Østdanmark"/>
    <n v="197991.36208420046"/>
    <n v="0"/>
    <n v="0"/>
    <n v="110474.29755686472"/>
    <n v="0"/>
    <n v="0"/>
    <n v="0"/>
    <n v="0"/>
    <n v="87517.064527335737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  <x v="0"/>
  </r>
  <r>
    <x v="47"/>
    <s v="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567485.44097623753"/>
    <n v="3978072.941243425"/>
    <n v="1861937.0401489851"/>
    <n v="1861937.0401489851"/>
  </r>
  <r>
    <x v="0"/>
    <x v="1"/>
    <x v="1"/>
    <s v="Konventionel"/>
    <x v="0"/>
    <s v="Halm"/>
    <n v="43619.316164212927"/>
    <n v="168370.56039386193"/>
    <n v="71678.793485643968"/>
    <n v="71678.793485643968"/>
  </r>
  <r>
    <x v="0"/>
    <x v="2"/>
    <x v="1"/>
    <s v="Konventionel"/>
    <x v="0"/>
    <s v="Halm"/>
    <n v="71815.775408903501"/>
    <n v="315989.41179917543"/>
    <n v="242016.29049698845"/>
    <n v="242016.29049698845"/>
  </r>
  <r>
    <x v="0"/>
    <x v="3"/>
    <x v="1"/>
    <s v="Konventionel"/>
    <x v="0"/>
    <s v="Græs"/>
    <n v="358964.48802999349"/>
    <n v="17811817.896048278"/>
    <n v="0"/>
    <n v="17811817.896048278"/>
  </r>
  <r>
    <x v="0"/>
    <x v="4"/>
    <x v="1"/>
    <s v="Konventionel"/>
    <x v="0"/>
    <s v="Grøntsager"/>
    <n v="7330.9635896981126"/>
    <n v="152117.49448623584"/>
    <n v="0"/>
    <n v="152117.49448623584"/>
  </r>
  <r>
    <x v="0"/>
    <x v="5"/>
    <x v="1"/>
    <s v="Konventionel"/>
    <x v="0"/>
    <s v="Kartofler"/>
    <n v="30834.713960981455"/>
    <n v="1309578.036850784"/>
    <n v="0"/>
    <n v="1309578.036850784"/>
  </r>
  <r>
    <x v="0"/>
    <x v="6"/>
    <x v="1"/>
    <s v="Konventionel"/>
    <x v="0"/>
    <s v="Roer"/>
    <n v="18963.465816940919"/>
    <n v="1540852.3568272591"/>
    <n v="0"/>
    <n v="1540852.3568272591"/>
  </r>
  <r>
    <x v="0"/>
    <x v="7"/>
    <x v="1"/>
    <s v="Konventionel"/>
    <x v="0"/>
    <s v="Majs"/>
    <n v="95754.367211871344"/>
    <n v="4262026.8846003935"/>
    <n v="0"/>
    <n v="4262026.8846003935"/>
  </r>
  <r>
    <x v="0"/>
    <x v="8"/>
    <x v="1"/>
    <s v="Konventionel"/>
    <x v="0"/>
    <s v="Frugt"/>
    <n v="2858.8189779950267"/>
    <n v="24271.373123177778"/>
    <n v="0"/>
    <n v="24271.373123177778"/>
  </r>
  <r>
    <x v="0"/>
    <x v="9"/>
    <x v="1"/>
    <s v="Konventionel"/>
    <x v="0"/>
    <s v="Øvrige"/>
    <n v="39384.151743264825"/>
    <n v="1173487.960460156"/>
    <n v="0"/>
    <n v="1173487.960460156"/>
  </r>
  <r>
    <x v="0"/>
    <x v="10"/>
    <x v="1"/>
    <s v="Konventionel"/>
    <x v="0"/>
    <s v="Halm"/>
    <n v="56882.751322060642"/>
    <n v="812789.71325782908"/>
    <n v="193628.88550029439"/>
    <n v="193628.88550029439"/>
  </r>
  <r>
    <x v="0"/>
    <x v="11"/>
    <x v="1"/>
    <s v="Konventionel"/>
    <x v="0"/>
    <s v="Juletræer"/>
    <n v="10683.561140435961"/>
    <n v="534178.05702179798"/>
    <n v="0"/>
    <n v="534178.05702179798"/>
  </r>
  <r>
    <x v="0"/>
    <x v="12"/>
    <x v="1"/>
    <s v="Konventionel"/>
    <x v="0"/>
    <s v="Pil &amp; poppel"/>
    <n v="4108.2981484004922"/>
    <n v="100202.39386342664"/>
    <n v="0"/>
    <n v="100202.39386342664"/>
  </r>
  <r>
    <x v="0"/>
    <x v="13"/>
    <x v="1"/>
    <s v="Konventionel"/>
    <x v="0"/>
    <s v="Græs"/>
    <n v="99658.944634840125"/>
    <n v="1374296.8465144455"/>
    <n v="0"/>
    <n v="1374296.8465144455"/>
  </r>
  <r>
    <x v="0"/>
    <x v="0"/>
    <x v="2"/>
    <s v="Konventionel"/>
    <x v="0"/>
    <s v="Halm"/>
    <n v="415219.4411308578"/>
    <n v="2910688.282327313"/>
    <n v="1362347.6505432988"/>
    <n v="1362347.6505432988"/>
  </r>
  <r>
    <x v="0"/>
    <x v="1"/>
    <x v="2"/>
    <s v="Konventionel"/>
    <x v="0"/>
    <s v="Halm"/>
    <n v="31915.511434192158"/>
    <n v="123193.87413598174"/>
    <n v="52446.153545090725"/>
    <n v="52446.153545090725"/>
  </r>
  <r>
    <x v="0"/>
    <x v="2"/>
    <x v="2"/>
    <s v="Konventionel"/>
    <x v="0"/>
    <s v="Halm"/>
    <n v="52546.380887527906"/>
    <n v="231204.07590512279"/>
    <n v="177079.20173573354"/>
    <n v="177079.20173573354"/>
  </r>
  <r>
    <x v="0"/>
    <x v="3"/>
    <x v="2"/>
    <s v="Konventionel"/>
    <x v="0"/>
    <s v="Græs"/>
    <n v="262648.20794209518"/>
    <n v="13032604.078086764"/>
    <n v="0"/>
    <n v="13032604.078086764"/>
  </r>
  <r>
    <x v="0"/>
    <x v="4"/>
    <x v="2"/>
    <s v="Konventionel"/>
    <x v="0"/>
    <s v="Grøntsager"/>
    <n v="5363.9413187916089"/>
    <n v="111301.78236492589"/>
    <n v="0"/>
    <n v="111301.78236492589"/>
  </r>
  <r>
    <x v="0"/>
    <x v="5"/>
    <x v="2"/>
    <s v="Konventionel"/>
    <x v="0"/>
    <s v="Kartofler"/>
    <n v="22561.23553810201"/>
    <n v="958195.96647801495"/>
    <n v="0"/>
    <n v="958195.96647801495"/>
  </r>
  <r>
    <x v="0"/>
    <x v="6"/>
    <x v="2"/>
    <s v="Konventionel"/>
    <x v="0"/>
    <s v="Roer"/>
    <n v="13875.245265973344"/>
    <n v="1127415.4511635655"/>
    <n v="0"/>
    <n v="1127415.4511635655"/>
  </r>
  <r>
    <x v="0"/>
    <x v="7"/>
    <x v="2"/>
    <s v="Konventionel"/>
    <x v="0"/>
    <s v="Majs"/>
    <n v="70061.841183370547"/>
    <n v="3118452.5510718231"/>
    <n v="0"/>
    <n v="3118452.5510718231"/>
  </r>
  <r>
    <x v="0"/>
    <x v="8"/>
    <x v="2"/>
    <s v="Konventionel"/>
    <x v="0"/>
    <s v="Frugt"/>
    <n v="2091.7492020506129"/>
    <n v="17758.950725409708"/>
    <n v="0"/>
    <n v="17758.950725409708"/>
  </r>
  <r>
    <x v="0"/>
    <x v="9"/>
    <x v="2"/>
    <s v="Konventionel"/>
    <x v="0"/>
    <s v="Øvrige"/>
    <n v="28816.713690697266"/>
    <n v="858621.17321959464"/>
    <n v="0"/>
    <n v="858621.17321959464"/>
  </r>
  <r>
    <x v="0"/>
    <x v="10"/>
    <x v="2"/>
    <s v="Konventionel"/>
    <x v="0"/>
    <s v="Halm"/>
    <n v="41620.141255607268"/>
    <n v="594704.40319183038"/>
    <n v="141674.96083408713"/>
    <n v="141674.96083408713"/>
  </r>
  <r>
    <x v="0"/>
    <x v="11"/>
    <x v="2"/>
    <s v="Konventionel"/>
    <x v="0"/>
    <s v="Juletræer"/>
    <n v="7816.9799006436897"/>
    <n v="390848.99503218452"/>
    <n v="0"/>
    <n v="390848.99503218452"/>
  </r>
  <r>
    <x v="0"/>
    <x v="12"/>
    <x v="2"/>
    <s v="Konventionel"/>
    <x v="0"/>
    <s v="Pil &amp; poppel"/>
    <n v="3005.971850561044"/>
    <n v="73316.38659904986"/>
    <n v="0"/>
    <n v="73316.38659904986"/>
  </r>
  <r>
    <x v="0"/>
    <x v="13"/>
    <x v="2"/>
    <s v="Konventionel"/>
    <x v="0"/>
    <s v="Græs"/>
    <n v="72918.754045537091"/>
    <n v="1005549.6182879566"/>
    <n v="0"/>
    <n v="1005549.6182879566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51541.4562503575"/>
    <n v="711744.75757105404"/>
    <n v="333132.13378113182"/>
    <n v="333132.13378113182"/>
  </r>
  <r>
    <x v="0"/>
    <x v="1"/>
    <x v="1"/>
    <s v="Økologisk"/>
    <x v="0"/>
    <s v="Halm"/>
    <n v="11648.113264013013"/>
    <n v="25628.178803481427"/>
    <n v="10910.440231182321"/>
    <n v="10910.440231182321"/>
  </r>
  <r>
    <x v="0"/>
    <x v="2"/>
    <x v="1"/>
    <s v="Økologisk"/>
    <x v="0"/>
    <s v="Halm"/>
    <n v="19177.702900169312"/>
    <n v="46410.041018409742"/>
    <n v="35545.450416000022"/>
    <n v="35545.450416000022"/>
  </r>
  <r>
    <x v="0"/>
    <x v="3"/>
    <x v="1"/>
    <s v="Økologisk"/>
    <x v="0"/>
    <s v="Græs"/>
    <n v="95857.968029363183"/>
    <n v="3710048.4514212608"/>
    <n v="0"/>
    <n v="3710048.4514212608"/>
  </r>
  <r>
    <x v="0"/>
    <x v="4"/>
    <x v="1"/>
    <s v="Økologisk"/>
    <x v="0"/>
    <s v="Grøntsager"/>
    <n v="1957.6623784216506"/>
    <n v="23154.25178078207"/>
    <n v="0"/>
    <n v="23154.25178078207"/>
  </r>
  <r>
    <x v="0"/>
    <x v="5"/>
    <x v="1"/>
    <s v="Økologisk"/>
    <x v="0"/>
    <s v="Kartofler"/>
    <n v="8234.1098454824023"/>
    <n v="199334.72934350121"/>
    <n v="0"/>
    <n v="199334.72934350121"/>
  </r>
  <r>
    <x v="0"/>
    <x v="6"/>
    <x v="1"/>
    <s v="Økologisk"/>
    <x v="0"/>
    <s v="Roer"/>
    <n v="5064.0087268308198"/>
    <n v="234537.67462767428"/>
    <n v="0"/>
    <n v="234537.67462767428"/>
  </r>
  <r>
    <x v="0"/>
    <x v="7"/>
    <x v="1"/>
    <s v="Økologisk"/>
    <x v="0"/>
    <s v="Majs"/>
    <n v="25570.270533559084"/>
    <n v="944650.1754024335"/>
    <n v="0"/>
    <n v="944650.1754024335"/>
  </r>
  <r>
    <x v="0"/>
    <x v="8"/>
    <x v="1"/>
    <s v="Økologisk"/>
    <x v="0"/>
    <s v="Frugt"/>
    <n v="763.41974577576138"/>
    <n v="3694.4171757326421"/>
    <n v="0"/>
    <n v="3694.4171757326421"/>
  </r>
  <r>
    <x v="0"/>
    <x v="9"/>
    <x v="1"/>
    <s v="Økologisk"/>
    <x v="0"/>
    <s v="Øvrige"/>
    <n v="10517.153881678742"/>
    <n v="178620.05806747917"/>
    <n v="0"/>
    <n v="178620.05806747917"/>
  </r>
  <r>
    <x v="0"/>
    <x v="10"/>
    <x v="1"/>
    <s v="Økologisk"/>
    <x v="0"/>
    <s v="Halm"/>
    <n v="15189.984356326371"/>
    <n v="123717.11570166773"/>
    <n v="29472.822846892926"/>
    <n v="29472.822846892926"/>
  </r>
  <r>
    <x v="0"/>
    <x v="11"/>
    <x v="1"/>
    <s v="Økologisk"/>
    <x v="0"/>
    <s v="Juletræer"/>
    <n v="2852.9408796395687"/>
    <n v="81308.815069727716"/>
    <n v="0"/>
    <n v="81308.815069727716"/>
  </r>
  <r>
    <x v="0"/>
    <x v="12"/>
    <x v="1"/>
    <s v="Økologisk"/>
    <x v="0"/>
    <s v="Pil &amp; poppel"/>
    <n v="1097.0809807001331"/>
    <n v="15252.101439001848"/>
    <n v="0"/>
    <n v="15252.101439001848"/>
  </r>
  <r>
    <x v="0"/>
    <x v="13"/>
    <x v="1"/>
    <s v="Økologisk"/>
    <x v="0"/>
    <s v="Græs"/>
    <n v="26612.949880012548"/>
    <n v="366992.57884537306"/>
    <n v="0"/>
    <n v="366992.57884537306"/>
  </r>
  <r>
    <x v="0"/>
    <x v="0"/>
    <x v="2"/>
    <s v="Økologisk"/>
    <x v="0"/>
    <s v="Halm"/>
    <n v="263062.88071366976"/>
    <n v="1235527.4318478929"/>
    <n v="578288.61447640613"/>
    <n v="578288.61447640613"/>
  </r>
  <r>
    <x v="0"/>
    <x v="1"/>
    <x v="2"/>
    <s v="Økologisk"/>
    <x v="0"/>
    <s v="Halm"/>
    <n v="20220.11867860179"/>
    <n v="44488.305116659656"/>
    <n v="18939.582000106111"/>
    <n v="18939.582000106111"/>
  </r>
  <r>
    <x v="0"/>
    <x v="2"/>
    <x v="2"/>
    <s v="Økologisk"/>
    <x v="0"/>
    <s v="Halm"/>
    <n v="33290.836020836614"/>
    <n v="80563.823170424614"/>
    <n v="61703.832166228211"/>
    <n v="61703.832166228211"/>
  </r>
  <r>
    <x v="0"/>
    <x v="3"/>
    <x v="2"/>
    <s v="Økologisk"/>
    <x v="0"/>
    <s v="Græs"/>
    <n v="166401.15406772491"/>
    <n v="6440323.7065755986"/>
    <n v="0"/>
    <n v="6440323.7065755986"/>
  </r>
  <r>
    <x v="0"/>
    <x v="4"/>
    <x v="2"/>
    <s v="Økologisk"/>
    <x v="0"/>
    <s v="Grøntsager"/>
    <n v="3398.332822416432"/>
    <n v="40193.781457130353"/>
    <n v="0"/>
    <n v="40193.781457130353"/>
  </r>
  <r>
    <x v="0"/>
    <x v="5"/>
    <x v="2"/>
    <s v="Økologisk"/>
    <x v="0"/>
    <s v="Kartofler"/>
    <n v="14293.703582251808"/>
    <n v="346027.87530793168"/>
    <n v="0"/>
    <n v="346027.87530793168"/>
  </r>
  <r>
    <x v="0"/>
    <x v="6"/>
    <x v="2"/>
    <s v="Økologisk"/>
    <x v="0"/>
    <s v="Roer"/>
    <n v="8790.6818147402864"/>
    <n v="407137.14814454154"/>
    <n v="0"/>
    <n v="407137.14814454154"/>
  </r>
  <r>
    <x v="0"/>
    <x v="7"/>
    <x v="2"/>
    <s v="Økologisk"/>
    <x v="0"/>
    <s v="Majs"/>
    <n v="44387.781361115492"/>
    <n v="1639831.1231580982"/>
    <n v="0"/>
    <n v="1639831.1231580982"/>
  </r>
  <r>
    <x v="0"/>
    <x v="8"/>
    <x v="2"/>
    <s v="Økologisk"/>
    <x v="0"/>
    <s v="Frugt"/>
    <n v="1325.230748645359"/>
    <n v="6413.1891619194867"/>
    <n v="0"/>
    <n v="6413.1891619194867"/>
  </r>
  <r>
    <x v="0"/>
    <x v="9"/>
    <x v="2"/>
    <s v="Økologisk"/>
    <x v="0"/>
    <s v="Øvrige"/>
    <n v="18256.870862139654"/>
    <n v="310068.99492140242"/>
    <n v="0"/>
    <n v="310068.99492140242"/>
  </r>
  <r>
    <x v="0"/>
    <x v="10"/>
    <x v="2"/>
    <s v="Økologisk"/>
    <x v="0"/>
    <s v="Halm"/>
    <n v="26368.501013803387"/>
    <n v="214762.22847099841"/>
    <n v="51162.275147062435"/>
    <n v="51162.275147062435"/>
  </r>
  <r>
    <x v="0"/>
    <x v="11"/>
    <x v="2"/>
    <s v="Økologisk"/>
    <x v="0"/>
    <s v="Juletræer"/>
    <n v="4952.4589829986235"/>
    <n v="141145.08101546075"/>
    <n v="0"/>
    <n v="141145.08101546075"/>
  </r>
  <r>
    <x v="0"/>
    <x v="12"/>
    <x v="2"/>
    <s v="Økologisk"/>
    <x v="0"/>
    <s v="Pil &amp; poppel"/>
    <n v="1904.4378370124975"/>
    <n v="26476.330904807892"/>
    <n v="0"/>
    <n v="26476.330904807892"/>
  </r>
  <r>
    <x v="0"/>
    <x v="13"/>
    <x v="2"/>
    <s v="Økologisk"/>
    <x v="0"/>
    <s v="Græs"/>
    <n v="46197.782659278731"/>
    <n v="637067.42287145369"/>
    <n v="0"/>
    <n v="637067.42287145369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7966.8777489233817"/>
    <n v="67017.375623943488"/>
    <n v="31367.482660786744"/>
    <n v="31367.482660786744"/>
  </r>
  <r>
    <x v="0"/>
    <x v="1"/>
    <x v="1"/>
    <s v="Konventionel"/>
    <x v="1"/>
    <s v="Halm"/>
    <n v="682.95424540409101"/>
    <n v="3163.4440647117499"/>
    <n v="1346.742882410256"/>
    <n v="1346.742882410256"/>
  </r>
  <r>
    <x v="0"/>
    <x v="2"/>
    <x v="1"/>
    <s v="Konventionel"/>
    <x v="1"/>
    <s v="Halm"/>
    <n v="731.2957947718902"/>
    <n v="3861.24179639558"/>
    <n v="2957.3250918593749"/>
    <n v="2957.3250918593749"/>
  </r>
  <r>
    <x v="0"/>
    <x v="3"/>
    <x v="1"/>
    <s v="Konventionel"/>
    <x v="1"/>
    <s v="Græs"/>
    <n v="6748.6557259107421"/>
    <n v="401841.95654362929"/>
    <n v="0"/>
    <n v="401841.95654362929"/>
  </r>
  <r>
    <x v="0"/>
    <x v="4"/>
    <x v="1"/>
    <s v="Konventionel"/>
    <x v="1"/>
    <s v="Grøntsager"/>
    <n v="31.563716673997249"/>
    <n v="785.93654518253152"/>
    <n v="0"/>
    <n v="785.93654518253152"/>
  </r>
  <r>
    <x v="0"/>
    <x v="5"/>
    <x v="1"/>
    <s v="Konventionel"/>
    <x v="1"/>
    <s v="Kartofler"/>
    <n v="498.30927610942894"/>
    <n v="25396.371805272291"/>
    <n v="0"/>
    <n v="25396.371805272291"/>
  </r>
  <r>
    <x v="0"/>
    <x v="6"/>
    <x v="1"/>
    <s v="Konventionel"/>
    <x v="1"/>
    <s v="Roer"/>
    <n v="13.073303028819828"/>
    <n v="1274.7055824876741"/>
    <n v="0"/>
    <n v="1274.7055824876741"/>
  </r>
  <r>
    <x v="0"/>
    <x v="7"/>
    <x v="1"/>
    <s v="Konventionel"/>
    <x v="1"/>
    <s v="Majs"/>
    <n v="1687.5669618074376"/>
    <n v="90136.326564058865"/>
    <n v="0"/>
    <n v="90136.326564058865"/>
  </r>
  <r>
    <x v="0"/>
    <x v="8"/>
    <x v="1"/>
    <s v="Konventionel"/>
    <x v="1"/>
    <s v="Frugt"/>
    <n v="28.749153919733189"/>
    <n v="292.89638013424172"/>
    <n v="0"/>
    <n v="292.89638013424172"/>
  </r>
  <r>
    <x v="0"/>
    <x v="9"/>
    <x v="1"/>
    <s v="Konventionel"/>
    <x v="1"/>
    <s v="Øvrige"/>
    <n v="508.45470137367818"/>
    <n v="18179.865070322223"/>
    <n v="0"/>
    <n v="18179.865070322223"/>
  </r>
  <r>
    <x v="0"/>
    <x v="10"/>
    <x v="1"/>
    <s v="Konventionel"/>
    <x v="1"/>
    <s v="Halm"/>
    <n v="1255.0161458580612"/>
    <n v="21519.301150898682"/>
    <n v="5126.4899526010086"/>
    <n v="5126.4899526010086"/>
  </r>
  <r>
    <x v="0"/>
    <x v="11"/>
    <x v="1"/>
    <s v="Konventionel"/>
    <x v="1"/>
    <s v="Juletræer"/>
    <n v="144.19264763886906"/>
    <n v="8651.5588583321442"/>
    <n v="0"/>
    <n v="8651.5588583321442"/>
  </r>
  <r>
    <x v="0"/>
    <x v="12"/>
    <x v="1"/>
    <s v="Konventionel"/>
    <x v="1"/>
    <s v="Pil &amp; poppel"/>
    <n v="236.81749727070408"/>
    <n v="6931.2438225571932"/>
    <n v="0"/>
    <n v="6931.2438225571932"/>
  </r>
  <r>
    <x v="0"/>
    <x v="13"/>
    <x v="1"/>
    <s v="Konventionel"/>
    <x v="1"/>
    <s v="Græs"/>
    <n v="26133.579714697429"/>
    <n v="432458.47711881308"/>
    <n v="0"/>
    <n v="432458.47711881308"/>
  </r>
  <r>
    <x v="0"/>
    <x v="0"/>
    <x v="2"/>
    <s v="Konventionel"/>
    <x v="1"/>
    <s v="Halm"/>
    <n v="6179.3920113984786"/>
    <n v="51981.045599883997"/>
    <n v="24329.728393025704"/>
    <n v="24329.728393025704"/>
  </r>
  <r>
    <x v="0"/>
    <x v="1"/>
    <x v="2"/>
    <s v="Konventionel"/>
    <x v="1"/>
    <s v="Halm"/>
    <n v="529.72345518556824"/>
    <n v="2453.6790444195522"/>
    <n v="1044.5813869929548"/>
    <n v="1044.5813869929548"/>
  </r>
  <r>
    <x v="0"/>
    <x v="2"/>
    <x v="2"/>
    <s v="Konventionel"/>
    <x v="1"/>
    <s v="Halm"/>
    <n v="567.2188697502479"/>
    <n v="2994.9156322813087"/>
    <n v="2293.805882764254"/>
    <n v="2293.805882764254"/>
  </r>
  <r>
    <x v="0"/>
    <x v="3"/>
    <x v="2"/>
    <s v="Konventionel"/>
    <x v="1"/>
    <s v="Græs"/>
    <n v="5234.4959461700028"/>
    <n v="311682.82661874662"/>
    <n v="0"/>
    <n v="311682.82661874662"/>
  </r>
  <r>
    <x v="0"/>
    <x v="4"/>
    <x v="2"/>
    <s v="Konventionel"/>
    <x v="1"/>
    <s v="Grøntsager"/>
    <n v="24.481934430549188"/>
    <n v="609.60016732067481"/>
    <n v="0"/>
    <n v="609.60016732067481"/>
  </r>
  <r>
    <x v="0"/>
    <x v="5"/>
    <x v="2"/>
    <s v="Konventionel"/>
    <x v="1"/>
    <s v="Kartofler"/>
    <n v="386.50628979621081"/>
    <n v="19698.323734566249"/>
    <n v="0"/>
    <n v="19698.323734566249"/>
  </r>
  <r>
    <x v="0"/>
    <x v="6"/>
    <x v="2"/>
    <s v="Konventionel"/>
    <x v="1"/>
    <s v="Roer"/>
    <n v="10.140115970751253"/>
    <n v="988.70671065259364"/>
    <n v="0"/>
    <n v="988.70671065259364"/>
  </r>
  <r>
    <x v="0"/>
    <x v="7"/>
    <x v="2"/>
    <s v="Konventionel"/>
    <x v="1"/>
    <s v="Majs"/>
    <n v="1308.9365911133891"/>
    <n v="69912.921204548344"/>
    <n v="0"/>
    <n v="69912.921204548344"/>
  </r>
  <r>
    <x v="0"/>
    <x v="8"/>
    <x v="2"/>
    <s v="Konventionel"/>
    <x v="1"/>
    <s v="Frugt"/>
    <n v="22.29886006347617"/>
    <n v="227.18078632669523"/>
    <n v="0"/>
    <n v="227.18078632669523"/>
  </r>
  <r>
    <x v="0"/>
    <x v="9"/>
    <x v="2"/>
    <s v="Konventionel"/>
    <x v="1"/>
    <s v="Øvrige"/>
    <n v="394.37544027220684"/>
    <n v="14100.946007240134"/>
    <n v="0"/>
    <n v="14100.946007240134"/>
  </r>
  <r>
    <x v="0"/>
    <x v="10"/>
    <x v="2"/>
    <s v="Konventionel"/>
    <x v="1"/>
    <s v="Halm"/>
    <n v="973.43488758057447"/>
    <n v="16691.130680486644"/>
    <n v="3976.2868287891306"/>
    <n v="3976.2868287891306"/>
  </r>
  <r>
    <x v="0"/>
    <x v="11"/>
    <x v="2"/>
    <s v="Konventionel"/>
    <x v="1"/>
    <s v="Juletræer"/>
    <n v="111.84091472251262"/>
    <n v="6710.454883350757"/>
    <n v="0"/>
    <n v="6710.454883350757"/>
  </r>
  <r>
    <x v="0"/>
    <x v="12"/>
    <x v="2"/>
    <s v="Konventionel"/>
    <x v="1"/>
    <s v="Pil &amp; poppel"/>
    <n v="183.68402238778262"/>
    <n v="5376.1177284229061"/>
    <n v="0"/>
    <n v="5376.1177284229061"/>
  </r>
  <r>
    <x v="0"/>
    <x v="13"/>
    <x v="2"/>
    <s v="Konventionel"/>
    <x v="1"/>
    <s v="Græs"/>
    <n v="20270.128249434962"/>
    <n v="335430.08227164974"/>
    <n v="0"/>
    <n v="335430.08227164974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2127.4770569681864"/>
    <n v="11990.545792154979"/>
    <n v="5612.1749580181358"/>
    <n v="5612.1749580181358"/>
  </r>
  <r>
    <x v="0"/>
    <x v="1"/>
    <x v="1"/>
    <s v="Økologisk"/>
    <x v="1"/>
    <s v="Halm"/>
    <n v="182.37627510382896"/>
    <n v="481.51713658013335"/>
    <n v="204.99169992656425"/>
    <n v="204.99169992656425"/>
  </r>
  <r>
    <x v="0"/>
    <x v="2"/>
    <x v="1"/>
    <s v="Økologisk"/>
    <x v="1"/>
    <s v="Halm"/>
    <n v="195.28541472156516"/>
    <n v="567.10884435142532"/>
    <n v="434.34866388875662"/>
    <n v="434.34866388875662"/>
  </r>
  <r>
    <x v="0"/>
    <x v="3"/>
    <x v="1"/>
    <s v="Økologisk"/>
    <x v="1"/>
    <s v="Græs"/>
    <n v="1802.162738620199"/>
    <n v="83700.222924552902"/>
    <n v="0"/>
    <n v="83700.222924552902"/>
  </r>
  <r>
    <x v="0"/>
    <x v="4"/>
    <x v="1"/>
    <s v="Økologisk"/>
    <x v="1"/>
    <s v="Grøntsager"/>
    <n v="8.4287829150695739"/>
    <n v="119.62971591358246"/>
    <n v="0"/>
    <n v="119.62971591358246"/>
  </r>
  <r>
    <x v="0"/>
    <x v="5"/>
    <x v="1"/>
    <s v="Økologisk"/>
    <x v="1"/>
    <s v="Kartofler"/>
    <n v="133.06863561958127"/>
    <n v="3865.6565379522276"/>
    <n v="0"/>
    <n v="3865.6565379522276"/>
  </r>
  <r>
    <x v="0"/>
    <x v="6"/>
    <x v="1"/>
    <s v="Økologisk"/>
    <x v="1"/>
    <s v="Roer"/>
    <n v="3.4910981603006861"/>
    <n v="194.02669037491077"/>
    <n v="0"/>
    <n v="194.02669037491077"/>
  </r>
  <r>
    <x v="0"/>
    <x v="7"/>
    <x v="1"/>
    <s v="Økologisk"/>
    <x v="1"/>
    <s v="Majs"/>
    <n v="450.64830997664149"/>
    <n v="19978.122851952074"/>
    <n v="0"/>
    <n v="19978.122851952074"/>
  </r>
  <r>
    <x v="0"/>
    <x v="8"/>
    <x v="1"/>
    <s v="Økologisk"/>
    <x v="1"/>
    <s v="Frugt"/>
    <n v="7.6771813625161709"/>
    <n v="44.582620521149408"/>
    <n v="0"/>
    <n v="44.582620521149408"/>
  </r>
  <r>
    <x v="0"/>
    <x v="9"/>
    <x v="1"/>
    <s v="Økologisk"/>
    <x v="1"/>
    <s v="Øvrige"/>
    <n v="135.77787255820414"/>
    <n v="2767.2107971576834"/>
    <n v="0"/>
    <n v="2767.2107971576834"/>
  </r>
  <r>
    <x v="0"/>
    <x v="10"/>
    <x v="1"/>
    <s v="Økologisk"/>
    <x v="1"/>
    <s v="Halm"/>
    <n v="335.13983025514386"/>
    <n v="3275.5161967216482"/>
    <n v="780.31813181694042"/>
    <n v="780.31813181694042"/>
  </r>
  <r>
    <x v="0"/>
    <x v="11"/>
    <x v="1"/>
    <s v="Økologisk"/>
    <x v="1"/>
    <s v="Juletræer"/>
    <n v="38.505241237904947"/>
    <n v="1316.8792503363493"/>
    <n v="0"/>
    <n v="1316.8792503363493"/>
  </r>
  <r>
    <x v="0"/>
    <x v="12"/>
    <x v="1"/>
    <s v="Økologisk"/>
    <x v="1"/>
    <s v="Pil &amp; poppel"/>
    <n v="63.239804602265203"/>
    <n v="1055.0250328768145"/>
    <n v="0"/>
    <n v="1055.0250328768145"/>
  </r>
  <r>
    <x v="0"/>
    <x v="13"/>
    <x v="1"/>
    <s v="Økologisk"/>
    <x v="1"/>
    <s v="Græs"/>
    <n v="6978.7177626745197"/>
    <n v="115483.82153673796"/>
    <n v="0"/>
    <n v="115483.82153673796"/>
  </r>
  <r>
    <x v="0"/>
    <x v="0"/>
    <x v="2"/>
    <s v="Økologisk"/>
    <x v="1"/>
    <s v="Halm"/>
    <n v="3914.9627944930885"/>
    <n v="22064.886908274828"/>
    <n v="10327.470317418032"/>
    <n v="10327.470317418032"/>
  </r>
  <r>
    <x v="0"/>
    <x v="1"/>
    <x v="2"/>
    <s v="Økologisk"/>
    <x v="1"/>
    <s v="Halm"/>
    <n v="335.60706532235162"/>
    <n v="886.08319814668562"/>
    <n v="377.22375231442584"/>
    <n v="377.22375231442584"/>
  </r>
  <r>
    <x v="0"/>
    <x v="2"/>
    <x v="2"/>
    <s v="Økologisk"/>
    <x v="1"/>
    <s v="Halm"/>
    <n v="359.36233974320743"/>
    <n v="1043.5882346142744"/>
    <n v="799.28422889107276"/>
    <n v="799.28422889107276"/>
  </r>
  <r>
    <x v="0"/>
    <x v="3"/>
    <x v="2"/>
    <s v="Økologisk"/>
    <x v="1"/>
    <s v="Græs"/>
    <n v="3316.3225183609375"/>
    <n v="154024.34426596126"/>
    <n v="0"/>
    <n v="154024.34426596126"/>
  </r>
  <r>
    <x v="0"/>
    <x v="4"/>
    <x v="2"/>
    <s v="Økologisk"/>
    <x v="1"/>
    <s v="Grøntsager"/>
    <n v="15.510565158517633"/>
    <n v="220.14145129484075"/>
    <n v="0"/>
    <n v="220.14145129484075"/>
  </r>
  <r>
    <x v="0"/>
    <x v="5"/>
    <x v="2"/>
    <s v="Økologisk"/>
    <x v="1"/>
    <s v="Kartofler"/>
    <n v="244.87162193279943"/>
    <n v="7113.5439382546729"/>
    <n v="0"/>
    <n v="7113.5439382546729"/>
  </r>
  <r>
    <x v="0"/>
    <x v="6"/>
    <x v="2"/>
    <s v="Økologisk"/>
    <x v="1"/>
    <s v="Roer"/>
    <n v="6.4242852183692589"/>
    <n v="357.0460473209065"/>
    <n v="0"/>
    <n v="357.0460473209065"/>
  </r>
  <r>
    <x v="0"/>
    <x v="7"/>
    <x v="2"/>
    <s v="Økologisk"/>
    <x v="1"/>
    <s v="Majs"/>
    <n v="829.27868067068982"/>
    <n v="36763.549300345796"/>
    <n v="0"/>
    <n v="36763.549300345796"/>
  </r>
  <r>
    <x v="0"/>
    <x v="8"/>
    <x v="2"/>
    <s v="Økologisk"/>
    <x v="1"/>
    <s v="Frugt"/>
    <n v="14.127475218773187"/>
    <n v="82.040508991450906"/>
    <n v="0"/>
    <n v="82.040508991450906"/>
  </r>
  <r>
    <x v="0"/>
    <x v="9"/>
    <x v="2"/>
    <s v="Økologisk"/>
    <x v="1"/>
    <s v="Øvrige"/>
    <n v="249.85713365967555"/>
    <n v="5092.1946631144765"/>
    <n v="0"/>
    <n v="5092.1946631144765"/>
  </r>
  <r>
    <x v="0"/>
    <x v="10"/>
    <x v="2"/>
    <s v="Økologisk"/>
    <x v="1"/>
    <s v="Halm"/>
    <n v="616.72108853263057"/>
    <n v="6027.5733648565092"/>
    <n v="1435.9339123897105"/>
    <n v="1435.9339123897105"/>
  </r>
  <r>
    <x v="0"/>
    <x v="11"/>
    <x v="2"/>
    <s v="Økologisk"/>
    <x v="1"/>
    <s v="Juletræer"/>
    <n v="70.856974154261394"/>
    <n v="2423.3085160757396"/>
    <n v="0"/>
    <n v="2423.3085160757396"/>
  </r>
  <r>
    <x v="0"/>
    <x v="12"/>
    <x v="2"/>
    <s v="Økologisk"/>
    <x v="1"/>
    <s v="Pil &amp; poppel"/>
    <n v="116.37327948518661"/>
    <n v="1941.4469065333569"/>
    <n v="0"/>
    <n v="1941.4469065333569"/>
  </r>
  <r>
    <x v="0"/>
    <x v="13"/>
    <x v="2"/>
    <s v="Økologisk"/>
    <x v="1"/>
    <s v="Græs"/>
    <n v="12842.169227936987"/>
    <n v="212512.21638390131"/>
    <n v="0"/>
    <n v="212512.216383901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3808.7546780372704"/>
    <n v="37379.118410257768"/>
    <n v="17495.296371921148"/>
    <n v="17495.296371921148"/>
  </r>
  <r>
    <x v="0"/>
    <x v="1"/>
    <x v="1"/>
    <s v="Konventionel"/>
    <x v="2"/>
    <s v="Halm"/>
    <n v="219.30513229084247"/>
    <n v="1185.1249348997128"/>
    <n v="504.53193993443892"/>
    <n v="504.53193993443892"/>
  </r>
  <r>
    <x v="0"/>
    <x v="2"/>
    <x v="1"/>
    <s v="Konventionel"/>
    <x v="2"/>
    <s v="Halm"/>
    <n v="283.99021567912024"/>
    <n v="1749.3797285833807"/>
    <n v="1339.8499341220113"/>
    <n v="1339.8499341220113"/>
  </r>
  <r>
    <x v="0"/>
    <x v="3"/>
    <x v="1"/>
    <s v="Konventionel"/>
    <x v="2"/>
    <s v="Græs"/>
    <n v="6549.7108532863003"/>
    <n v="454995.31355609273"/>
    <n v="0"/>
    <n v="454995.31355609273"/>
  </r>
  <r>
    <x v="0"/>
    <x v="4"/>
    <x v="1"/>
    <s v="Konventionel"/>
    <x v="2"/>
    <s v="Grøntsager"/>
    <n v="7.6128108455599488"/>
    <n v="221.15215506351652"/>
    <n v="0"/>
    <n v="221.15215506351652"/>
  </r>
  <r>
    <x v="0"/>
    <x v="5"/>
    <x v="1"/>
    <s v="Konventionel"/>
    <x v="2"/>
    <s v="Kartofler"/>
    <n v="402.94831046865283"/>
    <n v="23959.008060236119"/>
    <n v="0"/>
    <n v="23959.008060236119"/>
  </r>
  <r>
    <x v="0"/>
    <x v="6"/>
    <x v="1"/>
    <s v="Konventionel"/>
    <x v="2"/>
    <s v="Roer"/>
    <n v="4.3575082919224473"/>
    <n v="495.68933130919578"/>
    <n v="0"/>
    <n v="495.68933130919578"/>
  </r>
  <r>
    <x v="0"/>
    <x v="7"/>
    <x v="1"/>
    <s v="Konventionel"/>
    <x v="2"/>
    <s v="Majs"/>
    <n v="541.89881430469609"/>
    <n v="33767.882714582833"/>
    <n v="0"/>
    <n v="33767.882714582833"/>
  </r>
  <r>
    <x v="0"/>
    <x v="8"/>
    <x v="1"/>
    <s v="Konventionel"/>
    <x v="2"/>
    <s v="Frugt"/>
    <n v="15.529173295949105"/>
    <n v="184.57975379565107"/>
    <n v="0"/>
    <n v="184.57975379565107"/>
  </r>
  <r>
    <x v="0"/>
    <x v="9"/>
    <x v="1"/>
    <s v="Konventionel"/>
    <x v="2"/>
    <s v="Øvrige"/>
    <n v="274.64742763620018"/>
    <n v="11456.730933923667"/>
    <n v="0"/>
    <n v="11456.730933923667"/>
  </r>
  <r>
    <x v="0"/>
    <x v="10"/>
    <x v="1"/>
    <s v="Konventionel"/>
    <x v="2"/>
    <s v="Halm"/>
    <n v="873.83629013078746"/>
    <n v="17480.575106779866"/>
    <n v="4164.3542242472813"/>
    <n v="4164.3542242472813"/>
  </r>
  <r>
    <x v="0"/>
    <x v="11"/>
    <x v="1"/>
    <s v="Konventionel"/>
    <x v="2"/>
    <s v="Juletræer"/>
    <n v="77.887252593154059"/>
    <n v="5452.1076815207844"/>
    <n v="0"/>
    <n v="5452.1076815207844"/>
  </r>
  <r>
    <x v="0"/>
    <x v="12"/>
    <x v="1"/>
    <s v="Konventionel"/>
    <x v="2"/>
    <s v="Pil &amp; poppel"/>
    <n v="183.85471699799032"/>
    <n v="6277.9659462728405"/>
    <n v="0"/>
    <n v="6277.9659462728405"/>
  </r>
  <r>
    <x v="0"/>
    <x v="13"/>
    <x v="1"/>
    <s v="Konventionel"/>
    <x v="2"/>
    <s v="Græs"/>
    <n v="17556.441662323981"/>
    <n v="338944.66273282678"/>
    <n v="0"/>
    <n v="338944.66273282678"/>
  </r>
  <r>
    <x v="0"/>
    <x v="0"/>
    <x v="2"/>
    <s v="Konventionel"/>
    <x v="2"/>
    <s v="Halm"/>
    <n v="2954.2047678616186"/>
    <n v="28992.565591793922"/>
    <n v="13569.970325239146"/>
    <n v="13569.970325239146"/>
  </r>
  <r>
    <x v="0"/>
    <x v="1"/>
    <x v="2"/>
    <s v="Konventionel"/>
    <x v="2"/>
    <s v="Halm"/>
    <n v="170.10081304684914"/>
    <n v="919.22479370517271"/>
    <n v="391.33280783021496"/>
    <n v="391.33280783021496"/>
  </r>
  <r>
    <x v="0"/>
    <x v="2"/>
    <x v="2"/>
    <s v="Konventionel"/>
    <x v="2"/>
    <s v="Halm"/>
    <n v="220.27285034216024"/>
    <n v="1356.8807581077072"/>
    <n v="1039.2349726346927"/>
    <n v="1039.2349726346927"/>
  </r>
  <r>
    <x v="0"/>
    <x v="3"/>
    <x v="2"/>
    <s v="Konventionel"/>
    <x v="2"/>
    <s v="Græs"/>
    <n v="5080.1872702561177"/>
    <n v="352910.44929015194"/>
    <n v="0"/>
    <n v="352910.44929015194"/>
  </r>
  <r>
    <x v="0"/>
    <x v="4"/>
    <x v="2"/>
    <s v="Konventionel"/>
    <x v="2"/>
    <s v="Grøntsager"/>
    <n v="5.9047652048756509"/>
    <n v="171.53342920163766"/>
    <n v="0"/>
    <n v="171.53342920163766"/>
  </r>
  <r>
    <x v="0"/>
    <x v="5"/>
    <x v="2"/>
    <s v="Konventionel"/>
    <x v="2"/>
    <s v="Kartofler"/>
    <n v="312.54095383263473"/>
    <n v="18583.453603070808"/>
    <n v="0"/>
    <n v="18583.453603070808"/>
  </r>
  <r>
    <x v="0"/>
    <x v="6"/>
    <x v="2"/>
    <s v="Konventionel"/>
    <x v="2"/>
    <s v="Roer"/>
    <n v="3.3798374692453388"/>
    <n v="384.47416799403391"/>
    <n v="0"/>
    <n v="384.47416799403391"/>
  </r>
  <r>
    <x v="0"/>
    <x v="7"/>
    <x v="2"/>
    <s v="Konventionel"/>
    <x v="2"/>
    <s v="Majs"/>
    <n v="420.31587651175721"/>
    <n v="26191.56352895364"/>
    <n v="0"/>
    <n v="26191.56352895364"/>
  </r>
  <r>
    <x v="0"/>
    <x v="8"/>
    <x v="2"/>
    <s v="Konventionel"/>
    <x v="2"/>
    <s v="Frugt"/>
    <n v="12.044975765013882"/>
    <n v="143.16658194295502"/>
    <n v="0"/>
    <n v="143.16658194295502"/>
  </r>
  <r>
    <x v="0"/>
    <x v="9"/>
    <x v="2"/>
    <s v="Konventionel"/>
    <x v="2"/>
    <s v="Øvrige"/>
    <n v="213.02625366827363"/>
    <n v="8886.2455080846248"/>
    <n v="0"/>
    <n v="8886.2455080846248"/>
  </r>
  <r>
    <x v="0"/>
    <x v="10"/>
    <x v="2"/>
    <s v="Konventionel"/>
    <x v="2"/>
    <s v="Halm"/>
    <n v="677.77831676078881"/>
    <n v="13558.55199159847"/>
    <n v="3230.0203463552143"/>
    <n v="3230.0203463552143"/>
  </r>
  <r>
    <x v="0"/>
    <x v="11"/>
    <x v="2"/>
    <s v="Konventionel"/>
    <x v="2"/>
    <s v="Juletræer"/>
    <n v="60.412106427634392"/>
    <n v="4228.8474499344075"/>
    <n v="0"/>
    <n v="4228.8474499344075"/>
  </r>
  <r>
    <x v="0"/>
    <x v="12"/>
    <x v="2"/>
    <s v="Konventionel"/>
    <x v="2"/>
    <s v="Pil &amp; poppel"/>
    <n v="142.60421777261985"/>
    <n v="4869.4123141870195"/>
    <n v="0"/>
    <n v="4869.4123141870195"/>
  </r>
  <r>
    <x v="0"/>
    <x v="13"/>
    <x v="2"/>
    <s v="Konventionel"/>
    <x v="2"/>
    <s v="Græs"/>
    <n v="13617.396773963173"/>
    <n v="262897.46211813303"/>
    <n v="0"/>
    <n v="262897.46211813303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017.090816316287"/>
    <n v="6687.7586117897881"/>
    <n v="3130.2054182482098"/>
    <n v="3130.2054182482098"/>
  </r>
  <r>
    <x v="0"/>
    <x v="1"/>
    <x v="1"/>
    <s v="Økologisk"/>
    <x v="2"/>
    <s v="Halm"/>
    <n v="58.563298211421746"/>
    <n v="180.39135621467815"/>
    <n v="76.796292288034351"/>
    <n v="76.796292288034351"/>
  </r>
  <r>
    <x v="0"/>
    <x v="2"/>
    <x v="1"/>
    <s v="Økologisk"/>
    <x v="2"/>
    <s v="Halm"/>
    <n v="75.83681930382609"/>
    <n v="256.93514380136281"/>
    <n v="196.78662663746377"/>
    <n v="196.78662663746377"/>
  </r>
  <r>
    <x v="0"/>
    <x v="3"/>
    <x v="1"/>
    <s v="Økologisk"/>
    <x v="2"/>
    <s v="Græs"/>
    <n v="1749.0364493198322"/>
    <n v="94771.609967853088"/>
    <n v="0"/>
    <n v="94771.609967853088"/>
  </r>
  <r>
    <x v="0"/>
    <x v="4"/>
    <x v="1"/>
    <s v="Økologisk"/>
    <x v="2"/>
    <s v="Grøntsager"/>
    <n v="2.0329269411917434"/>
    <n v="33.662220755723482"/>
    <n v="0"/>
    <n v="33.662220755723482"/>
  </r>
  <r>
    <x v="0"/>
    <x v="5"/>
    <x v="1"/>
    <s v="Økologisk"/>
    <x v="2"/>
    <s v="Kartofler"/>
    <n v="107.60341914145734"/>
    <n v="3646.8711696713508"/>
    <n v="0"/>
    <n v="3646.8711696713508"/>
  </r>
  <r>
    <x v="0"/>
    <x v="6"/>
    <x v="1"/>
    <s v="Økologisk"/>
    <x v="2"/>
    <s v="Roer"/>
    <n v="1.163630120703989"/>
    <n v="75.450332790086378"/>
    <n v="0"/>
    <n v="75.450332790086378"/>
  </r>
  <r>
    <x v="0"/>
    <x v="7"/>
    <x v="1"/>
    <s v="Økologisk"/>
    <x v="2"/>
    <s v="Majs"/>
    <n v="144.70879696720598"/>
    <n v="7484.4286985980116"/>
    <n v="0"/>
    <n v="7484.4286985980116"/>
  </r>
  <r>
    <x v="0"/>
    <x v="8"/>
    <x v="1"/>
    <s v="Økologisk"/>
    <x v="2"/>
    <s v="Frugt"/>
    <n v="4.1469143800128476"/>
    <n v="28.095427862874644"/>
    <n v="0"/>
    <n v="28.095427862874644"/>
  </r>
  <r>
    <x v="0"/>
    <x v="9"/>
    <x v="1"/>
    <s v="Økologisk"/>
    <x v="2"/>
    <s v="Øvrige"/>
    <n v="73.34191881258721"/>
    <n v="1743.8627524380238"/>
    <n v="0"/>
    <n v="1743.8627524380238"/>
  </r>
  <r>
    <x v="0"/>
    <x v="10"/>
    <x v="1"/>
    <s v="Økologisk"/>
    <x v="2"/>
    <s v="Halm"/>
    <n v="233.34946479512311"/>
    <n v="2660.7698125863872"/>
    <n v="633.86861937375397"/>
    <n v="633.86861937375397"/>
  </r>
  <r>
    <x v="0"/>
    <x v="11"/>
    <x v="1"/>
    <s v="Økologisk"/>
    <x v="2"/>
    <s v="Juletræer"/>
    <n v="20.799031709079983"/>
    <n v="829.88136519229124"/>
    <n v="0"/>
    <n v="829.88136519229124"/>
  </r>
  <r>
    <x v="0"/>
    <x v="12"/>
    <x v="1"/>
    <s v="Økologisk"/>
    <x v="2"/>
    <s v="Pil &amp; poppel"/>
    <n v="49.096610310288945"/>
    <n v="955.58768360025795"/>
    <n v="0"/>
    <n v="955.58768360025795"/>
  </r>
  <r>
    <x v="0"/>
    <x v="13"/>
    <x v="1"/>
    <s v="Økologisk"/>
    <x v="2"/>
    <s v="Græs"/>
    <n v="4688.2766393198599"/>
    <n v="90511.868798709227"/>
    <n v="0"/>
    <n v="90511.868798709227"/>
  </r>
  <r>
    <x v="0"/>
    <x v="0"/>
    <x v="2"/>
    <s v="Økologisk"/>
    <x v="2"/>
    <s v="Halm"/>
    <n v="1871.6407264919383"/>
    <n v="12306.74900016056"/>
    <n v="5760.1738695251506"/>
    <n v="5760.1738695251506"/>
  </r>
  <r>
    <x v="0"/>
    <x v="1"/>
    <x v="2"/>
    <s v="Økologisk"/>
    <x v="2"/>
    <s v="Halm"/>
    <n v="107.76761745541504"/>
    <n v="331.95443669556585"/>
    <n v="141.31979758744194"/>
    <n v="141.31979758744194"/>
  </r>
  <r>
    <x v="0"/>
    <x v="2"/>
    <x v="2"/>
    <s v="Økologisk"/>
    <x v="2"/>
    <s v="Halm"/>
    <n v="139.55418464078605"/>
    <n v="472.80957756298312"/>
    <n v="362.12485545548884"/>
    <n v="362.12485545548884"/>
  </r>
  <r>
    <x v="0"/>
    <x v="3"/>
    <x v="2"/>
    <s v="Økologisk"/>
    <x v="2"/>
    <s v="Græs"/>
    <n v="3218.5600323500144"/>
    <n v="174397.80409528682"/>
    <n v="0"/>
    <n v="174397.80409528682"/>
  </r>
  <r>
    <x v="0"/>
    <x v="4"/>
    <x v="2"/>
    <s v="Økologisk"/>
    <x v="2"/>
    <s v="Grøntsager"/>
    <n v="3.7409725818760391"/>
    <n v="61.94489449699438"/>
    <n v="0"/>
    <n v="61.94489449699438"/>
  </r>
  <r>
    <x v="0"/>
    <x v="5"/>
    <x v="2"/>
    <s v="Økologisk"/>
    <x v="2"/>
    <s v="Kartofler"/>
    <n v="198.01077577747543"/>
    <n v="6710.937210255579"/>
    <n v="0"/>
    <n v="6710.937210255579"/>
  </r>
  <r>
    <x v="0"/>
    <x v="6"/>
    <x v="2"/>
    <s v="Økologisk"/>
    <x v="2"/>
    <s v="Roer"/>
    <n v="2.1413009433810979"/>
    <n v="138.8429758797287"/>
    <n v="0"/>
    <n v="138.8429758797287"/>
  </r>
  <r>
    <x v="0"/>
    <x v="7"/>
    <x v="2"/>
    <s v="Økologisk"/>
    <x v="2"/>
    <s v="Majs"/>
    <n v="266.29173476014478"/>
    <n v="13772.773622670238"/>
    <n v="0"/>
    <n v="13772.773622670238"/>
  </r>
  <r>
    <x v="0"/>
    <x v="8"/>
    <x v="2"/>
    <s v="Økologisk"/>
    <x v="2"/>
    <s v="Frugt"/>
    <n v="7.6311119109480696"/>
    <n v="51.700935818911404"/>
    <n v="0"/>
    <n v="51.700935818911404"/>
  </r>
  <r>
    <x v="0"/>
    <x v="9"/>
    <x v="2"/>
    <s v="Økologisk"/>
    <x v="2"/>
    <s v="Øvrige"/>
    <n v="134.9630927805137"/>
    <n v="3209.0394451662773"/>
    <n v="0"/>
    <n v="3209.0394451662773"/>
  </r>
  <r>
    <x v="0"/>
    <x v="10"/>
    <x v="2"/>
    <s v="Økologisk"/>
    <x v="2"/>
    <s v="Halm"/>
    <n v="429.40743816512179"/>
    <n v="4896.3229882397854"/>
    <n v="1166.4389297722314"/>
    <n v="1166.4389297722314"/>
  </r>
  <r>
    <x v="0"/>
    <x v="11"/>
    <x v="2"/>
    <s v="Økologisk"/>
    <x v="2"/>
    <s v="Juletræer"/>
    <n v="38.274177874599644"/>
    <n v="1527.1396971965257"/>
    <n v="0"/>
    <n v="1527.1396971965257"/>
  </r>
  <r>
    <x v="0"/>
    <x v="12"/>
    <x v="2"/>
    <s v="Økologisk"/>
    <x v="2"/>
    <s v="Pil &amp; poppel"/>
    <n v="90.347109535659371"/>
    <n v="1758.4632538891747"/>
    <n v="0"/>
    <n v="1758.4632538891747"/>
  </r>
  <r>
    <x v="0"/>
    <x v="13"/>
    <x v="2"/>
    <s v="Økologisk"/>
    <x v="2"/>
    <s v="Græs"/>
    <n v="8627.3215276806677"/>
    <n v="166559.06941340299"/>
    <n v="0"/>
    <n v="166559.06941340299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73456.29714180753"/>
    <n v="1215928.6429640707"/>
    <n v="569115.40133933327"/>
    <n v="569115.40133933327"/>
  </r>
  <r>
    <x v="1"/>
    <x v="1"/>
    <x v="1"/>
    <s v="Konventionel"/>
    <x v="0"/>
    <s v="Halm"/>
    <n v="13332.580044144219"/>
    <n v="51463.758970396688"/>
    <n v="21909.175467521356"/>
    <n v="21909.175467521356"/>
  </r>
  <r>
    <x v="1"/>
    <x v="2"/>
    <x v="1"/>
    <s v="Konventionel"/>
    <x v="0"/>
    <s v="Halm"/>
    <n v="21951.045047722542"/>
    <n v="96584.598209979187"/>
    <n v="73974.143769023052"/>
    <n v="73974.143769023052"/>
  </r>
  <r>
    <x v="1"/>
    <x v="3"/>
    <x v="1"/>
    <s v="Konventionel"/>
    <x v="0"/>
    <s v="Græs"/>
    <n v="109720.26135503023"/>
    <n v="5444319.368436601"/>
    <n v="0"/>
    <n v="5444319.368436601"/>
  </r>
  <r>
    <x v="1"/>
    <x v="4"/>
    <x v="1"/>
    <s v="Konventionel"/>
    <x v="0"/>
    <s v="Grøntsager"/>
    <n v="2240.7655015130053"/>
    <n v="46495.884156394866"/>
    <n v="0"/>
    <n v="46495.884156394866"/>
  </r>
  <r>
    <x v="1"/>
    <x v="5"/>
    <x v="1"/>
    <s v="Konventionel"/>
    <x v="0"/>
    <s v="Kartofler"/>
    <n v="9424.8678836548315"/>
    <n v="400282.61641321337"/>
    <n v="0"/>
    <n v="400282.61641321337"/>
  </r>
  <r>
    <x v="1"/>
    <x v="6"/>
    <x v="1"/>
    <s v="Konventionel"/>
    <x v="0"/>
    <s v="Roer"/>
    <n v="5796.3294281580511"/>
    <n v="470973.39413272287"/>
    <n v="0"/>
    <n v="470973.39413272287"/>
  </r>
  <r>
    <x v="1"/>
    <x v="7"/>
    <x v="1"/>
    <s v="Konventionel"/>
    <x v="0"/>
    <s v="Majs"/>
    <n v="29268.060063630055"/>
    <n v="1302721.3534321738"/>
    <n v="0"/>
    <n v="1302721.3534321738"/>
  </r>
  <r>
    <x v="1"/>
    <x v="8"/>
    <x v="1"/>
    <s v="Konventionel"/>
    <x v="0"/>
    <s v="Frugt"/>
    <n v="873.82004597102605"/>
    <n v="7418.732190294013"/>
    <n v="0"/>
    <n v="7418.732190294013"/>
  </r>
  <r>
    <x v="1"/>
    <x v="9"/>
    <x v="1"/>
    <s v="Konventionel"/>
    <x v="0"/>
    <s v="Øvrige"/>
    <n v="12038.069409685235"/>
    <n v="358685.63607860694"/>
    <n v="0"/>
    <n v="358685.63607860694"/>
  </r>
  <r>
    <x v="1"/>
    <x v="10"/>
    <x v="1"/>
    <s v="Konventionel"/>
    <x v="0"/>
    <s v="Halm"/>
    <n v="17386.651186309547"/>
    <n v="248435.43787506258"/>
    <n v="59184.160638197704"/>
    <n v="59184.160638197704"/>
  </r>
  <r>
    <x v="1"/>
    <x v="11"/>
    <x v="1"/>
    <s v="Konventionel"/>
    <x v="0"/>
    <s v="Juletræer"/>
    <n v="3265.5127724866597"/>
    <n v="163275.63862433299"/>
    <n v="0"/>
    <n v="163275.63862433299"/>
  </r>
  <r>
    <x v="1"/>
    <x v="12"/>
    <x v="1"/>
    <s v="Konventionel"/>
    <x v="0"/>
    <s v="Pil &amp; poppel"/>
    <n v="1255.7329808324243"/>
    <n v="30627.633678839618"/>
    <n v="0"/>
    <n v="30627.633678839618"/>
  </r>
  <r>
    <x v="1"/>
    <x v="13"/>
    <x v="1"/>
    <s v="Konventionel"/>
    <x v="0"/>
    <s v="Græs"/>
    <n v="30461.524235198161"/>
    <n v="420064.41920338268"/>
    <n v="0"/>
    <n v="420064.41920338268"/>
  </r>
  <r>
    <x v="1"/>
    <x v="0"/>
    <x v="2"/>
    <s v="Konventionel"/>
    <x v="0"/>
    <s v="Halm"/>
    <n v="131850.56743100495"/>
    <n v="924272.47769134457"/>
    <n v="432605.73318343388"/>
    <n v="432605.73318343388"/>
  </r>
  <r>
    <x v="1"/>
    <x v="1"/>
    <x v="2"/>
    <s v="Konventionel"/>
    <x v="0"/>
    <s v="Halm"/>
    <n v="10134.588787529272"/>
    <n v="39119.512719862993"/>
    <n v="16653.977197359887"/>
    <n v="16653.977197359887"/>
  </r>
  <r>
    <x v="1"/>
    <x v="2"/>
    <x v="2"/>
    <s v="Konventionel"/>
    <x v="0"/>
    <s v="Halm"/>
    <n v="16685.803818812037"/>
    <n v="73417.536802772971"/>
    <n v="56230.4914372438"/>
    <n v="56230.4914372438"/>
  </r>
  <r>
    <x v="1"/>
    <x v="3"/>
    <x v="2"/>
    <s v="Konventionel"/>
    <x v="0"/>
    <s v="Græs"/>
    <n v="83402.44174883893"/>
    <n v="4138429.1595773879"/>
    <n v="0"/>
    <n v="4138429.1595773879"/>
  </r>
  <r>
    <x v="1"/>
    <x v="4"/>
    <x v="2"/>
    <s v="Konventionel"/>
    <x v="0"/>
    <s v="Grøntsager"/>
    <n v="1703.2889997229152"/>
    <n v="35343.246744250493"/>
    <n v="0"/>
    <n v="35343.246744250493"/>
  </r>
  <r>
    <x v="1"/>
    <x v="5"/>
    <x v="2"/>
    <s v="Konventionel"/>
    <x v="0"/>
    <s v="Kartofler"/>
    <n v="7164.1917814388025"/>
    <n v="304269.66893973155"/>
    <n v="0"/>
    <n v="304269.66893973155"/>
  </r>
  <r>
    <x v="1"/>
    <x v="6"/>
    <x v="2"/>
    <s v="Konventionel"/>
    <x v="0"/>
    <s v="Roer"/>
    <n v="4406.0050670565552"/>
    <n v="358004.3520157595"/>
    <n v="0"/>
    <n v="358004.3520157595"/>
  </r>
  <r>
    <x v="1"/>
    <x v="7"/>
    <x v="2"/>
    <s v="Konventionel"/>
    <x v="0"/>
    <s v="Majs"/>
    <n v="22247.73842508272"/>
    <n v="990246.83730043191"/>
    <n v="0"/>
    <n v="990246.83730043191"/>
  </r>
  <r>
    <x v="1"/>
    <x v="8"/>
    <x v="2"/>
    <s v="Konventionel"/>
    <x v="0"/>
    <s v="Frugt"/>
    <n v="664.22303941882706"/>
    <n v="5639.2536046658424"/>
    <n v="0"/>
    <n v="5639.2536046658424"/>
  </r>
  <r>
    <x v="1"/>
    <x v="9"/>
    <x v="2"/>
    <s v="Konventionel"/>
    <x v="0"/>
    <s v="Øvrige"/>
    <n v="9150.5832223732941"/>
    <n v="272650.26076079207"/>
    <n v="0"/>
    <n v="272650.26076079207"/>
  </r>
  <r>
    <x v="1"/>
    <x v="10"/>
    <x v="2"/>
    <s v="Konventionel"/>
    <x v="0"/>
    <s v="Halm"/>
    <n v="13216.238686138369"/>
    <n v="188844.99435046475"/>
    <n v="44988.076487615006"/>
    <n v="44988.076487615006"/>
  </r>
  <r>
    <x v="1"/>
    <x v="11"/>
    <x v="2"/>
    <s v="Konventionel"/>
    <x v="0"/>
    <s v="Juletræer"/>
    <n v="2482.237422914432"/>
    <n v="124111.8711457216"/>
    <n v="0"/>
    <n v="124111.8711457216"/>
  </r>
  <r>
    <x v="1"/>
    <x v="12"/>
    <x v="2"/>
    <s v="Konventionel"/>
    <x v="0"/>
    <s v="Pil &amp; poppel"/>
    <n v="954.52923181695155"/>
    <n v="23281.200776023208"/>
    <n v="0"/>
    <n v="23281.200776023208"/>
  </r>
  <r>
    <x v="1"/>
    <x v="13"/>
    <x v="2"/>
    <s v="Konventionel"/>
    <x v="0"/>
    <s v="Græs"/>
    <n v="23154.934824537635"/>
    <n v="319306.55123037403"/>
    <n v="0"/>
    <n v="319306.55123037403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6319.813631597492"/>
    <n v="217550.26868352393"/>
    <n v="101824.40325732339"/>
    <n v="101824.40325732339"/>
  </r>
  <r>
    <x v="1"/>
    <x v="1"/>
    <x v="1"/>
    <s v="Økologisk"/>
    <x v="0"/>
    <s v="Halm"/>
    <n v="3560.3355603067766"/>
    <n v="7833.4502997869704"/>
    <n v="3334.8601145295929"/>
    <n v="3334.8601145295929"/>
  </r>
  <r>
    <x v="1"/>
    <x v="2"/>
    <x v="1"/>
    <s v="Økologisk"/>
    <x v="0"/>
    <s v="Halm"/>
    <n v="5861.8126432046447"/>
    <n v="14185.586596555244"/>
    <n v="10864.740774301659"/>
    <n v="10864.740774301659"/>
  </r>
  <r>
    <x v="1"/>
    <x v="3"/>
    <x v="1"/>
    <s v="Økologisk"/>
    <x v="0"/>
    <s v="Græs"/>
    <n v="29299.72645167357"/>
    <n v="1134004.8926949934"/>
    <n v="0"/>
    <n v="1134004.8926949934"/>
  </r>
  <r>
    <x v="1"/>
    <x v="4"/>
    <x v="1"/>
    <s v="Økologisk"/>
    <x v="0"/>
    <s v="Grøntsager"/>
    <n v="598.37458848404606"/>
    <n v="7077.2754452950539"/>
    <n v="0"/>
    <n v="7077.2754452950539"/>
  </r>
  <r>
    <x v="1"/>
    <x v="5"/>
    <x v="1"/>
    <s v="Økologisk"/>
    <x v="0"/>
    <s v="Kartofler"/>
    <n v="2516.8191127498626"/>
    <n v="60928.195768701553"/>
    <n v="0"/>
    <n v="60928.195768701553"/>
  </r>
  <r>
    <x v="1"/>
    <x v="6"/>
    <x v="1"/>
    <s v="Økologisk"/>
    <x v="0"/>
    <s v="Roer"/>
    <n v="1547.8532822600712"/>
    <n v="71688.247210680318"/>
    <n v="0"/>
    <n v="71688.247210680318"/>
  </r>
  <r>
    <x v="1"/>
    <x v="7"/>
    <x v="1"/>
    <s v="Økologisk"/>
    <x v="0"/>
    <s v="Majs"/>
    <n v="7815.7501909395269"/>
    <n v="288739.60402893624"/>
    <n v="0"/>
    <n v="288739.60402893624"/>
  </r>
  <r>
    <x v="1"/>
    <x v="8"/>
    <x v="1"/>
    <s v="Økologisk"/>
    <x v="0"/>
    <s v="Frugt"/>
    <n v="233.34512695057583"/>
    <n v="1129.2270728519215"/>
    <n v="0"/>
    <n v="1129.2270728519215"/>
  </r>
  <r>
    <x v="1"/>
    <x v="9"/>
    <x v="1"/>
    <s v="Økologisk"/>
    <x v="0"/>
    <s v="Øvrige"/>
    <n v="3214.6491117874693"/>
    <n v="54596.596900072604"/>
    <n v="0"/>
    <n v="54596.596900072604"/>
  </r>
  <r>
    <x v="1"/>
    <x v="10"/>
    <x v="1"/>
    <s v="Økologisk"/>
    <x v="0"/>
    <s v="Halm"/>
    <n v="4642.9357474929175"/>
    <n v="37815.089574385107"/>
    <n v="9008.5953721455571"/>
    <n v="9008.5953721455571"/>
  </r>
  <r>
    <x v="1"/>
    <x v="11"/>
    <x v="1"/>
    <s v="Økologisk"/>
    <x v="0"/>
    <s v="Juletræer"/>
    <n v="872.02335992174335"/>
    <n v="24852.665757769686"/>
    <n v="0"/>
    <n v="24852.665757769686"/>
  </r>
  <r>
    <x v="1"/>
    <x v="12"/>
    <x v="1"/>
    <s v="Økologisk"/>
    <x v="0"/>
    <s v="Pil &amp; poppel"/>
    <n v="335.33125404871168"/>
    <n v="4661.9223123845286"/>
    <n v="0"/>
    <n v="4661.9223123845286"/>
  </r>
  <r>
    <x v="1"/>
    <x v="13"/>
    <x v="1"/>
    <s v="Økologisk"/>
    <x v="0"/>
    <s v="Græs"/>
    <n v="8134.4531663514217"/>
    <n v="112174.10916398611"/>
    <n v="0"/>
    <n v="112174.10916398611"/>
  </r>
  <r>
    <x v="1"/>
    <x v="0"/>
    <x v="2"/>
    <s v="Økologisk"/>
    <x v="0"/>
    <s v="Halm"/>
    <n v="83534.118724467509"/>
    <n v="392334.69541320659"/>
    <n v="183632.25418815133"/>
    <n v="183632.25418815133"/>
  </r>
  <r>
    <x v="1"/>
    <x v="1"/>
    <x v="2"/>
    <s v="Økologisk"/>
    <x v="0"/>
    <s v="Halm"/>
    <n v="6420.7834634017008"/>
    <n v="14127.007776176421"/>
    <n v="6014.1563381976594"/>
    <n v="6014.1563381976594"/>
  </r>
  <r>
    <x v="1"/>
    <x v="2"/>
    <x v="2"/>
    <s v="Økologisk"/>
    <x v="0"/>
    <s v="Halm"/>
    <n v="10571.315272823429"/>
    <n v="25582.582960232699"/>
    <n v="19593.700289242224"/>
    <n v="19593.700289242224"/>
  </r>
  <r>
    <x v="1"/>
    <x v="3"/>
    <x v="2"/>
    <s v="Økologisk"/>
    <x v="0"/>
    <s v="Græs"/>
    <n v="52839.738248405163"/>
    <n v="2045088.0932709742"/>
    <n v="0"/>
    <n v="2045088.0932709742"/>
  </r>
  <r>
    <x v="1"/>
    <x v="4"/>
    <x v="2"/>
    <s v="Økologisk"/>
    <x v="0"/>
    <s v="Grøntsager"/>
    <n v="1079.1212225869831"/>
    <n v="12763.306260147541"/>
    <n v="0"/>
    <n v="12763.306260147541"/>
  </r>
  <r>
    <x v="1"/>
    <x v="5"/>
    <x v="2"/>
    <s v="Økologisk"/>
    <x v="0"/>
    <s v="Kartofler"/>
    <n v="4538.8841208341701"/>
    <n v="109879.17998742567"/>
    <n v="0"/>
    <n v="109879.17998742567"/>
  </r>
  <r>
    <x v="1"/>
    <x v="6"/>
    <x v="2"/>
    <s v="Økologisk"/>
    <x v="0"/>
    <s v="Roer"/>
    <n v="2791.4309171608429"/>
    <n v="129284.08134960398"/>
    <n v="0"/>
    <n v="129284.08134960398"/>
  </r>
  <r>
    <x v="1"/>
    <x v="7"/>
    <x v="2"/>
    <s v="Økologisk"/>
    <x v="0"/>
    <s v="Majs"/>
    <n v="14095.087030431241"/>
    <n v="520719.02869133046"/>
    <n v="0"/>
    <n v="520719.02869133046"/>
  </r>
  <r>
    <x v="1"/>
    <x v="8"/>
    <x v="2"/>
    <s v="Økologisk"/>
    <x v="0"/>
    <s v="Frugt"/>
    <n v="420.81947249391567"/>
    <n v="2036.4716732398063"/>
    <n v="0"/>
    <n v="2036.4716732398063"/>
  </r>
  <r>
    <x v="1"/>
    <x v="9"/>
    <x v="2"/>
    <s v="Økologisk"/>
    <x v="0"/>
    <s v="Øvrige"/>
    <n v="5797.3653067199793"/>
    <n v="98460.642429948159"/>
    <n v="0"/>
    <n v="98460.642429948159"/>
  </r>
  <r>
    <x v="1"/>
    <x v="10"/>
    <x v="2"/>
    <s v="Økologisk"/>
    <x v="0"/>
    <s v="Halm"/>
    <n v="8373.167237801159"/>
    <n v="68196.521842830145"/>
    <n v="16246.28892816083"/>
    <n v="16246.28892816083"/>
  </r>
  <r>
    <x v="1"/>
    <x v="11"/>
    <x v="2"/>
    <s v="Økologisk"/>
    <x v="0"/>
    <s v="Juletræer"/>
    <n v="1572.6251287963075"/>
    <n v="44819.816170694765"/>
    <n v="0"/>
    <n v="44819.816170694765"/>
  </r>
  <r>
    <x v="1"/>
    <x v="12"/>
    <x v="2"/>
    <s v="Økologisk"/>
    <x v="0"/>
    <s v="Pil &amp; poppel"/>
    <n v="604.74338283220732"/>
    <n v="8407.4080052282479"/>
    <n v="0"/>
    <n v="8407.4080052282479"/>
  </r>
  <r>
    <x v="1"/>
    <x v="13"/>
    <x v="2"/>
    <s v="Økologisk"/>
    <x v="0"/>
    <s v="Græs"/>
    <n v="14669.842628492142"/>
    <n v="202297.12984690667"/>
    <n v="0"/>
    <n v="202297.12984690667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1126.4838557284104"/>
    <n v="9475.9821943873885"/>
    <n v="4435.2334660830165"/>
    <n v="4435.2334660830165"/>
  </r>
  <r>
    <x v="1"/>
    <x v="1"/>
    <x v="1"/>
    <s v="Konventionel"/>
    <x v="1"/>
    <s v="Halm"/>
    <n v="30.461924122794926"/>
    <n v="141.09963253678609"/>
    <n v="60.069001361316673"/>
    <n v="60.069001361316673"/>
  </r>
  <r>
    <x v="1"/>
    <x v="2"/>
    <x v="1"/>
    <s v="Konventionel"/>
    <x v="1"/>
    <s v="Halm"/>
    <n v="123.04047009083574"/>
    <n v="649.65368207961274"/>
    <n v="497.56975510477537"/>
    <n v="497.56975510477537"/>
  </r>
  <r>
    <x v="1"/>
    <x v="3"/>
    <x v="1"/>
    <s v="Konventionel"/>
    <x v="1"/>
    <s v="Græs"/>
    <n v="361.79053645767038"/>
    <n v="21542.455702835527"/>
    <n v="0"/>
    <n v="21542.455702835527"/>
  </r>
  <r>
    <x v="1"/>
    <x v="4"/>
    <x v="1"/>
    <s v="Konventionel"/>
    <x v="1"/>
    <s v="Grøntsager"/>
    <n v="6.8519209522838782"/>
    <n v="170.61283171186858"/>
    <n v="0"/>
    <n v="170.61283171186858"/>
  </r>
  <r>
    <x v="1"/>
    <x v="5"/>
    <x v="1"/>
    <s v="Konventionel"/>
    <x v="1"/>
    <s v="Kartofler"/>
    <n v="11.648892723175992"/>
    <n v="593.68674215195995"/>
    <n v="0"/>
    <n v="593.68674215195995"/>
  </r>
  <r>
    <x v="1"/>
    <x v="6"/>
    <x v="1"/>
    <s v="Konventionel"/>
    <x v="1"/>
    <s v="Roer"/>
    <n v="32.54455546332138"/>
    <n v="3173.2398795639688"/>
    <n v="0"/>
    <n v="3173.2398795639688"/>
  </r>
  <r>
    <x v="1"/>
    <x v="7"/>
    <x v="1"/>
    <s v="Konventionel"/>
    <x v="1"/>
    <s v="Majs"/>
    <n v="34.697518303532888"/>
    <n v="1853.2638476282989"/>
    <n v="0"/>
    <n v="1853.2638476282989"/>
  </r>
  <r>
    <x v="1"/>
    <x v="8"/>
    <x v="1"/>
    <s v="Konventionel"/>
    <x v="1"/>
    <s v="Frugt"/>
    <n v="7.4849679588782632"/>
    <n v="76.256853565051742"/>
    <n v="0"/>
    <n v="76.256853565051742"/>
  </r>
  <r>
    <x v="1"/>
    <x v="9"/>
    <x v="1"/>
    <s v="Konventionel"/>
    <x v="1"/>
    <s v="Øvrige"/>
    <n v="53.446301523423585"/>
    <n v="1910.979577096105"/>
    <n v="0"/>
    <n v="1910.979577096105"/>
  </r>
  <r>
    <x v="1"/>
    <x v="10"/>
    <x v="1"/>
    <s v="Konventionel"/>
    <x v="1"/>
    <s v="Halm"/>
    <n v="388.01761454292392"/>
    <n v="6653.195599721671"/>
    <n v="1584.9743518849355"/>
    <n v="1584.9743518849355"/>
  </r>
  <r>
    <x v="1"/>
    <x v="11"/>
    <x v="1"/>
    <s v="Konventionel"/>
    <x v="1"/>
    <s v="Juletræer"/>
    <n v="11.728902197331744"/>
    <n v="703.73413183990465"/>
    <n v="0"/>
    <n v="703.73413183990465"/>
  </r>
  <r>
    <x v="1"/>
    <x v="12"/>
    <x v="1"/>
    <s v="Konventionel"/>
    <x v="1"/>
    <s v="Pil &amp; poppel"/>
    <n v="24.893111089262167"/>
    <n v="728.57886114913663"/>
    <n v="0"/>
    <n v="728.57886114913663"/>
  </r>
  <r>
    <x v="1"/>
    <x v="13"/>
    <x v="1"/>
    <s v="Konventionel"/>
    <x v="1"/>
    <s v="Græs"/>
    <n v="2816.6607269230763"/>
    <n v="46610.101709123068"/>
    <n v="0"/>
    <n v="46610.101709123068"/>
  </r>
  <r>
    <x v="1"/>
    <x v="0"/>
    <x v="2"/>
    <s v="Konventionel"/>
    <x v="1"/>
    <s v="Halm"/>
    <n v="873.74069973625251"/>
    <n v="7349.9067661813551"/>
    <n v="3440.1238619111837"/>
    <n v="3440.1238619111837"/>
  </r>
  <r>
    <x v="1"/>
    <x v="1"/>
    <x v="2"/>
    <s v="Konventionel"/>
    <x v="1"/>
    <s v="Halm"/>
    <n v="23.627345179441619"/>
    <n v="109.4418628711736"/>
    <n v="46.591640896581595"/>
    <n v="46.591640896581595"/>
  </r>
  <r>
    <x v="1"/>
    <x v="2"/>
    <x v="2"/>
    <s v="Konventionel"/>
    <x v="1"/>
    <s v="Halm"/>
    <n v="95.434538086237168"/>
    <n v="503.89436109533227"/>
    <n v="385.93269116291503"/>
    <n v="385.93269116291503"/>
  </r>
  <r>
    <x v="1"/>
    <x v="3"/>
    <x v="2"/>
    <s v="Konventionel"/>
    <x v="1"/>
    <s v="Græs"/>
    <n v="280.61752938134595"/>
    <n v="16709.090169482861"/>
    <n v="0"/>
    <n v="16709.090169482861"/>
  </r>
  <r>
    <x v="1"/>
    <x v="4"/>
    <x v="2"/>
    <s v="Konventionel"/>
    <x v="1"/>
    <s v="Grøntsager"/>
    <n v="5.3145921061734178"/>
    <n v="132.33334344371809"/>
    <n v="0"/>
    <n v="132.33334344371809"/>
  </r>
  <r>
    <x v="1"/>
    <x v="5"/>
    <x v="2"/>
    <s v="Konventionel"/>
    <x v="1"/>
    <s v="Kartofler"/>
    <n v="9.0352929847529229"/>
    <n v="460.4844240546775"/>
    <n v="0"/>
    <n v="460.4844240546775"/>
  </r>
  <r>
    <x v="1"/>
    <x v="6"/>
    <x v="2"/>
    <s v="Konventionel"/>
    <x v="1"/>
    <s v="Roer"/>
    <n v="25.242707668225439"/>
    <n v="2461.2770247012409"/>
    <n v="0"/>
    <n v="2461.2770247012409"/>
  </r>
  <r>
    <x v="1"/>
    <x v="7"/>
    <x v="2"/>
    <s v="Konventionel"/>
    <x v="1"/>
    <s v="Majs"/>
    <n v="26.912621754385302"/>
    <n v="1437.4569531452278"/>
    <n v="0"/>
    <n v="1437.4569531452278"/>
  </r>
  <r>
    <x v="1"/>
    <x v="8"/>
    <x v="2"/>
    <s v="Konventionel"/>
    <x v="1"/>
    <s v="Frugt"/>
    <n v="5.8056057427160015"/>
    <n v="59.147511306790626"/>
    <n v="0"/>
    <n v="59.147511306790626"/>
  </r>
  <r>
    <x v="1"/>
    <x v="9"/>
    <x v="2"/>
    <s v="Konventionel"/>
    <x v="1"/>
    <s v="Øvrige"/>
    <n v="41.454840789701976"/>
    <n v="1482.2233131729809"/>
    <n v="0"/>
    <n v="1482.2233131729809"/>
  </r>
  <r>
    <x v="1"/>
    <x v="10"/>
    <x v="2"/>
    <s v="Konventionel"/>
    <x v="1"/>
    <s v="Halm"/>
    <n v="300.96017827215405"/>
    <n v="5160.4536977798425"/>
    <n v="1229.3621362060949"/>
    <n v="1229.3621362060949"/>
  </r>
  <r>
    <x v="1"/>
    <x v="11"/>
    <x v="2"/>
    <s v="Konventionel"/>
    <x v="1"/>
    <s v="Juletræer"/>
    <n v="9.0973511612450952"/>
    <n v="545.84106967470575"/>
    <n v="0"/>
    <n v="545.84106967470575"/>
  </r>
  <r>
    <x v="1"/>
    <x v="12"/>
    <x v="2"/>
    <s v="Konventionel"/>
    <x v="1"/>
    <s v="Pil &amp; poppel"/>
    <n v="19.307976932949529"/>
    <n v="565.11151998876664"/>
    <n v="0"/>
    <n v="565.11151998876664"/>
  </r>
  <r>
    <x v="1"/>
    <x v="13"/>
    <x v="2"/>
    <s v="Konventionel"/>
    <x v="1"/>
    <s v="Græs"/>
    <n v="2184.70162883074"/>
    <n v="36152.442553891087"/>
    <n v="0"/>
    <n v="36152.442553891087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300.81653486287252"/>
    <n v="1695.4140231485439"/>
    <n v="793.53853353467593"/>
    <n v="793.53853353467593"/>
  </r>
  <r>
    <x v="1"/>
    <x v="1"/>
    <x v="1"/>
    <s v="Økologisk"/>
    <x v="1"/>
    <s v="Halm"/>
    <n v="8.1345599524367973"/>
    <n v="21.477190568821726"/>
    <n v="9.1432795842289973"/>
    <n v="9.1432795842289973"/>
  </r>
  <r>
    <x v="1"/>
    <x v="2"/>
    <x v="1"/>
    <s v="Økologisk"/>
    <x v="1"/>
    <s v="Halm"/>
    <n v="32.856758374660338"/>
    <n v="95.416026320013614"/>
    <n v="73.079134558498438"/>
    <n v="73.079134558498438"/>
  </r>
  <r>
    <x v="1"/>
    <x v="3"/>
    <x v="1"/>
    <s v="Økologisk"/>
    <x v="1"/>
    <s v="Græs"/>
    <n v="96.612636719061115"/>
    <n v="4487.1082158238241"/>
    <n v="0"/>
    <n v="4487.1082158238241"/>
  </r>
  <r>
    <x v="1"/>
    <x v="4"/>
    <x v="1"/>
    <s v="Økologisk"/>
    <x v="1"/>
    <s v="Grøntsager"/>
    <n v="1.829738710891289"/>
    <n v="25.969481523680059"/>
    <n v="0"/>
    <n v="25.969481523680059"/>
  </r>
  <r>
    <x v="1"/>
    <x v="5"/>
    <x v="1"/>
    <s v="Økologisk"/>
    <x v="1"/>
    <s v="Kartofler"/>
    <n v="3.1107232706049301"/>
    <n v="90.366807270432318"/>
    <n v="0"/>
    <n v="90.366807270432318"/>
  </r>
  <r>
    <x v="1"/>
    <x v="6"/>
    <x v="1"/>
    <s v="Økologisk"/>
    <x v="1"/>
    <s v="Roer"/>
    <n v="8.6907063544186389"/>
    <n v="483.00818640482476"/>
    <n v="0"/>
    <n v="483.00818640482476"/>
  </r>
  <r>
    <x v="1"/>
    <x v="7"/>
    <x v="1"/>
    <s v="Økologisk"/>
    <x v="1"/>
    <s v="Majs"/>
    <n v="9.2656340979344751"/>
    <n v="410.76372020426726"/>
    <n v="0"/>
    <n v="410.76372020426726"/>
  </r>
  <r>
    <x v="1"/>
    <x v="8"/>
    <x v="1"/>
    <s v="Økologisk"/>
    <x v="1"/>
    <s v="Frugt"/>
    <n v="1.9987877442712656"/>
    <n v="11.607280237022323"/>
    <n v="0"/>
    <n v="11.607280237022323"/>
  </r>
  <r>
    <x v="1"/>
    <x v="9"/>
    <x v="1"/>
    <s v="Økologisk"/>
    <x v="1"/>
    <s v="Øvrige"/>
    <n v="14.27231392953825"/>
    <n v="290.87582874972549"/>
    <n v="0"/>
    <n v="290.87582874972549"/>
  </r>
  <r>
    <x v="1"/>
    <x v="10"/>
    <x v="1"/>
    <s v="Økologisk"/>
    <x v="1"/>
    <s v="Halm"/>
    <n v="103.61632231034942"/>
    <n v="1012.7024941019256"/>
    <n v="241.25361342278967"/>
    <n v="241.25361342278967"/>
  </r>
  <r>
    <x v="1"/>
    <x v="11"/>
    <x v="1"/>
    <s v="Økologisk"/>
    <x v="1"/>
    <s v="Juletræer"/>
    <n v="3.1320890208989458"/>
    <n v="107.11744451474395"/>
    <n v="0"/>
    <n v="107.11744451474395"/>
  </r>
  <r>
    <x v="1"/>
    <x v="12"/>
    <x v="1"/>
    <s v="Økologisk"/>
    <x v="1"/>
    <s v="Pil &amp; poppel"/>
    <n v="6.6474627059668867"/>
    <n v="110.89913392393535"/>
    <n v="0"/>
    <n v="110.89913392393535"/>
  </r>
  <r>
    <x v="1"/>
    <x v="13"/>
    <x v="1"/>
    <s v="Økologisk"/>
    <x v="1"/>
    <s v="Græs"/>
    <n v="752.16179570497002"/>
    <n v="12446.773395325843"/>
    <n v="0"/>
    <n v="12446.773395325843"/>
  </r>
  <r>
    <x v="1"/>
    <x v="0"/>
    <x v="2"/>
    <s v="Økologisk"/>
    <x v="1"/>
    <s v="Halm"/>
    <n v="553.55969085503034"/>
    <n v="3119.8845600465852"/>
    <n v="1460.2619683298042"/>
    <n v="1460.2619683298042"/>
  </r>
  <r>
    <x v="1"/>
    <x v="1"/>
    <x v="2"/>
    <s v="Økologisk"/>
    <x v="1"/>
    <s v="Halm"/>
    <n v="14.969138895790099"/>
    <n v="39.522119278220849"/>
    <n v="16.825375049127985"/>
    <n v="16.825375049127985"/>
  </r>
  <r>
    <x v="1"/>
    <x v="2"/>
    <x v="2"/>
    <s v="Økologisk"/>
    <x v="1"/>
    <s v="Halm"/>
    <n v="60.462690379258909"/>
    <n v="175.58365286136791"/>
    <n v="134.47951972652166"/>
    <n v="134.47951972652166"/>
  </r>
  <r>
    <x v="1"/>
    <x v="3"/>
    <x v="2"/>
    <s v="Økologisk"/>
    <x v="1"/>
    <s v="Græs"/>
    <n v="177.78564379538551"/>
    <n v="8257.1333318389006"/>
    <n v="0"/>
    <n v="8257.1333318389006"/>
  </r>
  <r>
    <x v="1"/>
    <x v="4"/>
    <x v="2"/>
    <s v="Økologisk"/>
    <x v="1"/>
    <s v="Grøntsager"/>
    <n v="3.3670675570017488"/>
    <n v="47.788789836525815"/>
    <n v="0"/>
    <n v="47.788789836525815"/>
  </r>
  <r>
    <x v="1"/>
    <x v="5"/>
    <x v="2"/>
    <s v="Økologisk"/>
    <x v="1"/>
    <s v="Kartofler"/>
    <n v="5.7243230090279971"/>
    <n v="166.29212858588321"/>
    <n v="0"/>
    <n v="166.29212858588321"/>
  </r>
  <r>
    <x v="1"/>
    <x v="6"/>
    <x v="2"/>
    <s v="Økologisk"/>
    <x v="1"/>
    <s v="Roer"/>
    <n v="15.99255414951458"/>
    <n v="888.82701367657955"/>
    <n v="0"/>
    <n v="888.82701367657955"/>
  </r>
  <r>
    <x v="1"/>
    <x v="7"/>
    <x v="2"/>
    <s v="Økologisk"/>
    <x v="1"/>
    <s v="Majs"/>
    <n v="17.050530647082052"/>
    <n v="755.88344262521559"/>
    <n v="0"/>
    <n v="755.88344262521559"/>
  </r>
  <r>
    <x v="1"/>
    <x v="8"/>
    <x v="2"/>
    <s v="Økologisk"/>
    <x v="1"/>
    <s v="Frugt"/>
    <n v="3.6781499604335264"/>
    <n v="21.359605324231158"/>
    <n v="0"/>
    <n v="21.359605324231158"/>
  </r>
  <r>
    <x v="1"/>
    <x v="9"/>
    <x v="2"/>
    <s v="Økologisk"/>
    <x v="1"/>
    <s v="Øvrige"/>
    <n v="26.263774663259856"/>
    <n v="535.26689918590614"/>
    <n v="0"/>
    <n v="535.26689918590614"/>
  </r>
  <r>
    <x v="1"/>
    <x v="10"/>
    <x v="2"/>
    <s v="Økologisk"/>
    <x v="1"/>
    <s v="Halm"/>
    <n v="190.67375858111924"/>
    <n v="1863.5653782087682"/>
    <n v="443.95257635972888"/>
    <n v="443.95257635972888"/>
  </r>
  <r>
    <x v="1"/>
    <x v="11"/>
    <x v="2"/>
    <s v="Økologisk"/>
    <x v="1"/>
    <s v="Juletræer"/>
    <n v="5.7636400569855928"/>
    <n v="197.11648994890729"/>
    <n v="0"/>
    <n v="197.11648994890729"/>
  </r>
  <r>
    <x v="1"/>
    <x v="12"/>
    <x v="2"/>
    <s v="Økologisk"/>
    <x v="1"/>
    <s v="Pil &amp; poppel"/>
    <n v="12.232596862279523"/>
    <n v="204.07551838534619"/>
    <n v="0"/>
    <n v="204.07551838534619"/>
  </r>
  <r>
    <x v="1"/>
    <x v="13"/>
    <x v="2"/>
    <s v="Økologisk"/>
    <x v="1"/>
    <s v="Græs"/>
    <n v="1384.1208937973061"/>
    <n v="22904.432550557824"/>
    <n v="0"/>
    <n v="22904.43255055782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587.26602521673703"/>
    <n v="5763.4287714770562"/>
    <n v="2697.5728364898368"/>
    <n v="2697.5728364898368"/>
  </r>
  <r>
    <x v="1"/>
    <x v="1"/>
    <x v="1"/>
    <s v="Konventionel"/>
    <x v="2"/>
    <s v="Halm"/>
    <n v="10.666687584667464"/>
    <n v="57.642779707542985"/>
    <n v="24.539711057147905"/>
    <n v="24.539711057147905"/>
  </r>
  <r>
    <x v="1"/>
    <x v="2"/>
    <x v="1"/>
    <s v="Konventionel"/>
    <x v="2"/>
    <s v="Halm"/>
    <n v="52.104272938996409"/>
    <n v="320.96232130421788"/>
    <n v="245.82504188690046"/>
    <n v="245.82504188690046"/>
  </r>
  <r>
    <x v="1"/>
    <x v="3"/>
    <x v="1"/>
    <s v="Konventionel"/>
    <x v="2"/>
    <s v="Græs"/>
    <n v="382.89272400478433"/>
    <n v="26598.791751164357"/>
    <n v="0"/>
    <n v="26598.791751164357"/>
  </r>
  <r>
    <x v="1"/>
    <x v="4"/>
    <x v="1"/>
    <s v="Konventionel"/>
    <x v="2"/>
    <s v="Grøntsager"/>
    <n v="1.802122478057212"/>
    <n v="52.351657987562"/>
    <n v="0"/>
    <n v="52.351657987562"/>
  </r>
  <r>
    <x v="1"/>
    <x v="5"/>
    <x v="1"/>
    <s v="Konventionel"/>
    <x v="2"/>
    <s v="Kartofler"/>
    <n v="10.271883145707676"/>
    <n v="610.75856304144816"/>
    <n v="0"/>
    <n v="610.75856304144816"/>
  </r>
  <r>
    <x v="1"/>
    <x v="6"/>
    <x v="1"/>
    <s v="Konventionel"/>
    <x v="2"/>
    <s v="Roer"/>
    <n v="11.828952694346428"/>
    <n v="1345.6051620183689"/>
    <n v="0"/>
    <n v="1345.6051620183689"/>
  </r>
  <r>
    <x v="1"/>
    <x v="7"/>
    <x v="1"/>
    <s v="Konventionel"/>
    <x v="2"/>
    <s v="Majs"/>
    <n v="12.149842741880887"/>
    <n v="757.10530061756572"/>
    <n v="0"/>
    <n v="757.10530061756572"/>
  </r>
  <r>
    <x v="1"/>
    <x v="8"/>
    <x v="1"/>
    <s v="Konventionel"/>
    <x v="2"/>
    <s v="Frugt"/>
    <n v="4.4088799236249283"/>
    <n v="52.403946772205906"/>
    <n v="0"/>
    <n v="52.403946772205906"/>
  </r>
  <r>
    <x v="1"/>
    <x v="9"/>
    <x v="1"/>
    <s v="Konventionel"/>
    <x v="2"/>
    <s v="Øvrige"/>
    <n v="31.481541013028018"/>
    <n v="1313.2311046047662"/>
    <n v="0"/>
    <n v="1313.2311046047662"/>
  </r>
  <r>
    <x v="1"/>
    <x v="10"/>
    <x v="1"/>
    <s v="Konventionel"/>
    <x v="2"/>
    <s v="Halm"/>
    <n v="294.60984940461088"/>
    <n v="5893.4947631250379"/>
    <n v="1403.9926983226135"/>
    <n v="1403.9926983226135"/>
  </r>
  <r>
    <x v="1"/>
    <x v="11"/>
    <x v="1"/>
    <s v="Konventionel"/>
    <x v="2"/>
    <s v="Juletræer"/>
    <n v="6.9086897509880529"/>
    <n v="483.60828256916369"/>
    <n v="0"/>
    <n v="483.60828256916369"/>
  </r>
  <r>
    <x v="1"/>
    <x v="12"/>
    <x v="1"/>
    <s v="Konventionel"/>
    <x v="2"/>
    <s v="Pil &amp; poppel"/>
    <n v="21.074400235336469"/>
    <n v="719.61366657246481"/>
    <n v="0"/>
    <n v="719.61366657246481"/>
  </r>
  <r>
    <x v="1"/>
    <x v="13"/>
    <x v="1"/>
    <s v="Konventionel"/>
    <x v="2"/>
    <s v="Græs"/>
    <n v="1892.2222012690149"/>
    <n v="36531.2418176996"/>
    <n v="0"/>
    <n v="36531.2418176996"/>
  </r>
  <r>
    <x v="1"/>
    <x v="0"/>
    <x v="2"/>
    <s v="Konventionel"/>
    <x v="2"/>
    <s v="Halm"/>
    <n v="455.50428902720978"/>
    <n v="4470.3190925130357"/>
    <n v="2092.3328512507264"/>
    <n v="2092.3328512507264"/>
  </r>
  <r>
    <x v="1"/>
    <x v="1"/>
    <x v="2"/>
    <s v="Konventionel"/>
    <x v="2"/>
    <s v="Halm"/>
    <n v="8.2734599583487807"/>
    <n v="44.709777614916817"/>
    <n v="19.033867375341472"/>
    <n v="19.033867375341472"/>
  </r>
  <r>
    <x v="1"/>
    <x v="2"/>
    <x v="2"/>
    <s v="Konventionel"/>
    <x v="2"/>
    <s v="Halm"/>
    <n v="40.413915978875252"/>
    <n v="248.94972242987157"/>
    <n v="190.67059240903859"/>
    <n v="190.67059240903859"/>
  </r>
  <r>
    <x v="1"/>
    <x v="3"/>
    <x v="2"/>
    <s v="Konventionel"/>
    <x v="2"/>
    <s v="Græs"/>
    <n v="296.98513200576059"/>
    <n v="20630.963150176176"/>
    <n v="0"/>
    <n v="20630.963150176176"/>
  </r>
  <r>
    <x v="1"/>
    <x v="4"/>
    <x v="2"/>
    <s v="Konventionel"/>
    <x v="2"/>
    <s v="Grøntsager"/>
    <n v="1.3977898990571622"/>
    <n v="40.605796567610568"/>
    <n v="0"/>
    <n v="40.605796567610568"/>
  </r>
  <r>
    <x v="1"/>
    <x v="5"/>
    <x v="2"/>
    <s v="Konventionel"/>
    <x v="2"/>
    <s v="Kartofler"/>
    <n v="7.9672356791444887"/>
    <n v="473.72593182587264"/>
    <n v="0"/>
    <n v="473.72593182587264"/>
  </r>
  <r>
    <x v="1"/>
    <x v="6"/>
    <x v="2"/>
    <s v="Konventionel"/>
    <x v="2"/>
    <s v="Roer"/>
    <n v="9.1749538635173309"/>
    <n v="1043.6989308385623"/>
    <n v="0"/>
    <n v="1043.6989308385623"/>
  </r>
  <r>
    <x v="1"/>
    <x v="7"/>
    <x v="2"/>
    <s v="Konventionel"/>
    <x v="2"/>
    <s v="Majs"/>
    <n v="9.4238475278564966"/>
    <n v="587.23763485084976"/>
    <n v="0"/>
    <n v="587.23763485084976"/>
  </r>
  <r>
    <x v="1"/>
    <x v="8"/>
    <x v="2"/>
    <s v="Konventionel"/>
    <x v="2"/>
    <s v="Frugt"/>
    <n v="3.4196831227822861"/>
    <n v="40.646353597390259"/>
    <n v="0"/>
    <n v="40.646353597390259"/>
  </r>
  <r>
    <x v="1"/>
    <x v="9"/>
    <x v="2"/>
    <s v="Konventionel"/>
    <x v="2"/>
    <s v="Øvrige"/>
    <n v="24.41819608298972"/>
    <n v="1018.5884674848089"/>
    <n v="0"/>
    <n v="1018.5884674848089"/>
  </r>
  <r>
    <x v="1"/>
    <x v="10"/>
    <x v="2"/>
    <s v="Konventionel"/>
    <x v="2"/>
    <s v="Halm"/>
    <n v="228.50981366397639"/>
    <n v="4571.2028734713631"/>
    <n v="1088.9863679970456"/>
    <n v="1088.9863679970456"/>
  </r>
  <r>
    <x v="1"/>
    <x v="11"/>
    <x v="2"/>
    <s v="Konventionel"/>
    <x v="2"/>
    <s v="Juletræer"/>
    <n v="5.3586239932268711"/>
    <n v="375.10367952588098"/>
    <n v="0"/>
    <n v="375.10367952588098"/>
  </r>
  <r>
    <x v="1"/>
    <x v="12"/>
    <x v="2"/>
    <s v="Konventionel"/>
    <x v="2"/>
    <s v="Pil &amp; poppel"/>
    <n v="16.346049803117772"/>
    <n v="558.15779815524104"/>
    <n v="0"/>
    <n v="558.15779815524104"/>
  </r>
  <r>
    <x v="1"/>
    <x v="13"/>
    <x v="2"/>
    <s v="Konventionel"/>
    <x v="2"/>
    <s v="Græs"/>
    <n v="1467.6744294077714"/>
    <n v="28334.922534146433"/>
    <n v="0"/>
    <n v="28334.922534146433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156.82366848849261"/>
    <n v="1031.1752133058644"/>
    <n v="482.64155858780981"/>
    <n v="482.64155858780981"/>
  </r>
  <r>
    <x v="1"/>
    <x v="1"/>
    <x v="1"/>
    <s v="Økologisk"/>
    <x v="2"/>
    <s v="Halm"/>
    <n v="2.8484349610227309"/>
    <n v="8.7739772417390949"/>
    <n v="3.7352616828451453"/>
    <n v="3.7352616828451453"/>
  </r>
  <r>
    <x v="1"/>
    <x v="2"/>
    <x v="1"/>
    <s v="Økologisk"/>
    <x v="2"/>
    <s v="Halm"/>
    <n v="13.913938275594001"/>
    <n v="47.140422877712474"/>
    <n v="36.104849882039986"/>
    <n v="36.104849882039986"/>
  </r>
  <r>
    <x v="1"/>
    <x v="3"/>
    <x v="1"/>
    <s v="Økologisk"/>
    <x v="2"/>
    <s v="Græs"/>
    <n v="102.24777023976709"/>
    <n v="5540.2995203525898"/>
    <n v="0"/>
    <n v="5540.2995203525898"/>
  </r>
  <r>
    <x v="1"/>
    <x v="4"/>
    <x v="1"/>
    <s v="Økologisk"/>
    <x v="2"/>
    <s v="Grøntsager"/>
    <n v="0.48123924412314273"/>
    <n v="7.9686000238130594"/>
    <n v="0"/>
    <n v="7.9686000238130594"/>
  </r>
  <r>
    <x v="1"/>
    <x v="5"/>
    <x v="1"/>
    <s v="Økologisk"/>
    <x v="2"/>
    <s v="Kartofler"/>
    <n v="2.7430062833968374"/>
    <n v="92.965359399933732"/>
    <n v="0"/>
    <n v="92.965359399933732"/>
  </r>
  <r>
    <x v="1"/>
    <x v="6"/>
    <x v="1"/>
    <s v="Økologisk"/>
    <x v="2"/>
    <s v="Roer"/>
    <n v="3.1588065310258933"/>
    <n v="204.81852415543517"/>
    <n v="0"/>
    <n v="204.81852415543517"/>
  </r>
  <r>
    <x v="1"/>
    <x v="7"/>
    <x v="1"/>
    <s v="Økologisk"/>
    <x v="2"/>
    <s v="Majs"/>
    <n v="3.2444970907977244"/>
    <n v="167.8074011242546"/>
    <n v="0"/>
    <n v="167.8074011242546"/>
  </r>
  <r>
    <x v="1"/>
    <x v="8"/>
    <x v="1"/>
    <s v="Økologisk"/>
    <x v="2"/>
    <s v="Frugt"/>
    <n v="1.1773484142777566"/>
    <n v="7.9765590537000861"/>
    <n v="0"/>
    <n v="7.9765590537000861"/>
  </r>
  <r>
    <x v="1"/>
    <x v="9"/>
    <x v="1"/>
    <s v="Økologisk"/>
    <x v="2"/>
    <s v="Øvrige"/>
    <n v="8.4068387056988634"/>
    <n v="199.89077354363502"/>
    <n v="0"/>
    <n v="199.89077354363502"/>
  </r>
  <r>
    <x v="1"/>
    <x v="10"/>
    <x v="1"/>
    <s v="Økologisk"/>
    <x v="2"/>
    <s v="Halm"/>
    <n v="78.672688990346657"/>
    <n v="897.06619264929509"/>
    <n v="213.70586299186573"/>
    <n v="213.70586299186573"/>
  </r>
  <r>
    <x v="1"/>
    <x v="11"/>
    <x v="1"/>
    <s v="Økologisk"/>
    <x v="2"/>
    <s v="Juletræer"/>
    <n v="1.8448982653116008"/>
    <n v="73.611440785932857"/>
    <n v="0"/>
    <n v="73.611440785932857"/>
  </r>
  <r>
    <x v="1"/>
    <x v="12"/>
    <x v="1"/>
    <s v="Økologisk"/>
    <x v="2"/>
    <s v="Pil &amp; poppel"/>
    <n v="5.6277131899133499"/>
    <n v="109.53451525733789"/>
    <n v="0"/>
    <n v="109.53451525733789"/>
  </r>
  <r>
    <x v="1"/>
    <x v="13"/>
    <x v="1"/>
    <s v="Økologisk"/>
    <x v="2"/>
    <s v="Græs"/>
    <n v="505.29949708713463"/>
    <n v="9755.3120907642206"/>
    <n v="0"/>
    <n v="9755.3120907642206"/>
  </r>
  <r>
    <x v="1"/>
    <x v="0"/>
    <x v="2"/>
    <s v="Økologisk"/>
    <x v="2"/>
    <s v="Halm"/>
    <n v="288.58540467801987"/>
    <n v="1897.5586982117582"/>
    <n v="888.15234869801338"/>
    <n v="888.15234869801338"/>
  </r>
  <r>
    <x v="1"/>
    <x v="1"/>
    <x v="2"/>
    <s v="Økologisk"/>
    <x v="2"/>
    <s v="Halm"/>
    <n v="5.2416625873414144"/>
    <n v="16.145788434536012"/>
    <n v="6.8735925814748091"/>
    <n v="6.8735925814748091"/>
  </r>
  <r>
    <x v="1"/>
    <x v="2"/>
    <x v="2"/>
    <s v="Økologisk"/>
    <x v="2"/>
    <s v="Halm"/>
    <n v="25.604295235715156"/>
    <n v="86.747352258602959"/>
    <n v="66.439797094863991"/>
    <n v="66.439797094863991"/>
  </r>
  <r>
    <x v="1"/>
    <x v="3"/>
    <x v="2"/>
    <s v="Økologisk"/>
    <x v="2"/>
    <s v="Græs"/>
    <n v="188.15536223879087"/>
    <n v="10195.205829123373"/>
    <n v="0"/>
    <n v="10195.205829123373"/>
  </r>
  <r>
    <x v="1"/>
    <x v="4"/>
    <x v="2"/>
    <s v="Økologisk"/>
    <x v="2"/>
    <s v="Grøntsager"/>
    <n v="0.88557182312319216"/>
    <n v="14.663741033185378"/>
    <n v="0"/>
    <n v="14.663741033185378"/>
  </r>
  <r>
    <x v="1"/>
    <x v="5"/>
    <x v="2"/>
    <s v="Økologisk"/>
    <x v="2"/>
    <s v="Kartofler"/>
    <n v="5.0476537499600242"/>
    <n v="171.07395919281177"/>
    <n v="0"/>
    <n v="171.07395919281177"/>
  </r>
  <r>
    <x v="1"/>
    <x v="6"/>
    <x v="2"/>
    <s v="Økologisk"/>
    <x v="2"/>
    <s v="Roer"/>
    <n v="5.8128053618549904"/>
    <n v="376.90507592792494"/>
    <n v="0"/>
    <n v="376.90507592792494"/>
  </r>
  <r>
    <x v="1"/>
    <x v="7"/>
    <x v="2"/>
    <s v="Økologisk"/>
    <x v="2"/>
    <s v="Majs"/>
    <n v="5.9704923048221143"/>
    <n v="308.79756371062871"/>
    <n v="0"/>
    <n v="308.79756371062871"/>
  </r>
  <r>
    <x v="1"/>
    <x v="8"/>
    <x v="2"/>
    <s v="Økologisk"/>
    <x v="2"/>
    <s v="Frugt"/>
    <n v="2.166545215120399"/>
    <n v="14.678387163345002"/>
    <n v="0"/>
    <n v="14.678387163345002"/>
  </r>
  <r>
    <x v="1"/>
    <x v="9"/>
    <x v="2"/>
    <s v="Økologisk"/>
    <x v="2"/>
    <s v="Øvrige"/>
    <n v="15.470183635737154"/>
    <n v="367.83707670201056"/>
    <n v="0"/>
    <n v="367.83707670201056"/>
  </r>
  <r>
    <x v="1"/>
    <x v="10"/>
    <x v="2"/>
    <s v="Økologisk"/>
    <x v="2"/>
    <s v="Halm"/>
    <n v="144.77272473098117"/>
    <n v="1650.7725697518895"/>
    <n v="393.25947127743933"/>
    <n v="393.25947127743933"/>
  </r>
  <r>
    <x v="1"/>
    <x v="11"/>
    <x v="2"/>
    <s v="Økologisk"/>
    <x v="2"/>
    <s v="Juletræer"/>
    <n v="3.3949640230727818"/>
    <n v="135.45906452060399"/>
    <n v="0"/>
    <n v="135.45906452060399"/>
  </r>
  <r>
    <x v="1"/>
    <x v="12"/>
    <x v="2"/>
    <s v="Økologisk"/>
    <x v="2"/>
    <s v="Pil &amp; poppel"/>
    <n v="10.356063622132048"/>
    <n v="201.56436025515546"/>
    <n v="0"/>
    <n v="201.56436025515546"/>
  </r>
  <r>
    <x v="1"/>
    <x v="13"/>
    <x v="2"/>
    <s v="Økologisk"/>
    <x v="2"/>
    <s v="Græs"/>
    <n v="929.84726894837797"/>
    <n v="17951.631374317385"/>
    <n v="0"/>
    <n v="17951.631374317385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159420.7570548151"/>
  </r>
  <r>
    <x v="1"/>
    <x v="0"/>
    <x v="1"/>
    <n v="213337.88029141159"/>
  </r>
  <r>
    <x v="2"/>
    <x v="0"/>
    <x v="1"/>
    <n v="395390.17485052859"/>
  </r>
  <r>
    <x v="3"/>
    <x v="0"/>
    <x v="1"/>
    <n v="27095725.89284119"/>
  </r>
  <r>
    <x v="4"/>
    <x v="0"/>
    <x v="1"/>
    <n v="208752.59567778328"/>
  </r>
  <r>
    <x v="5"/>
    <x v="0"/>
    <x v="1"/>
    <n v="1678516.8822786708"/>
  </r>
  <r>
    <x v="6"/>
    <x v="0"/>
    <x v="1"/>
    <n v="1905404.856436112"/>
  </r>
  <r>
    <x v="7"/>
    <x v="0"/>
    <x v="1"/>
    <n v="5743822.9759319266"/>
  </r>
  <r>
    <x v="8"/>
    <x v="0"/>
    <x v="1"/>
    <n v="30569.09248387249"/>
  </r>
  <r>
    <x v="9"/>
    <x v="0"/>
    <x v="1"/>
    <n v="1486066.0976233429"/>
  </r>
  <r>
    <x v="10"/>
    <x v="0"/>
    <x v="1"/>
    <n v="1052106.88659479"/>
  </r>
  <r>
    <x v="11"/>
    <x v="0"/>
    <x v="1"/>
    <n v="677222.38479268458"/>
  </r>
  <r>
    <x v="12"/>
    <x v="0"/>
    <x v="1"/>
    <n v="140082.86866845257"/>
  </r>
  <r>
    <x v="0"/>
    <x v="0"/>
    <x v="2"/>
    <n v="4900795.1054666163"/>
  </r>
  <r>
    <x v="1"/>
    <x v="0"/>
    <x v="2"/>
    <n v="198114.08883444962"/>
  </r>
  <r>
    <x v="2"/>
    <x v="0"/>
    <x v="2"/>
    <n v="365281.50726983073"/>
  </r>
  <r>
    <x v="3"/>
    <x v="0"/>
    <x v="2"/>
    <n v="26548852.942320853"/>
  </r>
  <r>
    <x v="4"/>
    <x v="0"/>
    <x v="2"/>
    <n v="192327.0774028138"/>
  </r>
  <r>
    <x v="5"/>
    <x v="0"/>
    <x v="2"/>
    <n v="1559779.6153129078"/>
  </r>
  <r>
    <x v="6"/>
    <x v="0"/>
    <x v="2"/>
    <n v="1766884.9195914473"/>
  </r>
  <r>
    <x v="7"/>
    <x v="0"/>
    <x v="2"/>
    <n v="5640663.1541694049"/>
  </r>
  <r>
    <x v="8"/>
    <x v="0"/>
    <x v="2"/>
    <n v="28377.663005470582"/>
  </r>
  <r>
    <x v="9"/>
    <x v="0"/>
    <x v="2"/>
    <n v="1379975.3828292931"/>
  </r>
  <r>
    <x v="10"/>
    <x v="0"/>
    <x v="2"/>
    <n v="978236.2422912115"/>
  </r>
  <r>
    <x v="11"/>
    <x v="0"/>
    <x v="2"/>
    <n v="628916.4005833331"/>
  </r>
  <r>
    <x v="12"/>
    <x v="0"/>
    <x v="2"/>
    <n v="130798.88136292373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555948.945503107"/>
  </r>
  <r>
    <x v="1"/>
    <x v="1"/>
    <x v="1"/>
    <n v="63812.089455455738"/>
  </r>
  <r>
    <x v="2"/>
    <x v="1"/>
    <x v="1"/>
    <n v="119938.95898177236"/>
  </r>
  <r>
    <x v="3"/>
    <x v="1"/>
    <x v="1"/>
    <n v="7797808.2646085992"/>
  </r>
  <r>
    <x v="4"/>
    <x v="1"/>
    <x v="1"/>
    <n v="63693.311018631553"/>
  </r>
  <r>
    <x v="5"/>
    <x v="1"/>
    <x v="1"/>
    <n v="495905.68810885074"/>
  </r>
  <r>
    <x v="6"/>
    <x v="1"/>
    <x v="1"/>
    <n v="587314.83163842501"/>
  </r>
  <r>
    <x v="7"/>
    <x v="1"/>
    <x v="1"/>
    <n v="1709464.6903672938"/>
  </r>
  <r>
    <x v="8"/>
    <x v="1"/>
    <x v="1"/>
    <n v="9322.3305837736352"/>
  </r>
  <r>
    <x v="9"/>
    <x v="1"/>
    <x v="1"/>
    <n v="447021.00940158637"/>
  </r>
  <r>
    <x v="10"/>
    <x v="1"/>
    <x v="1"/>
    <n v="322357.88952697685"/>
  </r>
  <r>
    <x v="11"/>
    <x v="1"/>
    <x v="1"/>
    <n v="203140.11473090298"/>
  </r>
  <r>
    <x v="12"/>
    <x v="1"/>
    <x v="1"/>
    <n v="39619.171284232172"/>
  </r>
  <r>
    <x v="0"/>
    <x v="1"/>
    <x v="2"/>
    <n v="1533461.5685547295"/>
  </r>
  <r>
    <x v="1"/>
    <x v="1"/>
    <x v="2"/>
    <n v="61474.791050873988"/>
  </r>
  <r>
    <x v="2"/>
    <x v="1"/>
    <x v="2"/>
    <n v="115017.58907939846"/>
  </r>
  <r>
    <x v="3"/>
    <x v="1"/>
    <x v="2"/>
    <n v="7896195.2687320514"/>
  </r>
  <r>
    <x v="4"/>
    <x v="1"/>
    <x v="2"/>
    <n v="60945.756189628817"/>
  </r>
  <r>
    <x v="5"/>
    <x v="1"/>
    <x v="2"/>
    <n v="477733.48917643895"/>
  </r>
  <r>
    <x v="6"/>
    <x v="1"/>
    <x v="2"/>
    <n v="565868.01262208389"/>
  </r>
  <r>
    <x v="7"/>
    <x v="1"/>
    <x v="2"/>
    <n v="1741163.5278240088"/>
  </r>
  <r>
    <x v="8"/>
    <x v="1"/>
    <x v="2"/>
    <n v="8983.290705592015"/>
  </r>
  <r>
    <x v="9"/>
    <x v="1"/>
    <x v="2"/>
    <n v="430692.0417893788"/>
  </r>
  <r>
    <x v="10"/>
    <x v="1"/>
    <x v="2"/>
    <n v="310830.63731938269"/>
  </r>
  <r>
    <x v="11"/>
    <x v="1"/>
    <x v="2"/>
    <n v="195712.98876309939"/>
  </r>
  <r>
    <x v="12"/>
    <x v="1"/>
    <x v="2"/>
    <n v="38200.14567474136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784185.849197506"/>
  </r>
  <r>
    <x v="0"/>
    <x v="2"/>
    <x v="1"/>
    <s v="JB1-10"/>
    <n v="490276.74059587362"/>
  </r>
  <r>
    <x v="0"/>
    <x v="3"/>
    <x v="1"/>
    <s v="JB1-10"/>
    <n v="296519.72330078861"/>
  </r>
  <r>
    <x v="0"/>
    <x v="4"/>
    <x v="1"/>
    <s v="JB1-10"/>
    <n v="46640"/>
  </r>
  <r>
    <x v="0"/>
    <x v="0"/>
    <x v="1"/>
    <s v="OC6"/>
    <n v="0"/>
  </r>
  <r>
    <x v="0"/>
    <x v="1"/>
    <x v="1"/>
    <s v="OC6"/>
    <n v="59129.102638164186"/>
  </r>
  <r>
    <x v="0"/>
    <x v="2"/>
    <x v="1"/>
    <s v="OC6"/>
    <n v="0"/>
  </r>
  <r>
    <x v="0"/>
    <x v="3"/>
    <x v="1"/>
    <s v="OC6"/>
    <n v="87109.403474360603"/>
  </r>
  <r>
    <x v="0"/>
    <x v="4"/>
    <x v="1"/>
    <s v="OC6"/>
    <n v="0"/>
  </r>
  <r>
    <x v="0"/>
    <x v="0"/>
    <x v="1"/>
    <s v="OC12"/>
    <n v="0"/>
  </r>
  <r>
    <x v="0"/>
    <x v="1"/>
    <x v="1"/>
    <s v="OC12"/>
    <n v="39025.821581831304"/>
  </r>
  <r>
    <x v="0"/>
    <x v="2"/>
    <x v="1"/>
    <s v="OC12"/>
    <n v="0"/>
  </r>
  <r>
    <x v="0"/>
    <x v="3"/>
    <x v="1"/>
    <s v="OC12"/>
    <n v="77423.359211475472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683082.6844777358"/>
  </r>
  <r>
    <x v="0"/>
    <x v="2"/>
    <x v="2"/>
    <s v="JB1-10"/>
    <n v="591379.90531564387"/>
  </r>
  <r>
    <x v="0"/>
    <x v="3"/>
    <x v="2"/>
    <s v="JB1-10"/>
    <n v="296519.72330078861"/>
  </r>
  <r>
    <x v="0"/>
    <x v="4"/>
    <x v="2"/>
    <s v="JB1-10"/>
    <n v="46640"/>
  </r>
  <r>
    <x v="0"/>
    <x v="0"/>
    <x v="2"/>
    <s v="OC6"/>
    <n v="0"/>
  </r>
  <r>
    <x v="0"/>
    <x v="1"/>
    <x v="2"/>
    <s v="OC6"/>
    <n v="59129.102638164186"/>
  </r>
  <r>
    <x v="0"/>
    <x v="2"/>
    <x v="2"/>
    <s v="OC6"/>
    <n v="0"/>
  </r>
  <r>
    <x v="0"/>
    <x v="3"/>
    <x v="2"/>
    <s v="OC6"/>
    <n v="87109.403474360603"/>
  </r>
  <r>
    <x v="0"/>
    <x v="4"/>
    <x v="2"/>
    <s v="OC6"/>
    <n v="0"/>
  </r>
  <r>
    <x v="0"/>
    <x v="0"/>
    <x v="2"/>
    <s v="OC12"/>
    <n v="0"/>
  </r>
  <r>
    <x v="0"/>
    <x v="1"/>
    <x v="2"/>
    <s v="OC12"/>
    <n v="39025.821581831304"/>
  </r>
  <r>
    <x v="0"/>
    <x v="2"/>
    <x v="2"/>
    <s v="OC12"/>
    <n v="0"/>
  </r>
  <r>
    <x v="0"/>
    <x v="3"/>
    <x v="2"/>
    <s v="OC12"/>
    <n v="77423.359211475472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45350.15080249379"/>
  </r>
  <r>
    <x v="1"/>
    <x v="2"/>
    <x v="1"/>
    <s v="JB1-10"/>
    <n v="133223.25940412635"/>
  </r>
  <r>
    <x v="1"/>
    <x v="3"/>
    <x v="1"/>
    <s v="JB1-10"/>
    <n v="72634.276699211434"/>
  </r>
  <r>
    <x v="1"/>
    <x v="4"/>
    <x v="1"/>
    <s v="JB1-10"/>
    <n v="19220"/>
  </r>
  <r>
    <x v="1"/>
    <x v="0"/>
    <x v="1"/>
    <s v="OC6"/>
    <n v="0"/>
  </r>
  <r>
    <x v="1"/>
    <x v="1"/>
    <x v="1"/>
    <s v="OC6"/>
    <n v="6372.8973618357959"/>
  </r>
  <r>
    <x v="1"/>
    <x v="2"/>
    <x v="1"/>
    <s v="OC6"/>
    <n v="0"/>
  </r>
  <r>
    <x v="1"/>
    <x v="3"/>
    <x v="1"/>
    <s v="OC6"/>
    <n v="9388.5965256393793"/>
  </r>
  <r>
    <x v="1"/>
    <x v="4"/>
    <x v="1"/>
    <s v="OC6"/>
    <n v="0"/>
  </r>
  <r>
    <x v="1"/>
    <x v="0"/>
    <x v="1"/>
    <s v="OC12"/>
    <n v="0"/>
  </r>
  <r>
    <x v="1"/>
    <x v="1"/>
    <x v="1"/>
    <s v="OC12"/>
    <n v="4206.1784181686835"/>
  </r>
  <r>
    <x v="1"/>
    <x v="2"/>
    <x v="1"/>
    <s v="OC12"/>
    <n v="0"/>
  </r>
  <r>
    <x v="1"/>
    <x v="3"/>
    <x v="1"/>
    <s v="OC12"/>
    <n v="8344.6407885245098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34453.31552226411"/>
  </r>
  <r>
    <x v="1"/>
    <x v="2"/>
    <x v="2"/>
    <s v="JB1-10"/>
    <n v="144120.09468435613"/>
  </r>
  <r>
    <x v="1"/>
    <x v="3"/>
    <x v="2"/>
    <s v="JB1-10"/>
    <n v="72634.276699211434"/>
  </r>
  <r>
    <x v="1"/>
    <x v="4"/>
    <x v="2"/>
    <s v="JB1-10"/>
    <n v="19220"/>
  </r>
  <r>
    <x v="1"/>
    <x v="0"/>
    <x v="2"/>
    <s v="OC6"/>
    <n v="0"/>
  </r>
  <r>
    <x v="1"/>
    <x v="1"/>
    <x v="2"/>
    <s v="OC6"/>
    <n v="6372.8973618357959"/>
  </r>
  <r>
    <x v="1"/>
    <x v="2"/>
    <x v="2"/>
    <s v="OC6"/>
    <n v="0"/>
  </r>
  <r>
    <x v="1"/>
    <x v="3"/>
    <x v="2"/>
    <s v="OC6"/>
    <n v="9388.5965256393793"/>
  </r>
  <r>
    <x v="1"/>
    <x v="4"/>
    <x v="2"/>
    <s v="OC6"/>
    <n v="0"/>
  </r>
  <r>
    <x v="1"/>
    <x v="0"/>
    <x v="2"/>
    <s v="OC12"/>
    <n v="0"/>
  </r>
  <r>
    <x v="1"/>
    <x v="1"/>
    <x v="2"/>
    <s v="OC12"/>
    <n v="4206.1784181686835"/>
  </r>
  <r>
    <x v="1"/>
    <x v="2"/>
    <x v="2"/>
    <s v="OC12"/>
    <n v="0"/>
  </r>
  <r>
    <x v="1"/>
    <x v="3"/>
    <x v="2"/>
    <s v="OC12"/>
    <n v="8344.6407885245098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4966504.274538353"/>
  </r>
  <r>
    <x v="1"/>
    <s v="Vestdanmark"/>
    <x v="15"/>
    <x v="1"/>
    <n v="13514709.044056162"/>
  </r>
  <r>
    <x v="1"/>
    <s v="Vestdanmark"/>
    <x v="16"/>
    <x v="1"/>
    <n v="9568.1668252168638"/>
  </r>
  <r>
    <x v="1"/>
    <s v="Vestdanmark"/>
    <x v="17"/>
    <x v="1"/>
    <n v="1514387.1819129025"/>
  </r>
  <r>
    <x v="1"/>
    <s v="Vestdanmark"/>
    <x v="18"/>
    <x v="1"/>
    <n v="195082.24112879002"/>
  </r>
  <r>
    <x v="1"/>
    <s v="Vestdanmark"/>
    <x v="19"/>
    <x v="1"/>
    <n v="529759.62082392198"/>
  </r>
  <r>
    <x v="1"/>
    <s v="Vestdanmark"/>
    <x v="20"/>
    <x v="1"/>
    <n v="1733862.7782143005"/>
  </r>
  <r>
    <x v="1"/>
    <s v="Vestdanmark"/>
    <x v="21"/>
    <x v="1"/>
    <n v="148483.55750423684"/>
  </r>
  <r>
    <x v="1"/>
    <s v="Vestdanmark"/>
    <x v="22"/>
    <x v="1"/>
    <n v="55360.11066582489"/>
  </r>
  <r>
    <x v="1"/>
    <s v="Vestdanmark"/>
    <x v="0"/>
    <x v="1"/>
    <n v="2908.785048538592"/>
  </r>
  <r>
    <x v="1"/>
    <s v="Vestdanmark"/>
    <x v="23"/>
    <x v="1"/>
    <n v="66530.392044719745"/>
  </r>
  <r>
    <x v="1"/>
    <s v="Vestdanmark"/>
    <x v="24"/>
    <x v="1"/>
    <n v="254332.18283336936"/>
  </r>
  <r>
    <x v="1"/>
    <s v="Vestdanmark"/>
    <x v="25"/>
    <x v="1"/>
    <n v="21895.892415714086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1894449.85598157"/>
  </r>
  <r>
    <x v="1"/>
    <s v="Vestdanmark"/>
    <x v="15"/>
    <x v="2"/>
    <n v="12328565.066010863"/>
  </r>
  <r>
    <x v="1"/>
    <s v="Vestdanmark"/>
    <x v="16"/>
    <x v="2"/>
    <n v="10872.477485866666"/>
  </r>
  <r>
    <x v="1"/>
    <s v="Vestdanmark"/>
    <x v="17"/>
    <x v="2"/>
    <n v="1566787.3226266655"/>
  </r>
  <r>
    <x v="1"/>
    <s v="Vestdanmark"/>
    <x v="18"/>
    <x v="2"/>
    <n v="197484.23354298095"/>
  </r>
  <r>
    <x v="1"/>
    <s v="Vestdanmark"/>
    <x v="19"/>
    <x v="2"/>
    <n v="517021.84354515088"/>
  </r>
  <r>
    <x v="1"/>
    <s v="Vestdanmark"/>
    <x v="20"/>
    <x v="2"/>
    <n v="2066021.4577387257"/>
  </r>
  <r>
    <x v="1"/>
    <s v="Vestdanmark"/>
    <x v="21"/>
    <x v="2"/>
    <n v="175480.5679595526"/>
  </r>
  <r>
    <x v="1"/>
    <s v="Vestdanmark"/>
    <x v="22"/>
    <x v="2"/>
    <n v="54203.01557442543"/>
  </r>
  <r>
    <x v="1"/>
    <s v="Vestdanmark"/>
    <x v="0"/>
    <x v="2"/>
    <n v="2883.6913429660071"/>
  </r>
  <r>
    <x v="1"/>
    <s v="Vestdanmark"/>
    <x v="23"/>
    <x v="2"/>
    <n v="66036.373634957796"/>
  </r>
  <r>
    <x v="1"/>
    <s v="Vestdanmark"/>
    <x v="24"/>
    <x v="2"/>
    <n v="252182.2278297123"/>
  </r>
  <r>
    <x v="1"/>
    <s v="Vestdanmark"/>
    <x v="25"/>
    <x v="2"/>
    <n v="21696.433352533084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2168603.2927545812"/>
  </r>
  <r>
    <x v="1"/>
    <s v="Østdanmark"/>
    <x v="15"/>
    <x v="1"/>
    <n v="960544.56321466842"/>
  </r>
  <r>
    <x v="1"/>
    <s v="Østdanmark"/>
    <x v="16"/>
    <x v="1"/>
    <n v="803.0527099116473"/>
  </r>
  <r>
    <x v="1"/>
    <s v="Østdanmark"/>
    <x v="17"/>
    <x v="1"/>
    <n v="1268746.495883205"/>
  </r>
  <r>
    <x v="1"/>
    <s v="Østdanmark"/>
    <x v="18"/>
    <x v="1"/>
    <n v="168912.75887120995"/>
  </r>
  <r>
    <x v="1"/>
    <s v="Østdanmark"/>
    <x v="19"/>
    <x v="1"/>
    <n v="190647.37917607787"/>
  </r>
  <r>
    <x v="1"/>
    <s v="Østdanmark"/>
    <x v="20"/>
    <x v="1"/>
    <n v="236427.81331287848"/>
  </r>
  <r>
    <x v="1"/>
    <s v="Østdanmark"/>
    <x v="21"/>
    <x v="1"/>
    <n v="18225.041915061996"/>
  </r>
  <r>
    <x v="1"/>
    <s v="Østdanmark"/>
    <x v="22"/>
    <x v="1"/>
    <n v="20573.889334175161"/>
  </r>
  <r>
    <x v="1"/>
    <s v="Østdanmark"/>
    <x v="0"/>
    <x v="1"/>
    <n v="877.2149514614091"/>
  </r>
  <r>
    <x v="1"/>
    <s v="Østdanmark"/>
    <x v="23"/>
    <x v="1"/>
    <n v="19146.607955280237"/>
  </r>
  <r>
    <x v="1"/>
    <s v="Østdanmark"/>
    <x v="24"/>
    <x v="1"/>
    <n v="75693.817166630659"/>
  </r>
  <r>
    <x v="1"/>
    <s v="Østdanmark"/>
    <x v="25"/>
    <x v="1"/>
    <n v="6749.1075842859182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723471.4700257902"/>
  </r>
  <r>
    <x v="1"/>
    <s v="Østdanmark"/>
    <x v="15"/>
    <x v="2"/>
    <n v="876240.55447965837"/>
  </r>
  <r>
    <x v="1"/>
    <s v="Østdanmark"/>
    <x v="16"/>
    <x v="2"/>
    <n v="912.52302222277638"/>
  </r>
  <r>
    <x v="1"/>
    <s v="Østdanmark"/>
    <x v="17"/>
    <x v="2"/>
    <n v="1327732.6575790939"/>
  </r>
  <r>
    <x v="1"/>
    <s v="Østdanmark"/>
    <x v="18"/>
    <x v="2"/>
    <n v="172292.76645701908"/>
  </r>
  <r>
    <x v="1"/>
    <s v="Østdanmark"/>
    <x v="19"/>
    <x v="2"/>
    <n v="190385.15645484926"/>
  </r>
  <r>
    <x v="1"/>
    <s v="Østdanmark"/>
    <x v="20"/>
    <x v="2"/>
    <n v="286902.93656514311"/>
  </r>
  <r>
    <x v="1"/>
    <s v="Østdanmark"/>
    <x v="21"/>
    <x v="2"/>
    <n v="21538.685899618729"/>
  </r>
  <r>
    <x v="1"/>
    <s v="Østdanmark"/>
    <x v="22"/>
    <x v="2"/>
    <n v="21730.984425574563"/>
  </r>
  <r>
    <x v="1"/>
    <s v="Østdanmark"/>
    <x v="0"/>
    <x v="2"/>
    <n v="902.30865703399286"/>
  </r>
  <r>
    <x v="1"/>
    <s v="Østdanmark"/>
    <x v="23"/>
    <x v="2"/>
    <n v="19640.626365042219"/>
  </r>
  <r>
    <x v="1"/>
    <s v="Østdanmark"/>
    <x v="24"/>
    <x v="2"/>
    <n v="77843.772170287746"/>
  </r>
  <r>
    <x v="1"/>
    <s v="Østdanmark"/>
    <x v="25"/>
    <x v="2"/>
    <n v="6948.5666474669151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6350412.4997561099"/>
  </r>
  <r>
    <x v="2"/>
    <s v="Vestdanmark"/>
    <x v="22"/>
    <x v="1"/>
    <n v="918861.60943487054"/>
  </r>
  <r>
    <x v="2"/>
    <s v="Vestdanmark"/>
    <x v="2"/>
    <x v="1"/>
    <n v="0"/>
  </r>
  <r>
    <x v="2"/>
    <s v="Vestdanmark"/>
    <x v="5"/>
    <x v="1"/>
    <n v="73265.306718627704"/>
  </r>
  <r>
    <x v="2"/>
    <s v="Vestdanmark"/>
    <x v="25"/>
    <x v="1"/>
    <n v="1042365.5001332033"/>
  </r>
  <r>
    <x v="2"/>
    <s v="Vestdanmark"/>
    <x v="24"/>
    <x v="1"/>
    <n v="5991945.9604161605"/>
  </r>
  <r>
    <x v="2"/>
    <s v="Vestdanmark"/>
    <x v="28"/>
    <x v="1"/>
    <n v="251878.62569823104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4698917.729434509"/>
  </r>
  <r>
    <x v="2"/>
    <s v="Vestdanmark"/>
    <x v="29"/>
    <x v="1"/>
    <n v="1812574.6986106629"/>
  </r>
  <r>
    <x v="2"/>
    <s v="Vestdanmark"/>
    <x v="30"/>
    <x v="1"/>
    <n v="513062.37197918555"/>
  </r>
  <r>
    <x v="2"/>
    <s v="Vestdanmark"/>
    <x v="31"/>
    <x v="1"/>
    <n v="253986.39662457604"/>
  </r>
  <r>
    <x v="2"/>
    <s v="Vestdanmark"/>
    <x v="32"/>
    <x v="1"/>
    <n v="46179.344840832011"/>
  </r>
  <r>
    <x v="2"/>
    <s v="Vestdanmark"/>
    <x v="33"/>
    <x v="1"/>
    <n v="5788120.7826627567"/>
  </r>
  <r>
    <x v="2"/>
    <s v="Vestdanmark"/>
    <x v="0"/>
    <x v="2"/>
    <n v="6174012.1525406614"/>
  </r>
  <r>
    <x v="2"/>
    <s v="Vestdanmark"/>
    <x v="22"/>
    <x v="2"/>
    <n v="918861.60943487042"/>
  </r>
  <r>
    <x v="2"/>
    <s v="Vestdanmark"/>
    <x v="2"/>
    <x v="2"/>
    <n v="0"/>
  </r>
  <r>
    <x v="2"/>
    <s v="Vestdanmark"/>
    <x v="5"/>
    <x v="2"/>
    <n v="73265.306718627704"/>
  </r>
  <r>
    <x v="2"/>
    <s v="Vestdanmark"/>
    <x v="25"/>
    <x v="2"/>
    <n v="1042365.5001332033"/>
  </r>
  <r>
    <x v="2"/>
    <s v="Vestdanmark"/>
    <x v="24"/>
    <x v="2"/>
    <n v="5991945.9604161596"/>
  </r>
  <r>
    <x v="2"/>
    <s v="Vestdanmark"/>
    <x v="28"/>
    <x v="2"/>
    <n v="251878.62569823102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4698917.729434509"/>
  </r>
  <r>
    <x v="2"/>
    <s v="Vestdanmark"/>
    <x v="29"/>
    <x v="2"/>
    <n v="1812574.6986106627"/>
  </r>
  <r>
    <x v="2"/>
    <s v="Vestdanmark"/>
    <x v="30"/>
    <x v="2"/>
    <n v="615674.84637502255"/>
  </r>
  <r>
    <x v="2"/>
    <s v="Vestdanmark"/>
    <x v="31"/>
    <x v="2"/>
    <n v="300165.74146540801"/>
  </r>
  <r>
    <x v="2"/>
    <s v="Vestdanmark"/>
    <x v="32"/>
    <x v="2"/>
    <n v="46179.344840832004"/>
  </r>
  <r>
    <x v="2"/>
    <s v="Vestdanmark"/>
    <x v="33"/>
    <x v="2"/>
    <n v="5788120.7826627549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79456.90372273244"/>
  </r>
  <r>
    <x v="2"/>
    <s v="Østdanmark"/>
    <x v="22"/>
    <x v="1"/>
    <n v="112782.12636853076"/>
  </r>
  <r>
    <x v="2"/>
    <s v="Østdanmark"/>
    <x v="2"/>
    <x v="1"/>
    <n v="0"/>
  </r>
  <r>
    <x v="2"/>
    <s v="Østdanmark"/>
    <x v="5"/>
    <x v="1"/>
    <n v="8992.6676617292323"/>
  </r>
  <r>
    <x v="2"/>
    <s v="Østdanmark"/>
    <x v="25"/>
    <x v="1"/>
    <n v="127941.13536914771"/>
  </r>
  <r>
    <x v="2"/>
    <s v="Østdanmark"/>
    <x v="24"/>
    <x v="1"/>
    <n v="735458.31011123862"/>
  </r>
  <r>
    <x v="2"/>
    <s v="Østdanmark"/>
    <x v="28"/>
    <x v="1"/>
    <n v="30915.871009673829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804161.9976497933"/>
  </r>
  <r>
    <x v="2"/>
    <s v="Østdanmark"/>
    <x v="29"/>
    <x v="1"/>
    <n v="222477.49455637607"/>
  </r>
  <r>
    <x v="2"/>
    <s v="Østdanmark"/>
    <x v="30"/>
    <x v="1"/>
    <n v="62973.863177375562"/>
  </r>
  <r>
    <x v="2"/>
    <s v="Østdanmark"/>
    <x v="31"/>
    <x v="1"/>
    <n v="31174.581227328003"/>
  </r>
  <r>
    <x v="2"/>
    <s v="Østdanmark"/>
    <x v="32"/>
    <x v="1"/>
    <n v="5668.1056776960004"/>
  </r>
  <r>
    <x v="2"/>
    <s v="Østdanmark"/>
    <x v="33"/>
    <x v="1"/>
    <n v="710440.57434076618"/>
  </r>
  <r>
    <x v="2"/>
    <s v="Østdanmark"/>
    <x v="0"/>
    <x v="2"/>
    <n v="757805.32306376752"/>
  </r>
  <r>
    <x v="2"/>
    <s v="Østdanmark"/>
    <x v="22"/>
    <x v="2"/>
    <n v="112782.12636853076"/>
  </r>
  <r>
    <x v="2"/>
    <s v="Østdanmark"/>
    <x v="2"/>
    <x v="2"/>
    <n v="0"/>
  </r>
  <r>
    <x v="2"/>
    <s v="Østdanmark"/>
    <x v="5"/>
    <x v="2"/>
    <n v="8992.6676617292323"/>
  </r>
  <r>
    <x v="2"/>
    <s v="Østdanmark"/>
    <x v="25"/>
    <x v="2"/>
    <n v="127941.13536914771"/>
  </r>
  <r>
    <x v="2"/>
    <s v="Østdanmark"/>
    <x v="24"/>
    <x v="2"/>
    <n v="735458.31011123862"/>
  </r>
  <r>
    <x v="2"/>
    <s v="Østdanmark"/>
    <x v="28"/>
    <x v="2"/>
    <n v="30915.871009673829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804161.9976497933"/>
  </r>
  <r>
    <x v="2"/>
    <s v="Østdanmark"/>
    <x v="29"/>
    <x v="2"/>
    <n v="222477.49455637607"/>
  </r>
  <r>
    <x v="2"/>
    <s v="Østdanmark"/>
    <x v="30"/>
    <x v="2"/>
    <n v="75568.635812850684"/>
  </r>
  <r>
    <x v="2"/>
    <s v="Østdanmark"/>
    <x v="31"/>
    <x v="2"/>
    <n v="36842.686905024006"/>
  </r>
  <r>
    <x v="2"/>
    <s v="Østdanmark"/>
    <x v="32"/>
    <x v="2"/>
    <n v="5668.1056776960004"/>
  </r>
  <r>
    <x v="2"/>
    <s v="Østdanmark"/>
    <x v="33"/>
    <x v="2"/>
    <n v="710440.57434076618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013832.4547864624"/>
  </r>
  <r>
    <x v="3"/>
    <s v="Vestdanmark"/>
    <x v="34"/>
    <x v="1"/>
    <n v="126524.85595216915"/>
  </r>
  <r>
    <x v="3"/>
    <s v="Vestdanmark"/>
    <x v="35"/>
    <x v="1"/>
    <n v="140082.86866845257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605479.33149111876"/>
  </r>
  <r>
    <x v="3"/>
    <s v="Østdanmark"/>
    <x v="34"/>
    <x v="1"/>
    <n v="38380.466874167156"/>
  </r>
  <r>
    <x v="3"/>
    <s v="Østdanmark"/>
    <x v="35"/>
    <x v="1"/>
    <n v="39619.171284232172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690915.53015298408"/>
  </r>
  <r>
    <x v="3"/>
    <s v="Vestdanmark"/>
    <x v="34"/>
    <x v="2"/>
    <n v="116890.08232634584"/>
  </r>
  <r>
    <x v="3"/>
    <s v="Vestdanmark"/>
    <x v="35"/>
    <x v="2"/>
    <n v="130798.88136292373"/>
  </r>
  <r>
    <x v="3"/>
    <s v="Vestdanmark"/>
    <x v="36"/>
    <x v="2"/>
    <n v="2021010.5366921518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7813.57485660876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532607.09373853623"/>
  </r>
  <r>
    <x v="3"/>
    <s v="Østdanmark"/>
    <x v="34"/>
    <x v="2"/>
    <n v="36805.628505407505"/>
  </r>
  <r>
    <x v="3"/>
    <s v="Østdanmark"/>
    <x v="35"/>
    <x v="2"/>
    <n v="38200.145674741361"/>
  </r>
  <r>
    <x v="3"/>
    <s v="Østdanmark"/>
    <x v="36"/>
    <x v="2"/>
    <n v="588379.46402837499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2120.99079899571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1662944.9193931499"/>
  </r>
  <r>
    <x v="5"/>
    <s v="Vestdanmark"/>
    <x v="15"/>
    <x v="1"/>
    <n v="1501634.338228462"/>
  </r>
  <r>
    <x v="5"/>
    <s v="Vestdanmark"/>
    <x v="16"/>
    <x v="1"/>
    <n v="1063.129647246318"/>
  </r>
  <r>
    <x v="5"/>
    <s v="Vestdanmark"/>
    <x v="20"/>
    <x v="1"/>
    <n v="656390.90889541374"/>
  </r>
  <r>
    <x v="5"/>
    <s v="Vestdanmark"/>
    <x v="38"/>
    <x v="1"/>
    <n v="27990597.390617166"/>
  </r>
  <r>
    <x v="5"/>
    <s v="Vestdanmark"/>
    <x v="39"/>
    <x v="1"/>
    <n v="260487.33692313972"/>
  </r>
  <r>
    <x v="5"/>
    <s v="Vestdanmark"/>
    <x v="14"/>
    <x v="2"/>
    <n v="1321605.5395535075"/>
  </r>
  <r>
    <x v="5"/>
    <s v="Vestdanmark"/>
    <x v="15"/>
    <x v="2"/>
    <n v="1369840.5628900954"/>
  </r>
  <r>
    <x v="5"/>
    <s v="Vestdanmark"/>
    <x v="16"/>
    <x v="2"/>
    <n v="1208.0530539851848"/>
  </r>
  <r>
    <x v="5"/>
    <s v="Vestdanmark"/>
    <x v="20"/>
    <x v="2"/>
    <n v="782136.69471537473"/>
  </r>
  <r>
    <x v="5"/>
    <s v="Vestdanmark"/>
    <x v="38"/>
    <x v="2"/>
    <n v="24286338.861024369"/>
  </r>
  <r>
    <x v="5"/>
    <s v="Vestdanmark"/>
    <x v="39"/>
    <x v="2"/>
    <n v="246005.45516354125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240955.92141717565"/>
  </r>
  <r>
    <x v="5"/>
    <s v="Østdanmark"/>
    <x v="15"/>
    <x v="1"/>
    <n v="106727.17369051868"/>
  </r>
  <r>
    <x v="5"/>
    <s v="Østdanmark"/>
    <x v="16"/>
    <x v="1"/>
    <n v="89.228078879071901"/>
  </r>
  <r>
    <x v="5"/>
    <s v="Østdanmark"/>
    <x v="20"/>
    <x v="1"/>
    <n v="89504.815039875422"/>
  </r>
  <r>
    <x v="5"/>
    <s v="Østdanmark"/>
    <x v="38"/>
    <x v="1"/>
    <n v="4363683.2093789419"/>
  </r>
  <r>
    <x v="5"/>
    <s v="Østdanmark"/>
    <x v="39"/>
    <x v="1"/>
    <n v="289998.70816946391"/>
  </r>
  <r>
    <x v="5"/>
    <s v="Østdanmark"/>
    <x v="14"/>
    <x v="2"/>
    <n v="191496.83000286552"/>
  </r>
  <r>
    <x v="5"/>
    <s v="Østdanmark"/>
    <x v="15"/>
    <x v="2"/>
    <n v="97360.061608850912"/>
  </r>
  <r>
    <x v="5"/>
    <s v="Østdanmark"/>
    <x v="16"/>
    <x v="2"/>
    <n v="101.39144691364179"/>
  </r>
  <r>
    <x v="5"/>
    <s v="Østdanmark"/>
    <x v="20"/>
    <x v="2"/>
    <n v="108613.25455680418"/>
  </r>
  <r>
    <x v="5"/>
    <s v="Østdanmark"/>
    <x v="38"/>
    <x v="2"/>
    <n v="3945775.6002024049"/>
  </r>
  <r>
    <x v="5"/>
    <s v="Østdanmark"/>
    <x v="39"/>
    <x v="2"/>
    <n v="270103.53604430315"/>
  </r>
  <r>
    <x v="6"/>
    <s v="Vestdanmark"/>
    <x v="23"/>
    <x v="0"/>
    <n v="0"/>
  </r>
  <r>
    <x v="6"/>
    <s v="Vestdanmark"/>
    <x v="23"/>
    <x v="1"/>
    <n v="1519317.3536669463"/>
  </r>
  <r>
    <x v="6"/>
    <s v="Vestdanmark"/>
    <x v="23"/>
    <x v="2"/>
    <n v="1795556.8725154817"/>
  </r>
  <r>
    <x v="6"/>
    <s v="Østdanmark"/>
    <x v="23"/>
    <x v="0"/>
    <n v="0"/>
  </r>
  <r>
    <x v="6"/>
    <s v="Østdanmark"/>
    <x v="23"/>
    <x v="1"/>
    <n v="186482.75215301919"/>
  </r>
  <r>
    <x v="6"/>
    <s v="Østdanmark"/>
    <x v="23"/>
    <x v="2"/>
    <n v="220388.70708993179"/>
  </r>
  <r>
    <x v="7"/>
    <s v="Vestdanmark"/>
    <x v="40"/>
    <x v="0"/>
    <n v="484833.6848947219"/>
  </r>
  <r>
    <x v="7"/>
    <s v="Vestdanmark"/>
    <x v="40"/>
    <x v="1"/>
    <n v="395390.17485052859"/>
  </r>
  <r>
    <x v="7"/>
    <s v="Vestdanmark"/>
    <x v="40"/>
    <x v="2"/>
    <n v="365281.50726983073"/>
  </r>
  <r>
    <x v="7"/>
    <s v="Østdanmark"/>
    <x v="40"/>
    <x v="0"/>
    <n v="193574.13238370849"/>
  </r>
  <r>
    <x v="7"/>
    <s v="Østdanmark"/>
    <x v="40"/>
    <x v="1"/>
    <n v="119938.95898177236"/>
  </r>
  <r>
    <x v="7"/>
    <s v="Østdanmark"/>
    <x v="40"/>
    <x v="2"/>
    <n v="115017.58907939846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7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N37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75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M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2">
    <i>
      <x v="2"/>
    </i>
    <i>
      <x v="8"/>
    </i>
    <i>
      <x v="10"/>
    </i>
    <i>
      <x v="12"/>
    </i>
    <i>
      <x v="13"/>
    </i>
    <i>
      <x v="14"/>
    </i>
    <i>
      <x v="18"/>
    </i>
    <i>
      <x v="32"/>
    </i>
    <i>
      <x v="37"/>
    </i>
    <i>
      <x v="39"/>
    </i>
    <i>
      <x v="44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10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74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C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multipleItemSelectionAllowed="1" showAll="0">
      <items count="3">
        <item h="1"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8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36"/>
    </i>
    <i>
      <x v="40"/>
    </i>
    <i>
      <x v="41"/>
    </i>
    <i>
      <x v="44"/>
    </i>
    <i t="grand">
      <x/>
    </i>
  </colItems>
  <pageFields count="1">
    <pageField fld="25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3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5" format="5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15" format="5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15" format="5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5" format="5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6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5" format="6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5" format="6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5" format="6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5" format="6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5" format="6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5" format="6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5" format="6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5" format="6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5" format="6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5" format="6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5" format="6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5" format="6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5" format="6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13" format="5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7" format="6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7" format="6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7" format="6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7" format="6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7" format="6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7" format="6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7" format="6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7" format="6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7" format="6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7" format="6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7" format="6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7" format="6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7" format="6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17" format="65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17" format="65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7" format="6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6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6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7" format="6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7" format="6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11" format="4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72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7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7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7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7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7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7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7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A4" sqref="A4:B4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2" t="s">
        <v>270</v>
      </c>
      <c r="B1" s="422"/>
      <c r="D1" s="75" t="s">
        <v>283</v>
      </c>
    </row>
    <row r="2" spans="1:6" ht="30" x14ac:dyDescent="0.25">
      <c r="A2" s="6" t="s">
        <v>0</v>
      </c>
      <c r="B2" s="222" t="s">
        <v>340</v>
      </c>
    </row>
    <row r="4" spans="1:6" ht="30" customHeight="1" thickBot="1" x14ac:dyDescent="0.3">
      <c r="A4" s="421" t="s">
        <v>269</v>
      </c>
      <c r="B4" s="421"/>
      <c r="D4" s="75"/>
    </row>
    <row r="5" spans="1:6" ht="15.75" thickTop="1" x14ac:dyDescent="0.25">
      <c r="A5" s="254" t="s">
        <v>85</v>
      </c>
      <c r="B5" s="253" t="s">
        <v>303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256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257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258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259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253</v>
      </c>
      <c r="B12" s="205" t="s">
        <v>260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261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262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266</v>
      </c>
      <c r="D17" s="216" t="s">
        <v>93</v>
      </c>
      <c r="E17" s="213"/>
    </row>
    <row r="18" spans="1:5" x14ac:dyDescent="0.25">
      <c r="A18" s="204" t="s">
        <v>73</v>
      </c>
      <c r="B18" s="423" t="s">
        <v>271</v>
      </c>
      <c r="D18" s="212" cm="1">
        <f t="array" ref="D18">[1]!År1</f>
        <v>2019</v>
      </c>
      <c r="E18" s="213"/>
    </row>
    <row r="19" spans="1:5" x14ac:dyDescent="0.25">
      <c r="A19" s="204" t="s">
        <v>254</v>
      </c>
      <c r="B19" s="423"/>
      <c r="D19" s="212" cm="1">
        <f t="array" ref="D19">[1]!År2</f>
        <v>2030</v>
      </c>
      <c r="E19" s="213"/>
    </row>
    <row r="20" spans="1:5" ht="15.75" thickBot="1" x14ac:dyDescent="0.3">
      <c r="A20" s="204" t="s">
        <v>255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304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zoomScale="70" zoomScaleNormal="70" workbookViewId="0"/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297</v>
      </c>
      <c r="B1" s="251"/>
      <c r="C1" s="424" t="s">
        <v>296</v>
      </c>
      <c r="D1" s="424"/>
      <c r="E1" s="424"/>
      <c r="F1" s="424"/>
      <c r="G1" s="424"/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</row>
    <row r="2" spans="1:18" ht="15" customHeight="1" x14ac:dyDescent="0.25">
      <c r="A2" s="251"/>
      <c r="B2" s="251"/>
      <c r="C2" s="424"/>
      <c r="D2" s="424"/>
      <c r="E2" s="424"/>
      <c r="F2" s="424"/>
      <c r="G2" s="424"/>
      <c r="H2" s="424"/>
      <c r="I2" s="424"/>
      <c r="J2" s="424"/>
      <c r="K2" s="424"/>
      <c r="L2" s="424"/>
      <c r="M2" s="424"/>
      <c r="N2" s="424"/>
      <c r="O2" s="424"/>
      <c r="P2" s="424"/>
      <c r="Q2" s="424"/>
      <c r="R2" s="424"/>
    </row>
    <row r="3" spans="1:18" x14ac:dyDescent="0.25">
      <c r="A3" s="75"/>
    </row>
    <row r="34" spans="16:18" ht="15.75" x14ac:dyDescent="0.25">
      <c r="P34" s="340" t="s">
        <v>93</v>
      </c>
      <c r="Q34" s="340" t="s">
        <v>334</v>
      </c>
      <c r="R34" s="340" t="s">
        <v>335</v>
      </c>
    </row>
    <row r="35" spans="16:18" ht="15.75" x14ac:dyDescent="0.25">
      <c r="P35" s="340">
        <v>1990</v>
      </c>
      <c r="Q35" s="343">
        <v>20000000</v>
      </c>
      <c r="R35" s="342"/>
    </row>
    <row r="36" spans="16:18" ht="15.75" x14ac:dyDescent="0.25">
      <c r="P36" s="340">
        <f>År1</f>
        <v>2019</v>
      </c>
      <c r="Q36" s="341">
        <f>GETPIVOTDATA("Total",'CO2-pivot'!$A$1,"År",P36,"Sted2","CO2 - atmosfære")</f>
        <v>13911562.11827757</v>
      </c>
      <c r="R36" s="342">
        <f>1-Q36/$Q$35</f>
        <v>0.30442189408612153</v>
      </c>
    </row>
    <row r="37" spans="16:18" ht="15.75" x14ac:dyDescent="0.25">
      <c r="P37" s="340">
        <f>År2</f>
        <v>2030</v>
      </c>
      <c r="Q37" s="341">
        <f>GETPIVOTDATA("Total",'CO2-pivot'!$A$1,"År",P37,"Sted2","CO2 - atmosfære")</f>
        <v>12001553.20445985</v>
      </c>
      <c r="R37" s="342">
        <f t="shared" ref="R37:R38" si="0">1-Q37/$Q$35</f>
        <v>0.39992233977700753</v>
      </c>
    </row>
    <row r="38" spans="16:18" ht="15.75" x14ac:dyDescent="0.25">
      <c r="P38" s="340">
        <f>År3</f>
        <v>2050</v>
      </c>
      <c r="Q38" s="341">
        <f>GETPIVOTDATA("Total",'CO2-pivot'!$A$1,"År",P38,"Sted2","CO2 - atmosfære")</f>
        <v>10471066.266458454</v>
      </c>
      <c r="R38" s="342">
        <f t="shared" si="0"/>
        <v>0.47644668667707735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336</v>
      </c>
    </row>
    <row r="2" spans="1:1" x14ac:dyDescent="0.25">
      <c r="A2" s="107">
        <v>2019</v>
      </c>
    </row>
    <row r="3" spans="1:1" x14ac:dyDescent="0.25">
      <c r="A3" s="378">
        <v>2030</v>
      </c>
    </row>
    <row r="4" spans="1:1" x14ac:dyDescent="0.25">
      <c r="A4" s="367">
        <v>2050</v>
      </c>
    </row>
    <row r="5" spans="1:1" x14ac:dyDescent="0.25">
      <c r="A5" s="357" t="s">
        <v>15</v>
      </c>
    </row>
    <row r="6" spans="1:1" x14ac:dyDescent="0.25">
      <c r="A6" s="379" t="s">
        <v>49</v>
      </c>
    </row>
    <row r="7" spans="1:1" x14ac:dyDescent="0.25">
      <c r="A7" s="377" t="s">
        <v>182</v>
      </c>
    </row>
    <row r="8" spans="1:1" x14ac:dyDescent="0.25">
      <c r="A8" s="368" t="s">
        <v>32</v>
      </c>
    </row>
    <row r="9" spans="1:1" x14ac:dyDescent="0.25">
      <c r="A9" s="355" t="s">
        <v>102</v>
      </c>
    </row>
    <row r="10" spans="1:1" x14ac:dyDescent="0.25">
      <c r="A10" s="380" t="s">
        <v>109</v>
      </c>
    </row>
    <row r="11" spans="1:1" x14ac:dyDescent="0.25">
      <c r="A11" s="369" t="s">
        <v>261</v>
      </c>
    </row>
    <row r="12" spans="1:1" x14ac:dyDescent="0.25">
      <c r="A12" s="381" t="s">
        <v>110</v>
      </c>
    </row>
    <row r="13" spans="1:1" x14ac:dyDescent="0.25">
      <c r="A13" s="355" t="s">
        <v>230</v>
      </c>
    </row>
    <row r="14" spans="1:1" s="168" customFormat="1" x14ac:dyDescent="0.25">
      <c r="A14" s="382" t="s">
        <v>208</v>
      </c>
    </row>
    <row r="15" spans="1:1" x14ac:dyDescent="0.25">
      <c r="A15" s="360" t="s">
        <v>111</v>
      </c>
    </row>
    <row r="16" spans="1:1" x14ac:dyDescent="0.25">
      <c r="A16" s="383" t="s">
        <v>101</v>
      </c>
    </row>
    <row r="17" spans="1:1" x14ac:dyDescent="0.25">
      <c r="A17" s="384" t="s">
        <v>204</v>
      </c>
    </row>
    <row r="18" spans="1:1" x14ac:dyDescent="0.25">
      <c r="A18" s="385" t="s">
        <v>19</v>
      </c>
    </row>
    <row r="19" spans="1:1" x14ac:dyDescent="0.25">
      <c r="A19" s="386" t="s">
        <v>137</v>
      </c>
    </row>
    <row r="20" spans="1:1" x14ac:dyDescent="0.25">
      <c r="A20" s="402" t="s">
        <v>96</v>
      </c>
    </row>
    <row r="21" spans="1:1" x14ac:dyDescent="0.25">
      <c r="A21" s="416" t="s">
        <v>113</v>
      </c>
    </row>
    <row r="22" spans="1:1" x14ac:dyDescent="0.25">
      <c r="A22" s="417" t="s">
        <v>54</v>
      </c>
    </row>
    <row r="23" spans="1:1" x14ac:dyDescent="0.25">
      <c r="A23" s="354" t="s">
        <v>158</v>
      </c>
    </row>
    <row r="24" spans="1:1" x14ac:dyDescent="0.25">
      <c r="A24" s="370" t="s">
        <v>51</v>
      </c>
    </row>
    <row r="25" spans="1:1" x14ac:dyDescent="0.25">
      <c r="A25" s="370" t="s">
        <v>224</v>
      </c>
    </row>
    <row r="26" spans="1:1" x14ac:dyDescent="0.25">
      <c r="A26" s="358" t="s">
        <v>203</v>
      </c>
    </row>
    <row r="27" spans="1:1" x14ac:dyDescent="0.25">
      <c r="A27" s="414" t="s">
        <v>6</v>
      </c>
    </row>
    <row r="28" spans="1:1" x14ac:dyDescent="0.25">
      <c r="A28" s="353" t="s">
        <v>67</v>
      </c>
    </row>
    <row r="29" spans="1:1" x14ac:dyDescent="0.25">
      <c r="A29" s="353" t="s">
        <v>227</v>
      </c>
    </row>
    <row r="30" spans="1:1" x14ac:dyDescent="0.25">
      <c r="A30" s="359" t="s">
        <v>200</v>
      </c>
    </row>
    <row r="31" spans="1:1" x14ac:dyDescent="0.25">
      <c r="A31" s="352" t="s">
        <v>226</v>
      </c>
    </row>
    <row r="32" spans="1:1" x14ac:dyDescent="0.25">
      <c r="A32" s="415" t="s">
        <v>162</v>
      </c>
    </row>
    <row r="33" spans="1:1" x14ac:dyDescent="0.25">
      <c r="A33" s="361" t="s">
        <v>193</v>
      </c>
    </row>
    <row r="34" spans="1:1" x14ac:dyDescent="0.25">
      <c r="A34" s="356" t="s">
        <v>222</v>
      </c>
    </row>
    <row r="35" spans="1:1" x14ac:dyDescent="0.25">
      <c r="A35" s="365" t="s">
        <v>11</v>
      </c>
    </row>
    <row r="36" spans="1:1" x14ac:dyDescent="0.25">
      <c r="A36" s="401" t="s">
        <v>159</v>
      </c>
    </row>
    <row r="37" spans="1:1" x14ac:dyDescent="0.25">
      <c r="A37" s="350" t="s">
        <v>103</v>
      </c>
    </row>
    <row r="38" spans="1:1" x14ac:dyDescent="0.25">
      <c r="A38" s="410" t="s">
        <v>56</v>
      </c>
    </row>
    <row r="39" spans="1:1" x14ac:dyDescent="0.25">
      <c r="A39" s="411" t="s">
        <v>12</v>
      </c>
    </row>
    <row r="40" spans="1:1" x14ac:dyDescent="0.25">
      <c r="A40" s="412" t="s">
        <v>48</v>
      </c>
    </row>
    <row r="41" spans="1:1" x14ac:dyDescent="0.25">
      <c r="A41" s="389" t="s">
        <v>115</v>
      </c>
    </row>
    <row r="42" spans="1:1" x14ac:dyDescent="0.25">
      <c r="A42" s="387" t="s">
        <v>136</v>
      </c>
    </row>
    <row r="43" spans="1:1" x14ac:dyDescent="0.25">
      <c r="A43" s="367" t="s">
        <v>9</v>
      </c>
    </row>
    <row r="44" spans="1:1" x14ac:dyDescent="0.25">
      <c r="A44" s="413" t="s">
        <v>108</v>
      </c>
    </row>
    <row r="45" spans="1:1" x14ac:dyDescent="0.25">
      <c r="A45" s="409" t="s">
        <v>53</v>
      </c>
    </row>
    <row r="46" spans="1:1" x14ac:dyDescent="0.25">
      <c r="A46" s="367" t="s">
        <v>194</v>
      </c>
    </row>
    <row r="47" spans="1:1" x14ac:dyDescent="0.25">
      <c r="A47" s="408" t="s">
        <v>116</v>
      </c>
    </row>
    <row r="48" spans="1:1" s="168" customFormat="1" x14ac:dyDescent="0.25">
      <c r="A48" s="407" t="s">
        <v>106</v>
      </c>
    </row>
    <row r="49" spans="1:1" x14ac:dyDescent="0.25">
      <c r="A49" s="366" t="s">
        <v>33</v>
      </c>
    </row>
    <row r="50" spans="1:1" x14ac:dyDescent="0.25">
      <c r="A50" s="403" t="s">
        <v>14</v>
      </c>
    </row>
    <row r="51" spans="1:1" s="168" customFormat="1" x14ac:dyDescent="0.25">
      <c r="A51" s="404" t="s">
        <v>55</v>
      </c>
    </row>
    <row r="52" spans="1:1" x14ac:dyDescent="0.25">
      <c r="A52" s="405" t="s">
        <v>38</v>
      </c>
    </row>
    <row r="53" spans="1:1" x14ac:dyDescent="0.25">
      <c r="A53" s="406" t="s">
        <v>95</v>
      </c>
    </row>
    <row r="54" spans="1:1" x14ac:dyDescent="0.25">
      <c r="A54" s="349" t="s">
        <v>307</v>
      </c>
    </row>
    <row r="55" spans="1:1" x14ac:dyDescent="0.25">
      <c r="A55" s="389" t="s">
        <v>308</v>
      </c>
    </row>
    <row r="56" spans="1:1" x14ac:dyDescent="0.25">
      <c r="A56" s="364" t="s">
        <v>311</v>
      </c>
    </row>
    <row r="57" spans="1:1" x14ac:dyDescent="0.25">
      <c r="A57" s="349" t="s">
        <v>313</v>
      </c>
    </row>
    <row r="58" spans="1:1" x14ac:dyDescent="0.25">
      <c r="A58" s="390" t="s">
        <v>117</v>
      </c>
    </row>
    <row r="59" spans="1:1" x14ac:dyDescent="0.25">
      <c r="A59" s="392" t="s">
        <v>50</v>
      </c>
    </row>
    <row r="60" spans="1:1" x14ac:dyDescent="0.25">
      <c r="A60" s="393" t="s">
        <v>238</v>
      </c>
    </row>
    <row r="61" spans="1:1" x14ac:dyDescent="0.25">
      <c r="A61" s="394" t="s">
        <v>231</v>
      </c>
    </row>
    <row r="62" spans="1:1" x14ac:dyDescent="0.25">
      <c r="A62" s="395" t="s">
        <v>52</v>
      </c>
    </row>
    <row r="63" spans="1:1" x14ac:dyDescent="0.25">
      <c r="A63" s="362" t="s">
        <v>10</v>
      </c>
    </row>
    <row r="64" spans="1:1" x14ac:dyDescent="0.25">
      <c r="A64" s="372" t="s">
        <v>176</v>
      </c>
    </row>
    <row r="65" spans="1:8" x14ac:dyDescent="0.25">
      <c r="A65" s="373" t="s">
        <v>177</v>
      </c>
    </row>
    <row r="66" spans="1:8" x14ac:dyDescent="0.25">
      <c r="A66" s="374" t="s">
        <v>178</v>
      </c>
    </row>
    <row r="67" spans="1:8" x14ac:dyDescent="0.25">
      <c r="A67" s="375" t="s">
        <v>179</v>
      </c>
    </row>
    <row r="68" spans="1:8" x14ac:dyDescent="0.25">
      <c r="A68" s="376" t="s">
        <v>180</v>
      </c>
    </row>
    <row r="69" spans="1:8" x14ac:dyDescent="0.25">
      <c r="A69" s="396" t="s">
        <v>121</v>
      </c>
    </row>
    <row r="70" spans="1:8" x14ac:dyDescent="0.25">
      <c r="A70" s="397" t="s">
        <v>107</v>
      </c>
    </row>
    <row r="71" spans="1:8" x14ac:dyDescent="0.25">
      <c r="A71" s="398" t="s">
        <v>140</v>
      </c>
    </row>
    <row r="72" spans="1:8" x14ac:dyDescent="0.25">
      <c r="A72" s="388" t="s">
        <v>135</v>
      </c>
    </row>
    <row r="73" spans="1:8" x14ac:dyDescent="0.25">
      <c r="A73" s="399" t="s">
        <v>13</v>
      </c>
    </row>
    <row r="74" spans="1:8" x14ac:dyDescent="0.25">
      <c r="A74" s="391" t="s">
        <v>99</v>
      </c>
      <c r="H74" s="371" t="s">
        <v>104</v>
      </c>
    </row>
    <row r="75" spans="1:8" x14ac:dyDescent="0.25">
      <c r="A75" s="400" t="s">
        <v>119</v>
      </c>
    </row>
    <row r="76" spans="1:8" x14ac:dyDescent="0.25">
      <c r="A76" s="351" t="s">
        <v>118</v>
      </c>
    </row>
    <row r="77" spans="1:8" x14ac:dyDescent="0.25">
      <c r="A77" s="363" t="s">
        <v>333</v>
      </c>
    </row>
    <row r="78" spans="1:8" x14ac:dyDescent="0.25">
      <c r="A78" s="351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C5" sqref="C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8" t="s">
        <v>272</v>
      </c>
      <c r="B1" s="75" t="s">
        <v>298</v>
      </c>
    </row>
    <row r="2" spans="1:18" ht="42.95" customHeight="1" x14ac:dyDescent="0.25">
      <c r="A2" s="223" t="s">
        <v>282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305</v>
      </c>
      <c r="K2" s="6"/>
      <c r="L2" s="6"/>
      <c r="M2" s="6"/>
      <c r="N2" s="6"/>
      <c r="O2" s="6"/>
      <c r="P2" s="6"/>
    </row>
    <row r="3" spans="1:18" x14ac:dyDescent="0.25">
      <c r="A3" s="2" t="s">
        <v>264</v>
      </c>
      <c r="B3" s="2" t="s">
        <v>337</v>
      </c>
      <c r="C3" s="9">
        <f>70000/2</f>
        <v>35000</v>
      </c>
      <c r="D3" s="22">
        <v>35000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265</v>
      </c>
      <c r="B4" s="2" t="s">
        <v>337</v>
      </c>
      <c r="C4" s="9">
        <f>70000/2</f>
        <v>35000</v>
      </c>
      <c r="D4" s="22">
        <v>35000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19" t="s">
        <v>267</v>
      </c>
      <c r="C5" s="9">
        <f>5600*(C2-År1)</f>
        <v>61600</v>
      </c>
      <c r="D5" s="9">
        <f>5600*(D2-År1)</f>
        <v>173600</v>
      </c>
      <c r="E5" s="9" t="s">
        <v>268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592120</v>
      </c>
      <c r="K5" s="17">
        <f t="shared" si="0"/>
        <v>0</v>
      </c>
      <c r="L5" s="17">
        <f t="shared" si="0"/>
        <v>0</v>
      </c>
      <c r="M5" s="18">
        <f t="shared" si="0"/>
        <v>592120</v>
      </c>
      <c r="N5" s="18">
        <f t="shared" si="0"/>
        <v>0</v>
      </c>
      <c r="O5" s="18">
        <f t="shared" si="0"/>
        <v>0</v>
      </c>
      <c r="P5" s="18">
        <f t="shared" si="0"/>
        <v>592120</v>
      </c>
      <c r="Q5" s="18">
        <f t="shared" si="0"/>
        <v>0</v>
      </c>
      <c r="R5" s="18">
        <f t="shared" si="0"/>
        <v>0</v>
      </c>
    </row>
    <row r="6" spans="1:18" x14ac:dyDescent="0.25">
      <c r="A6" s="2" t="s">
        <v>338</v>
      </c>
      <c r="B6" s="2" t="s">
        <v>339</v>
      </c>
      <c r="C6" s="9">
        <f>8500</f>
        <v>8500</v>
      </c>
      <c r="D6" s="9">
        <v>8500</v>
      </c>
      <c r="E6" s="9" t="s">
        <v>268</v>
      </c>
      <c r="F6" s="110" t="s">
        <v>9</v>
      </c>
      <c r="G6" s="110" t="s">
        <v>33</v>
      </c>
      <c r="I6" s="26" t="str">
        <f>Afgrøder</f>
        <v>Landbrugsafgrøder</v>
      </c>
      <c r="J6" s="17">
        <f t="shared" ref="J6:R6" si="1">SUM(J26,J36)</f>
        <v>2399936</v>
      </c>
      <c r="K6" s="17">
        <f t="shared" si="1"/>
        <v>100502</v>
      </c>
      <c r="L6" s="17">
        <f t="shared" si="1"/>
        <v>78232</v>
      </c>
      <c r="M6" s="18">
        <f t="shared" si="1"/>
        <v>2329836</v>
      </c>
      <c r="N6" s="18">
        <f t="shared" si="1"/>
        <v>65502</v>
      </c>
      <c r="O6" s="18">
        <f t="shared" si="1"/>
        <v>43232</v>
      </c>
      <c r="P6" s="18">
        <f t="shared" si="1"/>
        <v>2217836</v>
      </c>
      <c r="Q6" s="18">
        <f t="shared" si="1"/>
        <v>65502</v>
      </c>
      <c r="R6" s="18">
        <f t="shared" si="1"/>
        <v>43232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562410</v>
      </c>
      <c r="K7" s="17">
        <f t="shared" si="2"/>
        <v>0</v>
      </c>
      <c r="L7" s="17">
        <f t="shared" si="2"/>
        <v>0</v>
      </c>
      <c r="M7" s="18">
        <f t="shared" si="2"/>
        <v>624010</v>
      </c>
      <c r="N7" s="18">
        <f t="shared" si="2"/>
        <v>0</v>
      </c>
      <c r="O7" s="18">
        <f t="shared" si="2"/>
        <v>0</v>
      </c>
      <c r="P7" s="18">
        <f t="shared" si="2"/>
        <v>736010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393324.00000000006</v>
      </c>
      <c r="K8" s="17">
        <f t="shared" si="3"/>
        <v>61498</v>
      </c>
      <c r="L8" s="17">
        <f t="shared" si="3"/>
        <v>50768</v>
      </c>
      <c r="M8" s="18">
        <f t="shared" si="3"/>
        <v>401824.00000000006</v>
      </c>
      <c r="N8" s="18">
        <f t="shared" si="3"/>
        <v>96498</v>
      </c>
      <c r="O8" s="18">
        <f t="shared" si="3"/>
        <v>85767.999999999985</v>
      </c>
      <c r="P8" s="18">
        <f t="shared" si="3"/>
        <v>401824.00000000006</v>
      </c>
      <c r="Q8" s="18">
        <f t="shared" si="3"/>
        <v>96498</v>
      </c>
      <c r="R8" s="18">
        <f t="shared" si="3"/>
        <v>85767.999999999985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66640</v>
      </c>
      <c r="K9" s="19">
        <f t="shared" si="4"/>
        <v>0</v>
      </c>
      <c r="L9" s="19">
        <f t="shared" si="4"/>
        <v>0</v>
      </c>
      <c r="M9" s="91">
        <f t="shared" si="4"/>
        <v>66640</v>
      </c>
      <c r="N9" s="91">
        <f t="shared" si="4"/>
        <v>0</v>
      </c>
      <c r="O9" s="91">
        <f t="shared" si="4"/>
        <v>0</v>
      </c>
      <c r="P9" s="91">
        <f t="shared" si="4"/>
        <v>66640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4014430</v>
      </c>
      <c r="K10" s="20">
        <f t="shared" si="5"/>
        <v>162000</v>
      </c>
      <c r="L10" s="20">
        <f t="shared" si="5"/>
        <v>129000</v>
      </c>
      <c r="M10" s="21">
        <f t="shared" si="5"/>
        <v>4014430</v>
      </c>
      <c r="N10" s="21">
        <f t="shared" si="5"/>
        <v>162000</v>
      </c>
      <c r="O10" s="21">
        <f t="shared" si="5"/>
        <v>128999.99999999999</v>
      </c>
      <c r="P10" s="21">
        <f t="shared" si="5"/>
        <v>4014430</v>
      </c>
      <c r="Q10" s="21">
        <f t="shared" si="5"/>
        <v>162000</v>
      </c>
      <c r="R10" s="21">
        <f t="shared" si="5"/>
        <v>128999.99999999999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299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413346.96815611009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1853876.1391137983</v>
      </c>
      <c r="K26" s="266">
        <f>[1]Jordbundstypefordeling!$D$16*[1]Jordbundstypefordeling!$F$4</f>
        <v>87250.625185185185</v>
      </c>
      <c r="L26" s="266">
        <f>[1]Jordbundstypefordeling!$D$15*[1]Jordbundstypefordeling!$F$4</f>
        <v>67916.965925925921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1793018.9539286131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56865.440000000002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37531.780740740738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1695786.3613360205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56865.440000000002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37531.780740740738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435064.52162306459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488542.44754899049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585775.04014158307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317835.5825103767</v>
      </c>
      <c r="K28" s="266">
        <f>([1]Jordbundstypefordeling!$E$16-[1]Jordbundstypefordeling!$D$16)*SUM([1]Jordbundstypefordeling!$D$3:$D$5)</f>
        <v>53389.374814814815</v>
      </c>
      <c r="L28" s="266">
        <f>([1]Jordbundstypefordeling!$E$15-[1]Jordbundstypefordeling!$D$15)*SUM([1]Jordbundstypefordeling!D3:D5)</f>
        <v>44074.145185185182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325214.84176963597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83774.559999999998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74459.330370370357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325214.84176963597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83774.559999999998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74459.330370370357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47192.371697540235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6">SUM(J25:J29)</f>
        <v>3067315.5831008903</v>
      </c>
      <c r="K30" s="268">
        <f t="shared" si="6"/>
        <v>140640</v>
      </c>
      <c r="L30" s="268">
        <f t="shared" si="6"/>
        <v>111991.11111111109</v>
      </c>
      <c r="M30" s="271">
        <f t="shared" si="6"/>
        <v>3067315.5831008903</v>
      </c>
      <c r="N30" s="271">
        <f t="shared" si="6"/>
        <v>140640</v>
      </c>
      <c r="O30" s="271">
        <f t="shared" si="6"/>
        <v>111991.11111111109</v>
      </c>
      <c r="P30" s="271">
        <f t="shared" si="6"/>
        <v>3067315.5831008903</v>
      </c>
      <c r="Q30" s="271">
        <f t="shared" si="6"/>
        <v>140640</v>
      </c>
      <c r="R30" s="271">
        <f t="shared" si="6"/>
        <v>111991.11111111109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300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178773.03184388991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546059.8608862015</v>
      </c>
      <c r="K36" s="266">
        <f>[1]Jordbundstypefordeling!$D$16*[1]Jordbundstypefordeling!$G$4</f>
        <v>13251.374814814815</v>
      </c>
      <c r="L36" s="266">
        <f>[1]Jordbundstypefordeling!$D$15*[1]Jordbundstypefordeling!$G$4</f>
        <v>10315.034074074074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536817.04607138666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8636.5600000000013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5700.2192592592592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522049.63866397925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8636.5600000000013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5700.2192592592592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127345.4783769354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135467.55245100948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150234.95985841687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75488.417489623345</v>
      </c>
      <c r="K38" s="266">
        <f>([1]Jordbundstypefordeling!$E$16-[1]Jordbundstypefordeling!$D$16)*[1]Jordbundstypefordeling!$G$4</f>
        <v>8108.6251851851857</v>
      </c>
      <c r="L38" s="266">
        <f>([1]Jordbundstypefordeling!$E$15-[1]Jordbundstypefordeling!$D$15)*[1]Jordbundstypefordeling!$G$4</f>
        <v>6693.8548148148147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76609.15823036409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12723.44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11308.669629629629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76609.15823036409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12723.44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11308.669629629629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19447.628302459765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7">SUM(J35:J39)</f>
        <v>947114.41689910984</v>
      </c>
      <c r="K40" s="268">
        <f t="shared" si="7"/>
        <v>21360</v>
      </c>
      <c r="L40" s="268">
        <f t="shared" si="7"/>
        <v>17008.888888888891</v>
      </c>
      <c r="M40" s="271">
        <f t="shared" si="7"/>
        <v>947114.41689910996</v>
      </c>
      <c r="N40" s="271">
        <f t="shared" si="7"/>
        <v>21360</v>
      </c>
      <c r="O40" s="271">
        <f t="shared" si="7"/>
        <v>17008.888888888887</v>
      </c>
      <c r="P40" s="271">
        <f t="shared" si="7"/>
        <v>947114.41689910984</v>
      </c>
      <c r="Q40" s="271">
        <f t="shared" si="7"/>
        <v>21360</v>
      </c>
      <c r="R40" s="271">
        <f t="shared" si="7"/>
        <v>17008.888888888887</v>
      </c>
    </row>
    <row r="41" spans="9:18" hidden="1" x14ac:dyDescent="0.25"/>
  </sheetData>
  <conditionalFormatting sqref="J5:R9">
    <cfRule type="cellIs" dxfId="2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opLeftCell="A10" zoomScale="85" zoomScaleNormal="85" workbookViewId="0">
      <selection activeCell="A10" sqref="A10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6" width="13.85546875" style="1" customWidth="1"/>
    <col min="7" max="7" width="12.7109375" style="1" customWidth="1"/>
    <col min="8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272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420">
        <f>(297696+23250*(D4-C4))/2625965</f>
        <v>0.21075909237175666</v>
      </c>
      <c r="E5" s="420">
        <f>(297696+23250*(E4-C4))/2625965</f>
        <v>0.3878368523571335</v>
      </c>
      <c r="F5" s="12"/>
      <c r="G5" s="418">
        <v>0.13500000000000001</v>
      </c>
      <c r="H5" s="419">
        <v>0.17499999999999999</v>
      </c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0.13730855946494946</v>
      </c>
      <c r="E6" s="8">
        <f t="shared" si="0"/>
        <v>0.3143863194503263</v>
      </c>
      <c r="F6" s="12"/>
      <c r="G6" s="13">
        <f>D5-G5</f>
        <v>7.5759092371756653E-2</v>
      </c>
      <c r="H6" s="15">
        <f>E5-H5</f>
        <v>0.21283685235713351</v>
      </c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0.24781732640293408</v>
      </c>
      <c r="E7" s="8">
        <f t="shared" si="0"/>
        <v>0.42489508638831092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0.23951349272596606</v>
      </c>
      <c r="E8" s="8">
        <f t="shared" si="0"/>
        <v>0.41659125271134284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1.2</v>
      </c>
      <c r="E11" s="3">
        <v>1.2</v>
      </c>
      <c r="G11" s="12"/>
      <c r="I11" s="1"/>
    </row>
    <row r="12" spans="1:9" x14ac:dyDescent="0.25">
      <c r="B12" s="2" t="s">
        <v>3</v>
      </c>
      <c r="C12" s="7">
        <v>1</v>
      </c>
      <c r="D12" s="3">
        <v>1.2</v>
      </c>
      <c r="E12" s="3">
        <v>1.2</v>
      </c>
      <c r="G12" s="12"/>
      <c r="I12" s="1"/>
    </row>
    <row r="13" spans="1:9" x14ac:dyDescent="0.25">
      <c r="B13" s="2" t="s">
        <v>4</v>
      </c>
      <c r="C13" s="7">
        <v>1</v>
      </c>
      <c r="D13" s="3">
        <v>1.2</v>
      </c>
      <c r="E13" s="3">
        <v>1.2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v>0.74</v>
      </c>
      <c r="E17" s="3">
        <v>0.74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2"/>
    </row>
    <row r="19" spans="2:11" x14ac:dyDescent="0.25">
      <c r="F19" s="12"/>
      <c r="G19" s="12"/>
    </row>
    <row r="20" spans="2:11" x14ac:dyDescent="0.25">
      <c r="B20" s="427" t="s">
        <v>324</v>
      </c>
      <c r="C20" s="25"/>
      <c r="D20" s="25"/>
      <c r="E20" s="25"/>
      <c r="F20" s="12"/>
      <c r="I20" s="1"/>
    </row>
    <row r="21" spans="2:11" ht="29.45" customHeight="1" x14ac:dyDescent="0.25">
      <c r="B21" s="427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v>0.56000000000000005</v>
      </c>
      <c r="E22" s="8">
        <v>0.56000000000000005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v>0.56999999999999995</v>
      </c>
      <c r="E23" s="8">
        <v>0.56999999999999995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20577.795947873572</v>
      </c>
      <c r="E24" s="10">
        <f>E22*Arealanvendelse!Q6-C22*Arealanvendelse!Q6</f>
        <v>20577.795947873572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9975.9910906680507</v>
      </c>
      <c r="E25" s="10">
        <f>E23*Arealanvendelse!R6-C23*Arealanvendelse!R6</f>
        <v>9975.9910906680507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655.02</v>
      </c>
      <c r="E26" s="10">
        <f>1%*Arealanvendelse!Q6</f>
        <v>655.02</v>
      </c>
      <c r="F26" s="12"/>
      <c r="G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432.32</v>
      </c>
      <c r="E27" s="116">
        <f>1%*Arealanvendelse!R6</f>
        <v>432.32</v>
      </c>
      <c r="F27" s="12"/>
      <c r="G27" s="12"/>
      <c r="H27" s="12"/>
      <c r="I27" s="1"/>
    </row>
    <row r="28" spans="2:11" ht="15.75" thickBot="1" x14ac:dyDescent="0.3">
      <c r="B28" s="232" t="s">
        <v>263</v>
      </c>
      <c r="C28" s="233"/>
      <c r="D28" s="231">
        <f>SUM(D24:D25)</f>
        <v>30553.787038541624</v>
      </c>
      <c r="E28" s="231">
        <f>SUM(E24:E25)</f>
        <v>30553.787038541624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5" t="s">
        <v>323</v>
      </c>
      <c r="C30" s="25"/>
      <c r="D30" s="25"/>
      <c r="E30" s="25"/>
      <c r="K30" s="12"/>
    </row>
    <row r="31" spans="2:11" x14ac:dyDescent="0.25">
      <c r="B31" s="426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v>0.40300000000000002</v>
      </c>
      <c r="E32" s="90">
        <f>D32</f>
        <v>0.40300000000000002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v>5.0999999999999997E-2</v>
      </c>
      <c r="E34" s="90">
        <f t="shared" si="2"/>
        <v>5.0999999999999997E-2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f>C35+G6+7.8%</f>
        <v>0.25491876659818113</v>
      </c>
      <c r="E35" s="90">
        <f t="shared" si="2"/>
        <v>0.25491876659818113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v>6.8000000000000005E-2</v>
      </c>
      <c r="E39" s="90">
        <f t="shared" si="2"/>
        <v>6.8000000000000005E-2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289</v>
      </c>
      <c r="C46" s="87"/>
      <c r="D46" s="89">
        <f>SUM(D32:D45)</f>
        <v>1.0001367736330662</v>
      </c>
      <c r="E46" s="89">
        <f>SUM(E32:E45)</f>
        <v>1.0001367736330662</v>
      </c>
      <c r="K46" s="12"/>
    </row>
    <row r="47" spans="2:11" x14ac:dyDescent="0.25">
      <c r="B47" s="25" t="s">
        <v>242</v>
      </c>
      <c r="C47" s="87"/>
      <c r="D47" s="115" cm="1">
        <f t="array" ref="D47">SUMPRODUCT((D32:D45&gt;$C$32:$C$45)*(D32:D45-$C$32:$C$45))*Arealanvendelse!M6</f>
        <v>358233.46873504407</v>
      </c>
      <c r="E47" s="115" cm="1">
        <f t="array" ref="E47">SUMPRODUCT((E32:E45&gt;$C$32:$C$45)*(E32:E45-$C$32:$C$45))*Arealanvendelse!P6</f>
        <v>341012.45038940734</v>
      </c>
      <c r="K47" s="12"/>
    </row>
    <row r="48" spans="2:11" x14ac:dyDescent="0.25">
      <c r="B48" s="25" t="s">
        <v>241</v>
      </c>
      <c r="C48" s="109"/>
      <c r="D48" s="115">
        <f>1%*Arealanvendelse!M6</f>
        <v>23298.36</v>
      </c>
      <c r="E48" s="115">
        <f>1%*Arealanvendelse!P6</f>
        <v>22178.36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18" sqref="D18:E18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272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315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v>0.36</v>
      </c>
      <c r="E3" s="311">
        <v>0.35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>ROUND(C4,3)</f>
        <v>1.0999999999999999E-2</v>
      </c>
      <c r="E4" s="311">
        <f t="shared" ref="E4:E13" si="0">D4</f>
        <v>1.0999999999999999E-2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ref="D5:D6" si="1">ROUND(C5,3)</f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1"/>
        <v>5.0000000000000001E-3</v>
      </c>
      <c r="E6" s="311">
        <f t="shared" si="0"/>
        <v>5.0000000000000001E-3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f>ROUND(C7,3)</f>
        <v>0.01</v>
      </c>
      <c r="E7" s="311">
        <f t="shared" si="0"/>
        <v>0.01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v>0.1</v>
      </c>
      <c r="E8" s="311">
        <f t="shared" si="0"/>
        <v>0.1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v>1.6E-2</v>
      </c>
      <c r="E9" s="311">
        <f t="shared" si="0"/>
        <v>1.6E-2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ref="D10:D11" si="2">ROUND(C10,3)</f>
        <v>0</v>
      </c>
      <c r="E10" s="311">
        <f t="shared" si="0"/>
        <v>0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2"/>
        <v>0</v>
      </c>
      <c r="E11" s="311">
        <f t="shared" si="0"/>
        <v>0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>ROUND(C12,3)</f>
        <v>0.154</v>
      </c>
      <c r="E12" s="311">
        <f t="shared" si="0"/>
        <v>0.154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>ROUND(C13,3)</f>
        <v>1.0999999999999999E-2</v>
      </c>
      <c r="E13" s="311">
        <f t="shared" si="0"/>
        <v>1.0999999999999999E-2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0.01</v>
      </c>
      <c r="E14" s="119">
        <f>ROUND('[1]Processer - data'!J$491/'[1]Processer - data'!J$490*E15*'[1]Processer - data'!$H$451/'[1]Processer - data'!$H$452,3)</f>
        <v>1.2E-2</v>
      </c>
      <c r="F14" s="1" t="s">
        <v>316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4.3999999999999997E-2</v>
      </c>
      <c r="E15" s="311">
        <v>5.1999999999999998E-2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>ROUND(C16,3)</f>
        <v>8.0000000000000002E-3</v>
      </c>
      <c r="E16" s="311">
        <f t="shared" ref="E16:E17" si="3">D16</f>
        <v>8.0000000000000002E-3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>ROUND(C17,3)</f>
        <v>0.27100000000000002</v>
      </c>
      <c r="E17" s="311">
        <f t="shared" si="3"/>
        <v>0.27100000000000002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317</v>
      </c>
    </row>
  </sheetData>
  <conditionalFormatting sqref="C18">
    <cfRule type="cellIs" dxfId="19" priority="2" operator="notBetween">
      <formula>1</formula>
      <formula>1</formula>
    </cfRule>
  </conditionalFormatting>
  <conditionalFormatting sqref="D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9" sqref="C9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272</v>
      </c>
    </row>
    <row r="2" spans="1:4" x14ac:dyDescent="0.25">
      <c r="A2" s="103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281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280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</v>
      </c>
      <c r="D13" s="8">
        <v>0</v>
      </c>
    </row>
    <row r="14" spans="1:4" x14ac:dyDescent="0.25">
      <c r="A14" s="2" t="s">
        <v>177</v>
      </c>
      <c r="B14" s="7">
        <v>0</v>
      </c>
      <c r="C14" s="8">
        <v>0</v>
      </c>
      <c r="D14" s="8">
        <v>0</v>
      </c>
    </row>
    <row r="15" spans="1:4" x14ac:dyDescent="0.25">
      <c r="A15" s="2" t="s">
        <v>178</v>
      </c>
      <c r="B15" s="7">
        <v>0</v>
      </c>
      <c r="C15" s="8">
        <v>0.5</v>
      </c>
      <c r="D15" s="8">
        <v>0.5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1" t="s">
        <v>180</v>
      </c>
      <c r="B17" s="332">
        <v>0</v>
      </c>
      <c r="C17" s="335">
        <v>0.5</v>
      </c>
      <c r="D17" s="335">
        <v>0.5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182</v>
      </c>
      <c r="B22" s="182" t="s">
        <v>181</v>
      </c>
      <c r="C22" s="109">
        <f>Arealanvendelse!J27</f>
        <v>435064.52162306459</v>
      </c>
      <c r="D22" s="109">
        <f>C22*(1-$C$9)^(D21-C21)</f>
        <v>411725.30255233188</v>
      </c>
      <c r="E22" s="109">
        <f>D22*(1-$C$9)^(E21-D21)</f>
        <v>372451.02368307725</v>
      </c>
      <c r="F22" s="109">
        <f>Arealanvendelse!J37</f>
        <v>127345.4783769354</v>
      </c>
      <c r="G22" s="109">
        <f>F22*(1-$C$9)^(G21-F21)</f>
        <v>120513.97668054659</v>
      </c>
      <c r="H22" s="109">
        <f>G22*(1-$C$9)^(H21-G21)</f>
        <v>109018.20632479334</v>
      </c>
    </row>
    <row r="23" spans="1:8" hidden="1" x14ac:dyDescent="0.25">
      <c r="A23" s="2" t="s">
        <v>176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0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0</v>
      </c>
    </row>
    <row r="24" spans="1:8" hidden="1" x14ac:dyDescent="0.25">
      <c r="A24" s="2" t="s">
        <v>176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0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0</v>
      </c>
    </row>
    <row r="25" spans="1:8" hidden="1" x14ac:dyDescent="0.25">
      <c r="A25" s="2" t="s">
        <v>176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177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177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177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178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34890.096379456823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33887.086649220466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6789.2390041039225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6495.0308201217877</v>
      </c>
    </row>
    <row r="32" spans="1:8" hidden="1" x14ac:dyDescent="0.25">
      <c r="A32" s="2" t="s">
        <v>178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3518.4761188724765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34372.746311010153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687.54888112752417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6637.8081503333005</v>
      </c>
    </row>
    <row r="33" spans="1:10" hidden="1" x14ac:dyDescent="0.25">
      <c r="A33" s="2" t="s">
        <v>178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34890.096379456823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6789.2390041039225</v>
      </c>
    </row>
    <row r="34" spans="1:10" hidden="1" x14ac:dyDescent="0.25">
      <c r="A34" s="2" t="s">
        <v>178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3512.0788895654355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686.29879225274681</v>
      </c>
    </row>
    <row r="35" spans="1:10" hidden="1" x14ac:dyDescent="0.25">
      <c r="A35" s="2" t="s">
        <v>179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34890.096379456823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33964.625517473483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6789.2390041039225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6510.1444269112244</v>
      </c>
    </row>
    <row r="40" spans="1:10" hidden="1" x14ac:dyDescent="0.25">
      <c r="A40" s="2" t="s">
        <v>180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3518.4761188724765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34373.91913638312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687.54888112752417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6638.037333293677</v>
      </c>
    </row>
    <row r="41" spans="1:10" hidden="1" x14ac:dyDescent="0.25">
      <c r="A41" s="2" t="s">
        <v>180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34826.049508013064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6776.7618816892491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3497.4140673832235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683.43312491760958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28" t="s">
        <v>288</v>
      </c>
      <c r="B47" s="2" t="s">
        <v>23</v>
      </c>
      <c r="C47" s="2"/>
      <c r="D47" s="2"/>
      <c r="E47" s="2" t="s">
        <v>24</v>
      </c>
      <c r="F47" s="2"/>
      <c r="G47" s="2"/>
      <c r="H47" s="1" t="s">
        <v>327</v>
      </c>
    </row>
    <row r="48" spans="1:10" hidden="1" x14ac:dyDescent="0.25">
      <c r="A48" s="429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435064.52162306459</v>
      </c>
      <c r="C49" s="109">
        <f t="shared" si="0"/>
        <v>411725.30255233188</v>
      </c>
      <c r="D49" s="109">
        <f t="shared" si="0"/>
        <v>372451.02368307725</v>
      </c>
      <c r="E49" s="109">
        <f t="shared" si="0"/>
        <v>127345.4783769354</v>
      </c>
      <c r="F49" s="109">
        <f t="shared" si="0"/>
        <v>120513.97668054659</v>
      </c>
      <c r="G49" s="109">
        <f t="shared" si="0"/>
        <v>109018.20632479334</v>
      </c>
      <c r="H49" s="109">
        <f>SUM(B49,E49)</f>
        <v>562410</v>
      </c>
      <c r="I49" s="109">
        <f t="shared" ref="I49:J54" si="1">SUM(C49,F49)</f>
        <v>532239.27923287847</v>
      </c>
      <c r="J49" s="109">
        <f t="shared" si="1"/>
        <v>481469.23000787059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0</v>
      </c>
      <c r="D50" s="109">
        <f t="shared" ca="1" si="0"/>
        <v>0</v>
      </c>
      <c r="E50" s="109">
        <f t="shared" ca="1" si="0"/>
        <v>0</v>
      </c>
      <c r="F50" s="109">
        <f t="shared" ca="1" si="0"/>
        <v>0</v>
      </c>
      <c r="G50" s="109">
        <f t="shared" ca="1" si="0"/>
        <v>0</v>
      </c>
      <c r="H50" s="109">
        <f t="shared" ref="H50:H54" ca="1" si="2">SUM(B50,E50)</f>
        <v>0</v>
      </c>
      <c r="I50" s="109">
        <f t="shared" ca="1" si="1"/>
        <v>0</v>
      </c>
      <c r="J50" s="109">
        <f t="shared" ca="1" si="1"/>
        <v>0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0</v>
      </c>
      <c r="D51" s="109">
        <f t="shared" ca="1" si="0"/>
        <v>0</v>
      </c>
      <c r="E51" s="109">
        <f t="shared" ca="1" si="0"/>
        <v>0</v>
      </c>
      <c r="F51" s="109">
        <f t="shared" ca="1" si="0"/>
        <v>0</v>
      </c>
      <c r="G51" s="109">
        <f t="shared" ca="1" si="0"/>
        <v>0</v>
      </c>
      <c r="H51" s="109">
        <f t="shared" ca="1" si="2"/>
        <v>0</v>
      </c>
      <c r="I51" s="109">
        <f t="shared" ca="1" si="1"/>
        <v>0</v>
      </c>
      <c r="J51" s="109">
        <f t="shared" ca="1" si="1"/>
        <v>0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38408.572498329297</v>
      </c>
      <c r="D52" s="109">
        <f t="shared" ca="1" si="0"/>
        <v>106662.00822925288</v>
      </c>
      <c r="E52" s="109">
        <f t="shared" ca="1" si="0"/>
        <v>0</v>
      </c>
      <c r="F52" s="109">
        <f t="shared" ca="1" si="0"/>
        <v>7476.787885231447</v>
      </c>
      <c r="G52" s="109">
        <f t="shared" ca="1" si="0"/>
        <v>20608.376766811758</v>
      </c>
      <c r="H52" s="109">
        <f t="shared" ca="1" si="2"/>
        <v>0</v>
      </c>
      <c r="I52" s="109">
        <f t="shared" ca="1" si="1"/>
        <v>45885.360383560743</v>
      </c>
      <c r="J52" s="109">
        <f t="shared" ca="1" si="1"/>
        <v>127270.38499606465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38408.572498329297</v>
      </c>
      <c r="D54" s="109">
        <f t="shared" ca="1" si="0"/>
        <v>106662.0082292529</v>
      </c>
      <c r="E54" s="109">
        <f t="shared" ca="1" si="0"/>
        <v>0</v>
      </c>
      <c r="F54" s="109">
        <f t="shared" ca="1" si="0"/>
        <v>7476.787885231447</v>
      </c>
      <c r="G54" s="109">
        <f t="shared" ca="1" si="0"/>
        <v>20608.376766811762</v>
      </c>
      <c r="H54" s="109">
        <f t="shared" ca="1" si="2"/>
        <v>0</v>
      </c>
      <c r="I54" s="109">
        <f t="shared" ca="1" si="1"/>
        <v>45885.360383560743</v>
      </c>
      <c r="J54" s="109">
        <f t="shared" ca="1" si="1"/>
        <v>127270.38499606466</v>
      </c>
    </row>
    <row r="55" spans="1:10" hidden="1" x14ac:dyDescent="0.25"/>
    <row r="57" spans="1:10" x14ac:dyDescent="0.25">
      <c r="A57" s="1" t="s">
        <v>328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activeCell="D1" sqref="D1"/>
    </sheetView>
  </sheetViews>
  <sheetFormatPr defaultRowHeight="15" x14ac:dyDescent="0.25"/>
  <cols>
    <col min="1" max="1" width="10.140625" style="168" bestFit="1" customWidth="1"/>
    <col min="2" max="2" width="12.7109375" style="168" bestFit="1" customWidth="1"/>
    <col min="4" max="5" width="9.140625" style="168"/>
  </cols>
  <sheetData>
    <row r="1" spans="1:38" x14ac:dyDescent="0.25">
      <c r="D1" s="187" t="s">
        <v>330</v>
      </c>
      <c r="E1" s="168" t="s">
        <v>329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*VLOOKUP(A2,Skovbrug!$A$13:$D$17,IF('Skovbrug-alder'!C2&lt;=År2,3,4),FALSE)-IF(C2&gt;2020,SUM(INDEX($C$1:$D$311,MATCH(1,(2020=$C$1:$C$311)*(B2=$B$1:$B$311)*(A2=$A$1:$A$311),0),2):D1),0))</f>
        <v>0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*VLOOKUP(A3,Skovbrug!$A$13:$D$17,IF('Skovbrug-alder'!C3&lt;=År2,3,4),FALSE)-IF(C3&gt;2020,SUM(INDEX($C$1:$D$311,MATCH(1,(2020=$C$1:$C$311)*(B3=$B$1:$B$311)*(A3=$A$1:$A$311),0),2):D2),0))</f>
        <v>0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 s="168">
        <f ca="1">IF($C3-G$1&lt;År1,0,F2*(1-VLOOKUP($A3,[1]Hugst!$R$5:$W$9,MATCH(ROUNDUP((G$1)/10,0)*10,[1]Hugst!$R$4:$W$4,0))))</f>
        <v>0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*VLOOKUP(A4,Skovbrug!$A$13:$D$17,IF('Skovbrug-alder'!C4&lt;=År2,3,4),FALSE)-IF(C4&gt;2020,SUM(INDEX($C$1:$D$311,MATCH(1,(2020=$C$1:$C$311)*(B4=$B$1:$B$311)*(A4=$A$1:$A$311),0),2):D3),0))</f>
        <v>0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 s="168">
        <f ca="1">IF($C4-G$1&lt;År1,0,F3*(1-VLOOKUP($A4,[1]Hugst!$R$5:$W$9,MATCH(ROUNDUP((G$1)/10,0)*10,[1]Hugst!$R$4:$W$4,0))))</f>
        <v>0</v>
      </c>
      <c r="H4" s="168">
        <f ca="1">IF($C4-H$1&lt;År1,0,G3*(1-VLOOKUP($A4,[1]Hugst!$R$5:$W$9,MATCH(ROUNDUP((H$1)/10,0)*10,[1]Hugst!$R$4:$W$4,0))))</f>
        <v>0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*VLOOKUP(A5,Skovbrug!$A$13:$D$17,IF('Skovbrug-alder'!C5&lt;=År2,3,4),FALSE)-IF(C5&gt;2020,SUM(INDEX($C$1:$D$311,MATCH(1,(2020=$C$1:$C$311)*(B5=$B$1:$B$311)*(A5=$A$1:$A$311),0),2):D4),0))</f>
        <v>0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 s="168">
        <f ca="1">IF($C5-G$1&lt;År1,0,F4*(1-VLOOKUP($A5,[1]Hugst!$R$5:$W$9,MATCH(ROUNDUP((G$1)/10,0)*10,[1]Hugst!$R$4:$W$4,0))))</f>
        <v>0</v>
      </c>
      <c r="H5" s="168">
        <f ca="1">IF($C5-H$1&lt;År1,0,G4*(1-VLOOKUP($A5,[1]Hugst!$R$5:$W$9,MATCH(ROUNDUP((H$1)/10,0)*10,[1]Hugst!$R$4:$W$4,0))))</f>
        <v>0</v>
      </c>
      <c r="I5" s="168">
        <f ca="1">IF($C5-I$1&lt;År1,0,H4*(1-VLOOKUP($A5,[1]Hugst!$R$5:$W$9,MATCH(ROUNDUP((I$1)/10,0)*10,[1]Hugst!$R$4:$W$4,0))))</f>
        <v>0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*VLOOKUP(A6,Skovbrug!$A$13:$D$17,IF('Skovbrug-alder'!C6&lt;=År2,3,4),FALSE)-IF(C6&gt;2020,SUM(INDEX($C$1:$D$311,MATCH(1,(2020=$C$1:$C$311)*(B6=$B$1:$B$311)*(A6=$A$1:$A$311),0),2):D5),0))</f>
        <v>0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 s="168">
        <f ca="1">IF($C6-G$1&lt;År1,0,F5*(1-VLOOKUP($A6,[1]Hugst!$R$5:$W$9,MATCH(ROUNDUP((G$1)/10,0)*10,[1]Hugst!$R$4:$W$4,0))))</f>
        <v>0</v>
      </c>
      <c r="H6" s="168">
        <f ca="1">IF($C6-H$1&lt;År1,0,G5*(1-VLOOKUP($A6,[1]Hugst!$R$5:$W$9,MATCH(ROUNDUP((H$1)/10,0)*10,[1]Hugst!$R$4:$W$4,0))))</f>
        <v>0</v>
      </c>
      <c r="I6" s="168">
        <f ca="1">IF($C6-I$1&lt;År1,0,H5*(1-VLOOKUP($A6,[1]Hugst!$R$5:$W$9,MATCH(ROUNDUP((I$1)/10,0)*10,[1]Hugst!$R$4:$W$4,0))))</f>
        <v>0</v>
      </c>
      <c r="J6" s="168">
        <f ca="1">IF($C6-J$1&lt;År1,0,I5*(1-VLOOKUP($A6,[1]Hugst!$R$5:$W$9,MATCH(ROUNDUP((J$1)/10,0)*10,[1]Hugst!$R$4:$W$4,0))))</f>
        <v>0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*VLOOKUP(A7,Skovbrug!$A$13:$D$17,IF('Skovbrug-alder'!C7&lt;=År2,3,4),FALSE)-IF(C7&gt;2020,SUM(INDEX($C$1:$D$311,MATCH(1,(2020=$C$1:$C$311)*(B7=$B$1:$B$311)*(A7=$A$1:$A$311),0),2):D6),0))</f>
        <v>0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 s="168">
        <f ca="1">IF($C7-G$1&lt;År1,0,F6*(1-VLOOKUP($A7,[1]Hugst!$R$5:$W$9,MATCH(ROUNDUP((G$1)/10,0)*10,[1]Hugst!$R$4:$W$4,0))))</f>
        <v>0</v>
      </c>
      <c r="H7" s="168">
        <f ca="1">IF($C7-H$1&lt;År1,0,G6*(1-VLOOKUP($A7,[1]Hugst!$R$5:$W$9,MATCH(ROUNDUP((H$1)/10,0)*10,[1]Hugst!$R$4:$W$4,0))))</f>
        <v>0</v>
      </c>
      <c r="I7" s="168">
        <f ca="1">IF($C7-I$1&lt;År1,0,H6*(1-VLOOKUP($A7,[1]Hugst!$R$5:$W$9,MATCH(ROUNDUP((I$1)/10,0)*10,[1]Hugst!$R$4:$W$4,0))))</f>
        <v>0</v>
      </c>
      <c r="J7" s="168">
        <f ca="1">IF($C7-J$1&lt;År1,0,I6*(1-VLOOKUP($A7,[1]Hugst!$R$5:$W$9,MATCH(ROUNDUP((J$1)/10,0)*10,[1]Hugst!$R$4:$W$4,0))))</f>
        <v>0</v>
      </c>
      <c r="K7" s="168">
        <f ca="1">IF($C7-K$1&lt;År1,0,J6*(1-VLOOKUP($A7,[1]Hugst!$R$5:$W$9,MATCH(ROUNDUP((K$1)/10,0)*10,[1]Hugst!$R$4:$W$4,0))))</f>
        <v>0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*VLOOKUP(A8,Skovbrug!$A$13:$D$17,IF('Skovbrug-alder'!C8&lt;=År2,3,4),FALSE)-IF(C8&gt;2020,SUM(INDEX($C$1:$D$311,MATCH(1,(2020=$C$1:$C$311)*(B8=$B$1:$B$311)*(A8=$A$1:$A$311),0),2):D7),0))</f>
        <v>0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 s="168">
        <f ca="1">IF($C8-G$1&lt;År1,0,F7*(1-VLOOKUP($A8,[1]Hugst!$R$5:$W$9,MATCH(ROUNDUP((G$1)/10,0)*10,[1]Hugst!$R$4:$W$4,0))))</f>
        <v>0</v>
      </c>
      <c r="H8" s="168">
        <f ca="1">IF($C8-H$1&lt;År1,0,G7*(1-VLOOKUP($A8,[1]Hugst!$R$5:$W$9,MATCH(ROUNDUP((H$1)/10,0)*10,[1]Hugst!$R$4:$W$4,0))))</f>
        <v>0</v>
      </c>
      <c r="I8" s="168">
        <f ca="1">IF($C8-I$1&lt;År1,0,H7*(1-VLOOKUP($A8,[1]Hugst!$R$5:$W$9,MATCH(ROUNDUP((I$1)/10,0)*10,[1]Hugst!$R$4:$W$4,0))))</f>
        <v>0</v>
      </c>
      <c r="J8" s="168">
        <f ca="1">IF($C8-J$1&lt;År1,0,I7*(1-VLOOKUP($A8,[1]Hugst!$R$5:$W$9,MATCH(ROUNDUP((J$1)/10,0)*10,[1]Hugst!$R$4:$W$4,0))))</f>
        <v>0</v>
      </c>
      <c r="K8" s="168">
        <f ca="1">IF($C8-K$1&lt;År1,0,J7*(1-VLOOKUP($A8,[1]Hugst!$R$5:$W$9,MATCH(ROUNDUP((K$1)/10,0)*10,[1]Hugst!$R$4:$W$4,0))))</f>
        <v>0</v>
      </c>
      <c r="L8" s="168">
        <f ca="1">IF($C8-L$1&lt;År1,0,K7*(1-VLOOKUP($A8,[1]Hugst!$R$5:$W$9,MATCH(ROUNDUP((L$1)/10,0)*10,[1]Hugst!$R$4:$W$4,0))))</f>
        <v>0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*VLOOKUP(A9,Skovbrug!$A$13:$D$17,IF('Skovbrug-alder'!C9&lt;=År2,3,4),FALSE)-IF(C9&gt;2020,SUM(INDEX($C$1:$D$311,MATCH(1,(2020=$C$1:$C$311)*(B9=$B$1:$B$311)*(A9=$A$1:$A$311),0),2):D8),0))</f>
        <v>0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 s="168">
        <f ca="1">IF($C9-G$1&lt;År1,0,F8*(1-VLOOKUP($A9,[1]Hugst!$R$5:$W$9,MATCH(ROUNDUP((G$1)/10,0)*10,[1]Hugst!$R$4:$W$4,0))))</f>
        <v>0</v>
      </c>
      <c r="H9" s="168">
        <f ca="1">IF($C9-H$1&lt;År1,0,G8*(1-VLOOKUP($A9,[1]Hugst!$R$5:$W$9,MATCH(ROUNDUP((H$1)/10,0)*10,[1]Hugst!$R$4:$W$4,0))))</f>
        <v>0</v>
      </c>
      <c r="I9" s="168">
        <f ca="1">IF($C9-I$1&lt;År1,0,H8*(1-VLOOKUP($A9,[1]Hugst!$R$5:$W$9,MATCH(ROUNDUP((I$1)/10,0)*10,[1]Hugst!$R$4:$W$4,0))))</f>
        <v>0</v>
      </c>
      <c r="J9" s="168">
        <f ca="1">IF($C9-J$1&lt;År1,0,I8*(1-VLOOKUP($A9,[1]Hugst!$R$5:$W$9,MATCH(ROUNDUP((J$1)/10,0)*10,[1]Hugst!$R$4:$W$4,0))))</f>
        <v>0</v>
      </c>
      <c r="K9" s="168">
        <f ca="1">IF($C9-K$1&lt;År1,0,J8*(1-VLOOKUP($A9,[1]Hugst!$R$5:$W$9,MATCH(ROUNDUP((K$1)/10,0)*10,[1]Hugst!$R$4:$W$4,0))))</f>
        <v>0</v>
      </c>
      <c r="L9" s="168">
        <f ca="1">IF($C9-L$1&lt;År1,0,K8*(1-VLOOKUP($A9,[1]Hugst!$R$5:$W$9,MATCH(ROUNDUP((L$1)/10,0)*10,[1]Hugst!$R$4:$W$4,0))))</f>
        <v>0</v>
      </c>
      <c r="M9" s="168">
        <f ca="1">IF($C9-M$1&lt;År1,0,L8*(1-VLOOKUP($A9,[1]Hugst!$R$5:$W$9,MATCH(ROUNDUP((M$1)/10,0)*10,[1]Hugst!$R$4:$W$4,0))))</f>
        <v>0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*VLOOKUP(A10,Skovbrug!$A$13:$D$17,IF('Skovbrug-alder'!C10&lt;=År2,3,4),FALSE)-IF(C10&gt;2020,SUM(INDEX($C$1:$D$311,MATCH(1,(2020=$C$1:$C$311)*(B10=$B$1:$B$311)*(A10=$A$1:$A$311),0),2):D9),0))</f>
        <v>0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 s="168">
        <f ca="1">IF($C10-G$1&lt;År1,0,F9*(1-VLOOKUP($A10,[1]Hugst!$R$5:$W$9,MATCH(ROUNDUP((G$1)/10,0)*10,[1]Hugst!$R$4:$W$4,0))))</f>
        <v>0</v>
      </c>
      <c r="H10" s="168">
        <f ca="1">IF($C10-H$1&lt;År1,0,G9*(1-VLOOKUP($A10,[1]Hugst!$R$5:$W$9,MATCH(ROUNDUP((H$1)/10,0)*10,[1]Hugst!$R$4:$W$4,0))))</f>
        <v>0</v>
      </c>
      <c r="I10" s="168">
        <f ca="1">IF($C10-I$1&lt;År1,0,H9*(1-VLOOKUP($A10,[1]Hugst!$R$5:$W$9,MATCH(ROUNDUP((I$1)/10,0)*10,[1]Hugst!$R$4:$W$4,0))))</f>
        <v>0</v>
      </c>
      <c r="J10" s="168">
        <f ca="1">IF($C10-J$1&lt;År1,0,I9*(1-VLOOKUP($A10,[1]Hugst!$R$5:$W$9,MATCH(ROUNDUP((J$1)/10,0)*10,[1]Hugst!$R$4:$W$4,0))))</f>
        <v>0</v>
      </c>
      <c r="K10" s="168">
        <f ca="1">IF($C10-K$1&lt;År1,0,J9*(1-VLOOKUP($A10,[1]Hugst!$R$5:$W$9,MATCH(ROUNDUP((K$1)/10,0)*10,[1]Hugst!$R$4:$W$4,0))))</f>
        <v>0</v>
      </c>
      <c r="L10" s="168">
        <f ca="1">IF($C10-L$1&lt;År1,0,K9*(1-VLOOKUP($A10,[1]Hugst!$R$5:$W$9,MATCH(ROUNDUP((L$1)/10,0)*10,[1]Hugst!$R$4:$W$4,0))))</f>
        <v>0</v>
      </c>
      <c r="M10" s="168">
        <f ca="1">IF($C10-M$1&lt;År1,0,L9*(1-VLOOKUP($A10,[1]Hugst!$R$5:$W$9,MATCH(ROUNDUP((M$1)/10,0)*10,[1]Hugst!$R$4:$W$4,0))))</f>
        <v>0</v>
      </c>
      <c r="N10" s="168">
        <f ca="1">IF($C10-N$1&lt;År1,0,M9*(1-VLOOKUP($A10,[1]Hugst!$R$5:$W$9,MATCH(ROUNDUP((N$1)/10,0)*10,[1]Hugst!$R$4:$W$4,0))))</f>
        <v>0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*VLOOKUP(A11,Skovbrug!$A$13:$D$17,IF('Skovbrug-alder'!C11&lt;=År2,3,4),FALSE)-IF(C11&gt;2020,SUM(INDEX($C$1:$D$311,MATCH(1,(2020=$C$1:$C$311)*(B11=$B$1:$B$311)*(A11=$A$1:$A$311),0),2):D10),0))</f>
        <v>0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 s="168">
        <f ca="1">IF($C11-G$1&lt;År1,0,F10*(1-VLOOKUP($A11,[1]Hugst!$R$5:$W$9,MATCH(ROUNDUP((G$1)/10,0)*10,[1]Hugst!$R$4:$W$4,0))))</f>
        <v>0</v>
      </c>
      <c r="H11" s="168">
        <f ca="1">IF($C11-H$1&lt;År1,0,G10*(1-VLOOKUP($A11,[1]Hugst!$R$5:$W$9,MATCH(ROUNDUP((H$1)/10,0)*10,[1]Hugst!$R$4:$W$4,0))))</f>
        <v>0</v>
      </c>
      <c r="I11" s="168">
        <f ca="1">IF($C11-I$1&lt;År1,0,H10*(1-VLOOKUP($A11,[1]Hugst!$R$5:$W$9,MATCH(ROUNDUP((I$1)/10,0)*10,[1]Hugst!$R$4:$W$4,0))))</f>
        <v>0</v>
      </c>
      <c r="J11" s="168">
        <f ca="1">IF($C11-J$1&lt;År1,0,I10*(1-VLOOKUP($A11,[1]Hugst!$R$5:$W$9,MATCH(ROUNDUP((J$1)/10,0)*10,[1]Hugst!$R$4:$W$4,0))))</f>
        <v>0</v>
      </c>
      <c r="K11" s="168">
        <f ca="1">IF($C11-K$1&lt;År1,0,J10*(1-VLOOKUP($A11,[1]Hugst!$R$5:$W$9,MATCH(ROUNDUP((K$1)/10,0)*10,[1]Hugst!$R$4:$W$4,0))))</f>
        <v>0</v>
      </c>
      <c r="L11" s="168">
        <f ca="1">IF($C11-L$1&lt;År1,0,K10*(1-VLOOKUP($A11,[1]Hugst!$R$5:$W$9,MATCH(ROUNDUP((L$1)/10,0)*10,[1]Hugst!$R$4:$W$4,0))))</f>
        <v>0</v>
      </c>
      <c r="M11" s="168">
        <f ca="1">IF($C11-M$1&lt;År1,0,L10*(1-VLOOKUP($A11,[1]Hugst!$R$5:$W$9,MATCH(ROUNDUP((M$1)/10,0)*10,[1]Hugst!$R$4:$W$4,0))))</f>
        <v>0</v>
      </c>
      <c r="N11" s="168">
        <f ca="1">IF($C11-N$1&lt;År1,0,M10*(1-VLOOKUP($A11,[1]Hugst!$R$5:$W$9,MATCH(ROUNDUP((N$1)/10,0)*10,[1]Hugst!$R$4:$W$4,0))))</f>
        <v>0</v>
      </c>
      <c r="O11" s="168">
        <f ca="1">IF($C11-O$1&lt;År1,0,N10*(1-VLOOKUP($A11,[1]Hugst!$R$5:$W$9,MATCH(ROUNDUP((O$1)/10,0)*10,[1]Hugst!$R$4:$W$4,0))))</f>
        <v>0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*VLOOKUP(A12,Skovbrug!$A$13:$D$17,IF('Skovbrug-alder'!C12&lt;=År2,3,4),FALSE)-IF(C12&gt;2020,SUM(INDEX($C$1:$D$311,MATCH(1,(2020=$C$1:$C$311)*(B12=$B$1:$B$311)*(A12=$A$1:$A$311),0),2):D11),0))</f>
        <v>0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 s="168">
        <f ca="1">IF($C12-G$1&lt;År1,0,F11*(1-VLOOKUP($A12,[1]Hugst!$R$5:$W$9,MATCH(ROUNDUP((G$1)/10,0)*10,[1]Hugst!$R$4:$W$4,0))))</f>
        <v>0</v>
      </c>
      <c r="H12" s="168">
        <f ca="1">IF($C12-H$1&lt;År1,0,G11*(1-VLOOKUP($A12,[1]Hugst!$R$5:$W$9,MATCH(ROUNDUP((H$1)/10,0)*10,[1]Hugst!$R$4:$W$4,0))))</f>
        <v>0</v>
      </c>
      <c r="I12" s="168">
        <f ca="1">IF($C12-I$1&lt;År1,0,H11*(1-VLOOKUP($A12,[1]Hugst!$R$5:$W$9,MATCH(ROUNDUP((I$1)/10,0)*10,[1]Hugst!$R$4:$W$4,0))))</f>
        <v>0</v>
      </c>
      <c r="J12" s="168">
        <f ca="1">IF($C12-J$1&lt;År1,0,I11*(1-VLOOKUP($A12,[1]Hugst!$R$5:$W$9,MATCH(ROUNDUP((J$1)/10,0)*10,[1]Hugst!$R$4:$W$4,0))))</f>
        <v>0</v>
      </c>
      <c r="K12" s="168">
        <f ca="1">IF($C12-K$1&lt;År1,0,J11*(1-VLOOKUP($A12,[1]Hugst!$R$5:$W$9,MATCH(ROUNDUP((K$1)/10,0)*10,[1]Hugst!$R$4:$W$4,0))))</f>
        <v>0</v>
      </c>
      <c r="L12" s="168">
        <f ca="1">IF($C12-L$1&lt;År1,0,K11*(1-VLOOKUP($A12,[1]Hugst!$R$5:$W$9,MATCH(ROUNDUP((L$1)/10,0)*10,[1]Hugst!$R$4:$W$4,0))))</f>
        <v>0</v>
      </c>
      <c r="M12" s="168">
        <f ca="1">IF($C12-M$1&lt;År1,0,L11*(1-VLOOKUP($A12,[1]Hugst!$R$5:$W$9,MATCH(ROUNDUP((M$1)/10,0)*10,[1]Hugst!$R$4:$W$4,0))))</f>
        <v>0</v>
      </c>
      <c r="N12" s="168">
        <f ca="1">IF($C12-N$1&lt;År1,0,M11*(1-VLOOKUP($A12,[1]Hugst!$R$5:$W$9,MATCH(ROUNDUP((N$1)/10,0)*10,[1]Hugst!$R$4:$W$4,0))))</f>
        <v>0</v>
      </c>
      <c r="O12" s="168">
        <f ca="1">IF($C12-O$1&lt;År1,0,N11*(1-VLOOKUP($A12,[1]Hugst!$R$5:$W$9,MATCH(ROUNDUP((O$1)/10,0)*10,[1]Hugst!$R$4:$W$4,0))))</f>
        <v>0</v>
      </c>
      <c r="P12" s="168">
        <f ca="1">IF($C12-P$1&lt;År1,0,O11*(1-VLOOKUP($A12,[1]Hugst!$R$5:$W$9,MATCH(ROUNDUP((P$1)/10,0)*10,[1]Hugst!$R$4:$W$4,0))))</f>
        <v>0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*VLOOKUP(A13,Skovbrug!$A$13:$D$17,IF('Skovbrug-alder'!C13&lt;=År2,3,4),FALSE)-IF(C13&gt;2020,SUM(INDEX($C$1:$D$311,MATCH(1,(2020=$C$1:$C$311)*(B13=$B$1:$B$311)*(A13=$A$1:$A$311),0),2):D12),0))</f>
        <v>0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0</v>
      </c>
      <c r="G13" s="168">
        <f ca="1">IF($C13-G$1&lt;År1,0,F12*(1-VLOOKUP($A13,[1]Hugst!$R$5:$W$9,MATCH(ROUNDUP((G$1)/10,0)*10,[1]Hugst!$R$4:$W$4,0))))</f>
        <v>0</v>
      </c>
      <c r="H13" s="168">
        <f ca="1">IF($C13-H$1&lt;År1,0,G12*(1-VLOOKUP($A13,[1]Hugst!$R$5:$W$9,MATCH(ROUNDUP((H$1)/10,0)*10,[1]Hugst!$R$4:$W$4,0))))</f>
        <v>0</v>
      </c>
      <c r="I13" s="168">
        <f ca="1">IF($C13-I$1&lt;År1,0,H12*(1-VLOOKUP($A13,[1]Hugst!$R$5:$W$9,MATCH(ROUNDUP((I$1)/10,0)*10,[1]Hugst!$R$4:$W$4,0))))</f>
        <v>0</v>
      </c>
      <c r="J13" s="168">
        <f ca="1">IF($C13-J$1&lt;År1,0,I12*(1-VLOOKUP($A13,[1]Hugst!$R$5:$W$9,MATCH(ROUNDUP((J$1)/10,0)*10,[1]Hugst!$R$4:$W$4,0))))</f>
        <v>0</v>
      </c>
      <c r="K13" s="168">
        <f ca="1">IF($C13-K$1&lt;År1,0,J12*(1-VLOOKUP($A13,[1]Hugst!$R$5:$W$9,MATCH(ROUNDUP((K$1)/10,0)*10,[1]Hugst!$R$4:$W$4,0))))</f>
        <v>0</v>
      </c>
      <c r="L13" s="168">
        <f ca="1">IF($C13-L$1&lt;År1,0,K12*(1-VLOOKUP($A13,[1]Hugst!$R$5:$W$9,MATCH(ROUNDUP((L$1)/10,0)*10,[1]Hugst!$R$4:$W$4,0))))</f>
        <v>0</v>
      </c>
      <c r="M13" s="168">
        <f ca="1">IF($C13-M$1&lt;År1,0,L12*(1-VLOOKUP($A13,[1]Hugst!$R$5:$W$9,MATCH(ROUNDUP((M$1)/10,0)*10,[1]Hugst!$R$4:$W$4,0))))</f>
        <v>0</v>
      </c>
      <c r="N13" s="168">
        <f ca="1">IF($C13-N$1&lt;År1,0,M12*(1-VLOOKUP($A13,[1]Hugst!$R$5:$W$9,MATCH(ROUNDUP((N$1)/10,0)*10,[1]Hugst!$R$4:$W$4,0))))</f>
        <v>0</v>
      </c>
      <c r="O13" s="168">
        <f ca="1">IF($C13-O$1&lt;År1,0,N12*(1-VLOOKUP($A13,[1]Hugst!$R$5:$W$9,MATCH(ROUNDUP((O$1)/10,0)*10,[1]Hugst!$R$4:$W$4,0))))</f>
        <v>0</v>
      </c>
      <c r="P13" s="168">
        <f ca="1">IF($C13-P$1&lt;År1,0,O12*(1-VLOOKUP($A13,[1]Hugst!$R$5:$W$9,MATCH(ROUNDUP((P$1)/10,0)*10,[1]Hugst!$R$4:$W$4,0))))</f>
        <v>0</v>
      </c>
      <c r="Q13" s="168">
        <f ca="1">IF($C13-Q$1&lt;År1,0,P12*(1-VLOOKUP($A13,[1]Hugst!$R$5:$W$9,MATCH(ROUNDUP((Q$1)/10,0)*10,[1]Hugst!$R$4:$W$4,0))))</f>
        <v>0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*VLOOKUP(A14,Skovbrug!$A$13:$D$17,IF('Skovbrug-alder'!C14&lt;=År2,3,4),FALSE)-IF(C14&gt;2020,SUM(INDEX($C$1:$D$311,MATCH(1,(2020=$C$1:$C$311)*(B14=$B$1:$B$311)*(A14=$A$1:$A$311),0),2):D13),0))</f>
        <v>0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0</v>
      </c>
      <c r="G14" s="168">
        <f ca="1">IF($C14-G$1&lt;År1,0,F13*(1-VLOOKUP($A14,[1]Hugst!$R$5:$W$9,MATCH(ROUNDUP((G$1)/10,0)*10,[1]Hugst!$R$4:$W$4,0))))</f>
        <v>0</v>
      </c>
      <c r="H14" s="168">
        <f ca="1">IF($C14-H$1&lt;År1,0,G13*(1-VLOOKUP($A14,[1]Hugst!$R$5:$W$9,MATCH(ROUNDUP((H$1)/10,0)*10,[1]Hugst!$R$4:$W$4,0))))</f>
        <v>0</v>
      </c>
      <c r="I14" s="168">
        <f ca="1">IF($C14-I$1&lt;År1,0,H13*(1-VLOOKUP($A14,[1]Hugst!$R$5:$W$9,MATCH(ROUNDUP((I$1)/10,0)*10,[1]Hugst!$R$4:$W$4,0))))</f>
        <v>0</v>
      </c>
      <c r="J14" s="168">
        <f ca="1">IF($C14-J$1&lt;År1,0,I13*(1-VLOOKUP($A14,[1]Hugst!$R$5:$W$9,MATCH(ROUNDUP((J$1)/10,0)*10,[1]Hugst!$R$4:$W$4,0))))</f>
        <v>0</v>
      </c>
      <c r="K14" s="168">
        <f ca="1">IF($C14-K$1&lt;År1,0,J13*(1-VLOOKUP($A14,[1]Hugst!$R$5:$W$9,MATCH(ROUNDUP((K$1)/10,0)*10,[1]Hugst!$R$4:$W$4,0))))</f>
        <v>0</v>
      </c>
      <c r="L14" s="168">
        <f ca="1">IF($C14-L$1&lt;År1,0,K13*(1-VLOOKUP($A14,[1]Hugst!$R$5:$W$9,MATCH(ROUNDUP((L$1)/10,0)*10,[1]Hugst!$R$4:$W$4,0))))</f>
        <v>0</v>
      </c>
      <c r="M14" s="168">
        <f ca="1">IF($C14-M$1&lt;År1,0,L13*(1-VLOOKUP($A14,[1]Hugst!$R$5:$W$9,MATCH(ROUNDUP((M$1)/10,0)*10,[1]Hugst!$R$4:$W$4,0))))</f>
        <v>0</v>
      </c>
      <c r="N14" s="168">
        <f ca="1">IF($C14-N$1&lt;År1,0,M13*(1-VLOOKUP($A14,[1]Hugst!$R$5:$W$9,MATCH(ROUNDUP((N$1)/10,0)*10,[1]Hugst!$R$4:$W$4,0))))</f>
        <v>0</v>
      </c>
      <c r="O14" s="168">
        <f ca="1">IF($C14-O$1&lt;År1,0,N13*(1-VLOOKUP($A14,[1]Hugst!$R$5:$W$9,MATCH(ROUNDUP((O$1)/10,0)*10,[1]Hugst!$R$4:$W$4,0))))</f>
        <v>0</v>
      </c>
      <c r="P14" s="168">
        <f ca="1">IF($C14-P$1&lt;År1,0,O13*(1-VLOOKUP($A14,[1]Hugst!$R$5:$W$9,MATCH(ROUNDUP((P$1)/10,0)*10,[1]Hugst!$R$4:$W$4,0))))</f>
        <v>0</v>
      </c>
      <c r="Q14" s="168">
        <f ca="1">IF($C14-Q$1&lt;År1,0,P13*(1-VLOOKUP($A14,[1]Hugst!$R$5:$W$9,MATCH(ROUNDUP((Q$1)/10,0)*10,[1]Hugst!$R$4:$W$4,0))))</f>
        <v>0</v>
      </c>
      <c r="R14" s="168">
        <f ca="1">IF($C14-R$1&lt;År1,0,Q13*(1-VLOOKUP($A14,[1]Hugst!$R$5:$W$9,MATCH(ROUNDUP((R$1)/10,0)*10,[1]Hugst!$R$4:$W$4,0))))</f>
        <v>0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*VLOOKUP(A15,Skovbrug!$A$13:$D$17,IF('Skovbrug-alder'!C15&lt;=År2,3,4),FALSE)-IF(C15&gt;2020,SUM(INDEX($C$1:$D$311,MATCH(1,(2020=$C$1:$C$311)*(B15=$B$1:$B$311)*(A15=$A$1:$A$311),0),2):D14),0))</f>
        <v>0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0</v>
      </c>
      <c r="G15" s="168">
        <f ca="1">IF($C15-G$1&lt;År1,0,F14*(1-VLOOKUP($A15,[1]Hugst!$R$5:$W$9,MATCH(ROUNDUP((G$1)/10,0)*10,[1]Hugst!$R$4:$W$4,0))))</f>
        <v>0</v>
      </c>
      <c r="H15" s="168">
        <f ca="1">IF($C15-H$1&lt;År1,0,G14*(1-VLOOKUP($A15,[1]Hugst!$R$5:$W$9,MATCH(ROUNDUP((H$1)/10,0)*10,[1]Hugst!$R$4:$W$4,0))))</f>
        <v>0</v>
      </c>
      <c r="I15" s="168">
        <f ca="1">IF($C15-I$1&lt;År1,0,H14*(1-VLOOKUP($A15,[1]Hugst!$R$5:$W$9,MATCH(ROUNDUP((I$1)/10,0)*10,[1]Hugst!$R$4:$W$4,0))))</f>
        <v>0</v>
      </c>
      <c r="J15" s="168">
        <f ca="1">IF($C15-J$1&lt;År1,0,I14*(1-VLOOKUP($A15,[1]Hugst!$R$5:$W$9,MATCH(ROUNDUP((J$1)/10,0)*10,[1]Hugst!$R$4:$W$4,0))))</f>
        <v>0</v>
      </c>
      <c r="K15" s="168">
        <f ca="1">IF($C15-K$1&lt;År1,0,J14*(1-VLOOKUP($A15,[1]Hugst!$R$5:$W$9,MATCH(ROUNDUP((K$1)/10,0)*10,[1]Hugst!$R$4:$W$4,0))))</f>
        <v>0</v>
      </c>
      <c r="L15" s="168">
        <f ca="1">IF($C15-L$1&lt;År1,0,K14*(1-VLOOKUP($A15,[1]Hugst!$R$5:$W$9,MATCH(ROUNDUP((L$1)/10,0)*10,[1]Hugst!$R$4:$W$4,0))))</f>
        <v>0</v>
      </c>
      <c r="M15" s="168">
        <f ca="1">IF($C15-M$1&lt;År1,0,L14*(1-VLOOKUP($A15,[1]Hugst!$R$5:$W$9,MATCH(ROUNDUP((M$1)/10,0)*10,[1]Hugst!$R$4:$W$4,0))))</f>
        <v>0</v>
      </c>
      <c r="N15" s="168">
        <f ca="1">IF($C15-N$1&lt;År1,0,M14*(1-VLOOKUP($A15,[1]Hugst!$R$5:$W$9,MATCH(ROUNDUP((N$1)/10,0)*10,[1]Hugst!$R$4:$W$4,0))))</f>
        <v>0</v>
      </c>
      <c r="O15" s="168">
        <f ca="1">IF($C15-O$1&lt;År1,0,N14*(1-VLOOKUP($A15,[1]Hugst!$R$5:$W$9,MATCH(ROUNDUP((O$1)/10,0)*10,[1]Hugst!$R$4:$W$4,0))))</f>
        <v>0</v>
      </c>
      <c r="P15" s="168">
        <f ca="1">IF($C15-P$1&lt;År1,0,O14*(1-VLOOKUP($A15,[1]Hugst!$R$5:$W$9,MATCH(ROUNDUP((P$1)/10,0)*10,[1]Hugst!$R$4:$W$4,0))))</f>
        <v>0</v>
      </c>
      <c r="Q15" s="168">
        <f ca="1">IF($C15-Q$1&lt;År1,0,P14*(1-VLOOKUP($A15,[1]Hugst!$R$5:$W$9,MATCH(ROUNDUP((Q$1)/10,0)*10,[1]Hugst!$R$4:$W$4,0))))</f>
        <v>0</v>
      </c>
      <c r="R15" s="168">
        <f ca="1">IF($C15-R$1&lt;År1,0,Q14*(1-VLOOKUP($A15,[1]Hugst!$R$5:$W$9,MATCH(ROUNDUP((R$1)/10,0)*10,[1]Hugst!$R$4:$W$4,0))))</f>
        <v>0</v>
      </c>
      <c r="S15" s="168">
        <f ca="1">IF($C15-S$1&lt;År1,0,R14*(1-VLOOKUP($A15,[1]Hugst!$R$5:$W$9,MATCH(ROUNDUP((S$1)/10,0)*10,[1]Hugst!$R$4:$W$4,0))))</f>
        <v>0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*VLOOKUP(A16,Skovbrug!$A$13:$D$17,IF('Skovbrug-alder'!C16&lt;=År2,3,4),FALSE)-IF(C16&gt;2020,SUM(INDEX($C$1:$D$311,MATCH(1,(2020=$C$1:$C$311)*(B16=$B$1:$B$311)*(A16=$A$1:$A$311),0),2):D15),0))</f>
        <v>0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0</v>
      </c>
      <c r="G16" s="168">
        <f ca="1">IF($C16-G$1&lt;År1,0,F15*(1-VLOOKUP($A16,[1]Hugst!$R$5:$W$9,MATCH(ROUNDUP((G$1)/10,0)*10,[1]Hugst!$R$4:$W$4,0))))</f>
        <v>0</v>
      </c>
      <c r="H16" s="168">
        <f ca="1">IF($C16-H$1&lt;År1,0,G15*(1-VLOOKUP($A16,[1]Hugst!$R$5:$W$9,MATCH(ROUNDUP((H$1)/10,0)*10,[1]Hugst!$R$4:$W$4,0))))</f>
        <v>0</v>
      </c>
      <c r="I16" s="168">
        <f ca="1">IF($C16-I$1&lt;År1,0,H15*(1-VLOOKUP($A16,[1]Hugst!$R$5:$W$9,MATCH(ROUNDUP((I$1)/10,0)*10,[1]Hugst!$R$4:$W$4,0))))</f>
        <v>0</v>
      </c>
      <c r="J16" s="168">
        <f ca="1">IF($C16-J$1&lt;År1,0,I15*(1-VLOOKUP($A16,[1]Hugst!$R$5:$W$9,MATCH(ROUNDUP((J$1)/10,0)*10,[1]Hugst!$R$4:$W$4,0))))</f>
        <v>0</v>
      </c>
      <c r="K16" s="168">
        <f ca="1">IF($C16-K$1&lt;År1,0,J15*(1-VLOOKUP($A16,[1]Hugst!$R$5:$W$9,MATCH(ROUNDUP((K$1)/10,0)*10,[1]Hugst!$R$4:$W$4,0))))</f>
        <v>0</v>
      </c>
      <c r="L16" s="168">
        <f ca="1">IF($C16-L$1&lt;År1,0,K15*(1-VLOOKUP($A16,[1]Hugst!$R$5:$W$9,MATCH(ROUNDUP((L$1)/10,0)*10,[1]Hugst!$R$4:$W$4,0))))</f>
        <v>0</v>
      </c>
      <c r="M16" s="168">
        <f ca="1">IF($C16-M$1&lt;År1,0,L15*(1-VLOOKUP($A16,[1]Hugst!$R$5:$W$9,MATCH(ROUNDUP((M$1)/10,0)*10,[1]Hugst!$R$4:$W$4,0))))</f>
        <v>0</v>
      </c>
      <c r="N16" s="168">
        <f ca="1">IF($C16-N$1&lt;År1,0,M15*(1-VLOOKUP($A16,[1]Hugst!$R$5:$W$9,MATCH(ROUNDUP((N$1)/10,0)*10,[1]Hugst!$R$4:$W$4,0))))</f>
        <v>0</v>
      </c>
      <c r="O16" s="168">
        <f ca="1">IF($C16-O$1&lt;År1,0,N15*(1-VLOOKUP($A16,[1]Hugst!$R$5:$W$9,MATCH(ROUNDUP((O$1)/10,0)*10,[1]Hugst!$R$4:$W$4,0))))</f>
        <v>0</v>
      </c>
      <c r="P16" s="168">
        <f ca="1">IF($C16-P$1&lt;År1,0,O15*(1-VLOOKUP($A16,[1]Hugst!$R$5:$W$9,MATCH(ROUNDUP((P$1)/10,0)*10,[1]Hugst!$R$4:$W$4,0))))</f>
        <v>0</v>
      </c>
      <c r="Q16" s="168">
        <f ca="1">IF($C16-Q$1&lt;År1,0,P15*(1-VLOOKUP($A16,[1]Hugst!$R$5:$W$9,MATCH(ROUNDUP((Q$1)/10,0)*10,[1]Hugst!$R$4:$W$4,0))))</f>
        <v>0</v>
      </c>
      <c r="R16" s="168">
        <f ca="1">IF($C16-R$1&lt;År1,0,Q15*(1-VLOOKUP($A16,[1]Hugst!$R$5:$W$9,MATCH(ROUNDUP((R$1)/10,0)*10,[1]Hugst!$R$4:$W$4,0))))</f>
        <v>0</v>
      </c>
      <c r="S16" s="168">
        <f ca="1">IF($C16-S$1&lt;År1,0,R15*(1-VLOOKUP($A16,[1]Hugst!$R$5:$W$9,MATCH(ROUNDUP((S$1)/10,0)*10,[1]Hugst!$R$4:$W$4,0))))</f>
        <v>0</v>
      </c>
      <c r="T16" s="168">
        <f ca="1">IF($C16-T$1&lt;År1,0,S15*(1-VLOOKUP($A16,[1]Hugst!$R$5:$W$9,MATCH(ROUNDUP((T$1)/10,0)*10,[1]Hugst!$R$4:$W$4,0))))</f>
        <v>0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*VLOOKUP(A17,Skovbrug!$A$13:$D$17,IF('Skovbrug-alder'!C17&lt;=År2,3,4),FALSE)-IF(C17&gt;2020,SUM(INDEX($C$1:$D$311,MATCH(1,(2020=$C$1:$C$311)*(B17=$B$1:$B$311)*(A17=$A$1:$A$311),0),2):D16),0))</f>
        <v>0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0</v>
      </c>
      <c r="G17" s="168">
        <f ca="1">IF($C17-G$1&lt;År1,0,F16*(1-VLOOKUP($A17,[1]Hugst!$R$5:$W$9,MATCH(ROUNDUP((G$1)/10,0)*10,[1]Hugst!$R$4:$W$4,0))))</f>
        <v>0</v>
      </c>
      <c r="H17" s="168">
        <f ca="1">IF($C17-H$1&lt;År1,0,G16*(1-VLOOKUP($A17,[1]Hugst!$R$5:$W$9,MATCH(ROUNDUP((H$1)/10,0)*10,[1]Hugst!$R$4:$W$4,0))))</f>
        <v>0</v>
      </c>
      <c r="I17" s="168">
        <f ca="1">IF($C17-I$1&lt;År1,0,H16*(1-VLOOKUP($A17,[1]Hugst!$R$5:$W$9,MATCH(ROUNDUP((I$1)/10,0)*10,[1]Hugst!$R$4:$W$4,0))))</f>
        <v>0</v>
      </c>
      <c r="J17" s="168">
        <f ca="1">IF($C17-J$1&lt;År1,0,I16*(1-VLOOKUP($A17,[1]Hugst!$R$5:$W$9,MATCH(ROUNDUP((J$1)/10,0)*10,[1]Hugst!$R$4:$W$4,0))))</f>
        <v>0</v>
      </c>
      <c r="K17" s="168">
        <f ca="1">IF($C17-K$1&lt;År1,0,J16*(1-VLOOKUP($A17,[1]Hugst!$R$5:$W$9,MATCH(ROUNDUP((K$1)/10,0)*10,[1]Hugst!$R$4:$W$4,0))))</f>
        <v>0</v>
      </c>
      <c r="L17" s="168">
        <f ca="1">IF($C17-L$1&lt;År1,0,K16*(1-VLOOKUP($A17,[1]Hugst!$R$5:$W$9,MATCH(ROUNDUP((L$1)/10,0)*10,[1]Hugst!$R$4:$W$4,0))))</f>
        <v>0</v>
      </c>
      <c r="M17" s="168">
        <f ca="1">IF($C17-M$1&lt;År1,0,L16*(1-VLOOKUP($A17,[1]Hugst!$R$5:$W$9,MATCH(ROUNDUP((M$1)/10,0)*10,[1]Hugst!$R$4:$W$4,0))))</f>
        <v>0</v>
      </c>
      <c r="N17" s="168">
        <f ca="1">IF($C17-N$1&lt;År1,0,M16*(1-VLOOKUP($A17,[1]Hugst!$R$5:$W$9,MATCH(ROUNDUP((N$1)/10,0)*10,[1]Hugst!$R$4:$W$4,0))))</f>
        <v>0</v>
      </c>
      <c r="O17" s="168">
        <f ca="1">IF($C17-O$1&lt;År1,0,N16*(1-VLOOKUP($A17,[1]Hugst!$R$5:$W$9,MATCH(ROUNDUP((O$1)/10,0)*10,[1]Hugst!$R$4:$W$4,0))))</f>
        <v>0</v>
      </c>
      <c r="P17" s="168">
        <f ca="1">IF($C17-P$1&lt;År1,0,O16*(1-VLOOKUP($A17,[1]Hugst!$R$5:$W$9,MATCH(ROUNDUP((P$1)/10,0)*10,[1]Hugst!$R$4:$W$4,0))))</f>
        <v>0</v>
      </c>
      <c r="Q17" s="168">
        <f ca="1">IF($C17-Q$1&lt;År1,0,P16*(1-VLOOKUP($A17,[1]Hugst!$R$5:$W$9,MATCH(ROUNDUP((Q$1)/10,0)*10,[1]Hugst!$R$4:$W$4,0))))</f>
        <v>0</v>
      </c>
      <c r="R17" s="168">
        <f ca="1">IF($C17-R$1&lt;År1,0,Q16*(1-VLOOKUP($A17,[1]Hugst!$R$5:$W$9,MATCH(ROUNDUP((R$1)/10,0)*10,[1]Hugst!$R$4:$W$4,0))))</f>
        <v>0</v>
      </c>
      <c r="S17" s="168">
        <f ca="1">IF($C17-S$1&lt;År1,0,R16*(1-VLOOKUP($A17,[1]Hugst!$R$5:$W$9,MATCH(ROUNDUP((S$1)/10,0)*10,[1]Hugst!$R$4:$W$4,0))))</f>
        <v>0</v>
      </c>
      <c r="T17" s="168">
        <f ca="1">IF($C17-T$1&lt;År1,0,S16*(1-VLOOKUP($A17,[1]Hugst!$R$5:$W$9,MATCH(ROUNDUP((T$1)/10,0)*10,[1]Hugst!$R$4:$W$4,0))))</f>
        <v>0</v>
      </c>
      <c r="U17" s="168">
        <f ca="1">IF($C17-U$1&lt;År1,0,T16*(1-VLOOKUP($A17,[1]Hugst!$R$5:$W$9,MATCH(ROUNDUP((U$1)/10,0)*10,[1]Hugst!$R$4:$W$4,0))))</f>
        <v>0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*VLOOKUP(A18,Skovbrug!$A$13:$D$17,IF('Skovbrug-alder'!C18&lt;=År2,3,4),FALSE)-IF(C18&gt;2020,SUM(INDEX($C$1:$D$311,MATCH(1,(2020=$C$1:$C$311)*(B18=$B$1:$B$311)*(A18=$A$1:$A$311),0),2):D17),0))</f>
        <v>0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0</v>
      </c>
      <c r="G18" s="168">
        <f ca="1">IF($C18-G$1&lt;År1,0,F17*(1-VLOOKUP($A18,[1]Hugst!$R$5:$W$9,MATCH(ROUNDUP((G$1)/10,0)*10,[1]Hugst!$R$4:$W$4,0))))</f>
        <v>0</v>
      </c>
      <c r="H18" s="168">
        <f ca="1">IF($C18-H$1&lt;År1,0,G17*(1-VLOOKUP($A18,[1]Hugst!$R$5:$W$9,MATCH(ROUNDUP((H$1)/10,0)*10,[1]Hugst!$R$4:$W$4,0))))</f>
        <v>0</v>
      </c>
      <c r="I18" s="168">
        <f ca="1">IF($C18-I$1&lt;År1,0,H17*(1-VLOOKUP($A18,[1]Hugst!$R$5:$W$9,MATCH(ROUNDUP((I$1)/10,0)*10,[1]Hugst!$R$4:$W$4,0))))</f>
        <v>0</v>
      </c>
      <c r="J18" s="168">
        <f ca="1">IF($C18-J$1&lt;År1,0,I17*(1-VLOOKUP($A18,[1]Hugst!$R$5:$W$9,MATCH(ROUNDUP((J$1)/10,0)*10,[1]Hugst!$R$4:$W$4,0))))</f>
        <v>0</v>
      </c>
      <c r="K18" s="168">
        <f ca="1">IF($C18-K$1&lt;År1,0,J17*(1-VLOOKUP($A18,[1]Hugst!$R$5:$W$9,MATCH(ROUNDUP((K$1)/10,0)*10,[1]Hugst!$R$4:$W$4,0))))</f>
        <v>0</v>
      </c>
      <c r="L18" s="168">
        <f ca="1">IF($C18-L$1&lt;År1,0,K17*(1-VLOOKUP($A18,[1]Hugst!$R$5:$W$9,MATCH(ROUNDUP((L$1)/10,0)*10,[1]Hugst!$R$4:$W$4,0))))</f>
        <v>0</v>
      </c>
      <c r="M18" s="168">
        <f ca="1">IF($C18-M$1&lt;År1,0,L17*(1-VLOOKUP($A18,[1]Hugst!$R$5:$W$9,MATCH(ROUNDUP((M$1)/10,0)*10,[1]Hugst!$R$4:$W$4,0))))</f>
        <v>0</v>
      </c>
      <c r="N18" s="168">
        <f ca="1">IF($C18-N$1&lt;År1,0,M17*(1-VLOOKUP($A18,[1]Hugst!$R$5:$W$9,MATCH(ROUNDUP((N$1)/10,0)*10,[1]Hugst!$R$4:$W$4,0))))</f>
        <v>0</v>
      </c>
      <c r="O18" s="168">
        <f ca="1">IF($C18-O$1&lt;År1,0,N17*(1-VLOOKUP($A18,[1]Hugst!$R$5:$W$9,MATCH(ROUNDUP((O$1)/10,0)*10,[1]Hugst!$R$4:$W$4,0))))</f>
        <v>0</v>
      </c>
      <c r="P18" s="168">
        <f ca="1">IF($C18-P$1&lt;År1,0,O17*(1-VLOOKUP($A18,[1]Hugst!$R$5:$W$9,MATCH(ROUNDUP((P$1)/10,0)*10,[1]Hugst!$R$4:$W$4,0))))</f>
        <v>0</v>
      </c>
      <c r="Q18" s="168">
        <f ca="1">IF($C18-Q$1&lt;År1,0,P17*(1-VLOOKUP($A18,[1]Hugst!$R$5:$W$9,MATCH(ROUNDUP((Q$1)/10,0)*10,[1]Hugst!$R$4:$W$4,0))))</f>
        <v>0</v>
      </c>
      <c r="R18" s="168">
        <f ca="1">IF($C18-R$1&lt;År1,0,Q17*(1-VLOOKUP($A18,[1]Hugst!$R$5:$W$9,MATCH(ROUNDUP((R$1)/10,0)*10,[1]Hugst!$R$4:$W$4,0))))</f>
        <v>0</v>
      </c>
      <c r="S18" s="168">
        <f ca="1">IF($C18-S$1&lt;År1,0,R17*(1-VLOOKUP($A18,[1]Hugst!$R$5:$W$9,MATCH(ROUNDUP((S$1)/10,0)*10,[1]Hugst!$R$4:$W$4,0))))</f>
        <v>0</v>
      </c>
      <c r="T18" s="168">
        <f ca="1">IF($C18-T$1&lt;År1,0,S17*(1-VLOOKUP($A18,[1]Hugst!$R$5:$W$9,MATCH(ROUNDUP((T$1)/10,0)*10,[1]Hugst!$R$4:$W$4,0))))</f>
        <v>0</v>
      </c>
      <c r="U18" s="168">
        <f ca="1">IF($C18-U$1&lt;År1,0,T17*(1-VLOOKUP($A18,[1]Hugst!$R$5:$W$9,MATCH(ROUNDUP((U$1)/10,0)*10,[1]Hugst!$R$4:$W$4,0))))</f>
        <v>0</v>
      </c>
      <c r="V18" s="168">
        <f ca="1">IF($C18-V$1&lt;År1,0,U17*(1-VLOOKUP($A18,[1]Hugst!$R$5:$W$9,MATCH(ROUNDUP((V$1)/10,0)*10,[1]Hugst!$R$4:$W$4,0))))</f>
        <v>0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*VLOOKUP(A19,Skovbrug!$A$13:$D$17,IF('Skovbrug-alder'!C19&lt;=År2,3,4),FALSE)-IF(C19&gt;2020,SUM(INDEX($C$1:$D$311,MATCH(1,(2020=$C$1:$C$311)*(B19=$B$1:$B$311)*(A19=$A$1:$A$311),0),2):D18),0))</f>
        <v>0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0</v>
      </c>
      <c r="G19" s="168">
        <f ca="1">IF($C19-G$1&lt;År1,0,F18*(1-VLOOKUP($A19,[1]Hugst!$R$5:$W$9,MATCH(ROUNDUP((G$1)/10,0)*10,[1]Hugst!$R$4:$W$4,0))))</f>
        <v>0</v>
      </c>
      <c r="H19" s="168">
        <f ca="1">IF($C19-H$1&lt;År1,0,G18*(1-VLOOKUP($A19,[1]Hugst!$R$5:$W$9,MATCH(ROUNDUP((H$1)/10,0)*10,[1]Hugst!$R$4:$W$4,0))))</f>
        <v>0</v>
      </c>
      <c r="I19" s="168">
        <f ca="1">IF($C19-I$1&lt;År1,0,H18*(1-VLOOKUP($A19,[1]Hugst!$R$5:$W$9,MATCH(ROUNDUP((I$1)/10,0)*10,[1]Hugst!$R$4:$W$4,0))))</f>
        <v>0</v>
      </c>
      <c r="J19" s="168">
        <f ca="1">IF($C19-J$1&lt;År1,0,I18*(1-VLOOKUP($A19,[1]Hugst!$R$5:$W$9,MATCH(ROUNDUP((J$1)/10,0)*10,[1]Hugst!$R$4:$W$4,0))))</f>
        <v>0</v>
      </c>
      <c r="K19" s="168">
        <f ca="1">IF($C19-K$1&lt;År1,0,J18*(1-VLOOKUP($A19,[1]Hugst!$R$5:$W$9,MATCH(ROUNDUP((K$1)/10,0)*10,[1]Hugst!$R$4:$W$4,0))))</f>
        <v>0</v>
      </c>
      <c r="L19" s="168">
        <f ca="1">IF($C19-L$1&lt;År1,0,K18*(1-VLOOKUP($A19,[1]Hugst!$R$5:$W$9,MATCH(ROUNDUP((L$1)/10,0)*10,[1]Hugst!$R$4:$W$4,0))))</f>
        <v>0</v>
      </c>
      <c r="M19" s="168">
        <f ca="1">IF($C19-M$1&lt;År1,0,L18*(1-VLOOKUP($A19,[1]Hugst!$R$5:$W$9,MATCH(ROUNDUP((M$1)/10,0)*10,[1]Hugst!$R$4:$W$4,0))))</f>
        <v>0</v>
      </c>
      <c r="N19" s="168">
        <f ca="1">IF($C19-N$1&lt;År1,0,M18*(1-VLOOKUP($A19,[1]Hugst!$R$5:$W$9,MATCH(ROUNDUP((N$1)/10,0)*10,[1]Hugst!$R$4:$W$4,0))))</f>
        <v>0</v>
      </c>
      <c r="O19" s="168">
        <f ca="1">IF($C19-O$1&lt;År1,0,N18*(1-VLOOKUP($A19,[1]Hugst!$R$5:$W$9,MATCH(ROUNDUP((O$1)/10,0)*10,[1]Hugst!$R$4:$W$4,0))))</f>
        <v>0</v>
      </c>
      <c r="P19" s="168">
        <f ca="1">IF($C19-P$1&lt;År1,0,O18*(1-VLOOKUP($A19,[1]Hugst!$R$5:$W$9,MATCH(ROUNDUP((P$1)/10,0)*10,[1]Hugst!$R$4:$W$4,0))))</f>
        <v>0</v>
      </c>
      <c r="Q19" s="168">
        <f ca="1">IF($C19-Q$1&lt;År1,0,P18*(1-VLOOKUP($A19,[1]Hugst!$R$5:$W$9,MATCH(ROUNDUP((Q$1)/10,0)*10,[1]Hugst!$R$4:$W$4,0))))</f>
        <v>0</v>
      </c>
      <c r="R19" s="168">
        <f ca="1">IF($C19-R$1&lt;År1,0,Q18*(1-VLOOKUP($A19,[1]Hugst!$R$5:$W$9,MATCH(ROUNDUP((R$1)/10,0)*10,[1]Hugst!$R$4:$W$4,0))))</f>
        <v>0</v>
      </c>
      <c r="S19" s="168">
        <f ca="1">IF($C19-S$1&lt;År1,0,R18*(1-VLOOKUP($A19,[1]Hugst!$R$5:$W$9,MATCH(ROUNDUP((S$1)/10,0)*10,[1]Hugst!$R$4:$W$4,0))))</f>
        <v>0</v>
      </c>
      <c r="T19" s="168">
        <f ca="1">IF($C19-T$1&lt;År1,0,S18*(1-VLOOKUP($A19,[1]Hugst!$R$5:$W$9,MATCH(ROUNDUP((T$1)/10,0)*10,[1]Hugst!$R$4:$W$4,0))))</f>
        <v>0</v>
      </c>
      <c r="U19" s="168">
        <f ca="1">IF($C19-U$1&lt;År1,0,T18*(1-VLOOKUP($A19,[1]Hugst!$R$5:$W$9,MATCH(ROUNDUP((U$1)/10,0)*10,[1]Hugst!$R$4:$W$4,0))))</f>
        <v>0</v>
      </c>
      <c r="V19" s="168">
        <f ca="1">IF($C19-V$1&lt;År1,0,U18*(1-VLOOKUP($A19,[1]Hugst!$R$5:$W$9,MATCH(ROUNDUP((V$1)/10,0)*10,[1]Hugst!$R$4:$W$4,0))))</f>
        <v>0</v>
      </c>
      <c r="W19" s="168">
        <f ca="1">IF($C19-W$1&lt;År1,0,V18*(1-VLOOKUP($A19,[1]Hugst!$R$5:$W$9,MATCH(ROUNDUP((W$1)/10,0)*10,[1]Hugst!$R$4:$W$4,0))))</f>
        <v>0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*VLOOKUP(A20,Skovbrug!$A$13:$D$17,IF('Skovbrug-alder'!C20&lt;=År2,3,4),FALSE)-IF(C20&gt;2020,SUM(INDEX($C$1:$D$311,MATCH(1,(2020=$C$1:$C$311)*(B20=$B$1:$B$311)*(A20=$A$1:$A$311),0),2):D19),0))</f>
        <v>0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0</v>
      </c>
      <c r="G20" s="168">
        <f ca="1">IF($C20-G$1&lt;År1,0,F19*(1-VLOOKUP($A20,[1]Hugst!$R$5:$W$9,MATCH(ROUNDUP((G$1)/10,0)*10,[1]Hugst!$R$4:$W$4,0))))</f>
        <v>0</v>
      </c>
      <c r="H20" s="168">
        <f ca="1">IF($C20-H$1&lt;År1,0,G19*(1-VLOOKUP($A20,[1]Hugst!$R$5:$W$9,MATCH(ROUNDUP((H$1)/10,0)*10,[1]Hugst!$R$4:$W$4,0))))</f>
        <v>0</v>
      </c>
      <c r="I20" s="168">
        <f ca="1">IF($C20-I$1&lt;År1,0,H19*(1-VLOOKUP($A20,[1]Hugst!$R$5:$W$9,MATCH(ROUNDUP((I$1)/10,0)*10,[1]Hugst!$R$4:$W$4,0))))</f>
        <v>0</v>
      </c>
      <c r="J20" s="168">
        <f ca="1">IF($C20-J$1&lt;År1,0,I19*(1-VLOOKUP($A20,[1]Hugst!$R$5:$W$9,MATCH(ROUNDUP((J$1)/10,0)*10,[1]Hugst!$R$4:$W$4,0))))</f>
        <v>0</v>
      </c>
      <c r="K20" s="168">
        <f ca="1">IF($C20-K$1&lt;År1,0,J19*(1-VLOOKUP($A20,[1]Hugst!$R$5:$W$9,MATCH(ROUNDUP((K$1)/10,0)*10,[1]Hugst!$R$4:$W$4,0))))</f>
        <v>0</v>
      </c>
      <c r="L20" s="168">
        <f ca="1">IF($C20-L$1&lt;År1,0,K19*(1-VLOOKUP($A20,[1]Hugst!$R$5:$W$9,MATCH(ROUNDUP((L$1)/10,0)*10,[1]Hugst!$R$4:$W$4,0))))</f>
        <v>0</v>
      </c>
      <c r="M20" s="168">
        <f ca="1">IF($C20-M$1&lt;År1,0,L19*(1-VLOOKUP($A20,[1]Hugst!$R$5:$W$9,MATCH(ROUNDUP((M$1)/10,0)*10,[1]Hugst!$R$4:$W$4,0))))</f>
        <v>0</v>
      </c>
      <c r="N20" s="168">
        <f ca="1">IF($C20-N$1&lt;År1,0,M19*(1-VLOOKUP($A20,[1]Hugst!$R$5:$W$9,MATCH(ROUNDUP((N$1)/10,0)*10,[1]Hugst!$R$4:$W$4,0))))</f>
        <v>0</v>
      </c>
      <c r="O20" s="168">
        <f ca="1">IF($C20-O$1&lt;År1,0,N19*(1-VLOOKUP($A20,[1]Hugst!$R$5:$W$9,MATCH(ROUNDUP((O$1)/10,0)*10,[1]Hugst!$R$4:$W$4,0))))</f>
        <v>0</v>
      </c>
      <c r="P20" s="168">
        <f ca="1">IF($C20-P$1&lt;År1,0,O19*(1-VLOOKUP($A20,[1]Hugst!$R$5:$W$9,MATCH(ROUNDUP((P$1)/10,0)*10,[1]Hugst!$R$4:$W$4,0))))</f>
        <v>0</v>
      </c>
      <c r="Q20" s="168">
        <f ca="1">IF($C20-Q$1&lt;År1,0,P19*(1-VLOOKUP($A20,[1]Hugst!$R$5:$W$9,MATCH(ROUNDUP((Q$1)/10,0)*10,[1]Hugst!$R$4:$W$4,0))))</f>
        <v>0</v>
      </c>
      <c r="R20" s="168">
        <f ca="1">IF($C20-R$1&lt;År1,0,Q19*(1-VLOOKUP($A20,[1]Hugst!$R$5:$W$9,MATCH(ROUNDUP((R$1)/10,0)*10,[1]Hugst!$R$4:$W$4,0))))</f>
        <v>0</v>
      </c>
      <c r="S20" s="168">
        <f ca="1">IF($C20-S$1&lt;År1,0,R19*(1-VLOOKUP($A20,[1]Hugst!$R$5:$W$9,MATCH(ROUNDUP((S$1)/10,0)*10,[1]Hugst!$R$4:$W$4,0))))</f>
        <v>0</v>
      </c>
      <c r="T20" s="168">
        <f ca="1">IF($C20-T$1&lt;År1,0,S19*(1-VLOOKUP($A20,[1]Hugst!$R$5:$W$9,MATCH(ROUNDUP((T$1)/10,0)*10,[1]Hugst!$R$4:$W$4,0))))</f>
        <v>0</v>
      </c>
      <c r="U20" s="168">
        <f ca="1">IF($C20-U$1&lt;År1,0,T19*(1-VLOOKUP($A20,[1]Hugst!$R$5:$W$9,MATCH(ROUNDUP((U$1)/10,0)*10,[1]Hugst!$R$4:$W$4,0))))</f>
        <v>0</v>
      </c>
      <c r="V20" s="168">
        <f ca="1">IF($C20-V$1&lt;År1,0,U19*(1-VLOOKUP($A20,[1]Hugst!$R$5:$W$9,MATCH(ROUNDUP((V$1)/10,0)*10,[1]Hugst!$R$4:$W$4,0))))</f>
        <v>0</v>
      </c>
      <c r="W20" s="168">
        <f ca="1">IF($C20-W$1&lt;År1,0,V19*(1-VLOOKUP($A20,[1]Hugst!$R$5:$W$9,MATCH(ROUNDUP((W$1)/10,0)*10,[1]Hugst!$R$4:$W$4,0))))</f>
        <v>0</v>
      </c>
      <c r="X20" s="168">
        <f ca="1">IF($C20-X$1&lt;År1,0,W19*(1-VLOOKUP($A20,[1]Hugst!$R$5:$W$9,MATCH(ROUNDUP((X$1)/10,0)*10,[1]Hugst!$R$4:$W$4,0))))</f>
        <v>0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*VLOOKUP(A21,Skovbrug!$A$13:$D$17,IF('Skovbrug-alder'!C21&lt;=År2,3,4),FALSE)-IF(C21&gt;2020,SUM(INDEX($C$1:$D$311,MATCH(1,(2020=$C$1:$C$311)*(B21=$B$1:$B$311)*(A21=$A$1:$A$311),0),2):D20),0))</f>
        <v>0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0</v>
      </c>
      <c r="G21" s="168">
        <f ca="1">IF($C21-G$1&lt;År1,0,F20*(1-VLOOKUP($A21,[1]Hugst!$R$5:$W$9,MATCH(ROUNDUP((G$1)/10,0)*10,[1]Hugst!$R$4:$W$4,0))))</f>
        <v>0</v>
      </c>
      <c r="H21" s="168">
        <f ca="1">IF($C21-H$1&lt;År1,0,G20*(1-VLOOKUP($A21,[1]Hugst!$R$5:$W$9,MATCH(ROUNDUP((H$1)/10,0)*10,[1]Hugst!$R$4:$W$4,0))))</f>
        <v>0</v>
      </c>
      <c r="I21" s="168">
        <f ca="1">IF($C21-I$1&lt;År1,0,H20*(1-VLOOKUP($A21,[1]Hugst!$R$5:$W$9,MATCH(ROUNDUP((I$1)/10,0)*10,[1]Hugst!$R$4:$W$4,0))))</f>
        <v>0</v>
      </c>
      <c r="J21" s="168">
        <f ca="1">IF($C21-J$1&lt;År1,0,I20*(1-VLOOKUP($A21,[1]Hugst!$R$5:$W$9,MATCH(ROUNDUP((J$1)/10,0)*10,[1]Hugst!$R$4:$W$4,0))))</f>
        <v>0</v>
      </c>
      <c r="K21" s="168">
        <f ca="1">IF($C21-K$1&lt;År1,0,J20*(1-VLOOKUP($A21,[1]Hugst!$R$5:$W$9,MATCH(ROUNDUP((K$1)/10,0)*10,[1]Hugst!$R$4:$W$4,0))))</f>
        <v>0</v>
      </c>
      <c r="L21" s="168">
        <f ca="1">IF($C21-L$1&lt;År1,0,K20*(1-VLOOKUP($A21,[1]Hugst!$R$5:$W$9,MATCH(ROUNDUP((L$1)/10,0)*10,[1]Hugst!$R$4:$W$4,0))))</f>
        <v>0</v>
      </c>
      <c r="M21" s="168">
        <f ca="1">IF($C21-M$1&lt;År1,0,L20*(1-VLOOKUP($A21,[1]Hugst!$R$5:$W$9,MATCH(ROUNDUP((M$1)/10,0)*10,[1]Hugst!$R$4:$W$4,0))))</f>
        <v>0</v>
      </c>
      <c r="N21" s="168">
        <f ca="1">IF($C21-N$1&lt;År1,0,M20*(1-VLOOKUP($A21,[1]Hugst!$R$5:$W$9,MATCH(ROUNDUP((N$1)/10,0)*10,[1]Hugst!$R$4:$W$4,0))))</f>
        <v>0</v>
      </c>
      <c r="O21" s="168">
        <f ca="1">IF($C21-O$1&lt;År1,0,N20*(1-VLOOKUP($A21,[1]Hugst!$R$5:$W$9,MATCH(ROUNDUP((O$1)/10,0)*10,[1]Hugst!$R$4:$W$4,0))))</f>
        <v>0</v>
      </c>
      <c r="P21" s="168">
        <f ca="1">IF($C21-P$1&lt;År1,0,O20*(1-VLOOKUP($A21,[1]Hugst!$R$5:$W$9,MATCH(ROUNDUP((P$1)/10,0)*10,[1]Hugst!$R$4:$W$4,0))))</f>
        <v>0</v>
      </c>
      <c r="Q21" s="168">
        <f ca="1">IF($C21-Q$1&lt;År1,0,P20*(1-VLOOKUP($A21,[1]Hugst!$R$5:$W$9,MATCH(ROUNDUP((Q$1)/10,0)*10,[1]Hugst!$R$4:$W$4,0))))</f>
        <v>0</v>
      </c>
      <c r="R21" s="168">
        <f ca="1">IF($C21-R$1&lt;År1,0,Q20*(1-VLOOKUP($A21,[1]Hugst!$R$5:$W$9,MATCH(ROUNDUP((R$1)/10,0)*10,[1]Hugst!$R$4:$W$4,0))))</f>
        <v>0</v>
      </c>
      <c r="S21" s="168">
        <f ca="1">IF($C21-S$1&lt;År1,0,R20*(1-VLOOKUP($A21,[1]Hugst!$R$5:$W$9,MATCH(ROUNDUP((S$1)/10,0)*10,[1]Hugst!$R$4:$W$4,0))))</f>
        <v>0</v>
      </c>
      <c r="T21" s="168">
        <f ca="1">IF($C21-T$1&lt;År1,0,S20*(1-VLOOKUP($A21,[1]Hugst!$R$5:$W$9,MATCH(ROUNDUP((T$1)/10,0)*10,[1]Hugst!$R$4:$W$4,0))))</f>
        <v>0</v>
      </c>
      <c r="U21" s="168">
        <f ca="1">IF($C21-U$1&lt;År1,0,T20*(1-VLOOKUP($A21,[1]Hugst!$R$5:$W$9,MATCH(ROUNDUP((U$1)/10,0)*10,[1]Hugst!$R$4:$W$4,0))))</f>
        <v>0</v>
      </c>
      <c r="V21" s="168">
        <f ca="1">IF($C21-V$1&lt;År1,0,U20*(1-VLOOKUP($A21,[1]Hugst!$R$5:$W$9,MATCH(ROUNDUP((V$1)/10,0)*10,[1]Hugst!$R$4:$W$4,0))))</f>
        <v>0</v>
      </c>
      <c r="W21" s="168">
        <f ca="1">IF($C21-W$1&lt;År1,0,V20*(1-VLOOKUP($A21,[1]Hugst!$R$5:$W$9,MATCH(ROUNDUP((W$1)/10,0)*10,[1]Hugst!$R$4:$W$4,0))))</f>
        <v>0</v>
      </c>
      <c r="X21" s="168">
        <f ca="1">IF($C21-X$1&lt;År1,0,W20*(1-VLOOKUP($A21,[1]Hugst!$R$5:$W$9,MATCH(ROUNDUP((X$1)/10,0)*10,[1]Hugst!$R$4:$W$4,0))))</f>
        <v>0</v>
      </c>
      <c r="Y21" s="168">
        <f ca="1">IF($C21-Y$1&lt;År1,0,X20*(1-VLOOKUP($A21,[1]Hugst!$R$5:$W$9,MATCH(ROUNDUP((Y$1)/10,0)*10,[1]Hugst!$R$4:$W$4,0))))</f>
        <v>0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*VLOOKUP(A22,Skovbrug!$A$13:$D$17,IF('Skovbrug-alder'!C22&lt;=År2,3,4),FALSE)-IF(C22&gt;2020,SUM(INDEX($C$1:$D$311,MATCH(1,(2020=$C$1:$C$311)*(B22=$B$1:$B$311)*(A22=$A$1:$A$311),0),2):D21),0))</f>
        <v>0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0</v>
      </c>
      <c r="G22" s="168">
        <f ca="1">IF($C22-G$1&lt;År1,0,F21*(1-VLOOKUP($A22,[1]Hugst!$R$5:$W$9,MATCH(ROUNDUP((G$1)/10,0)*10,[1]Hugst!$R$4:$W$4,0))))</f>
        <v>0</v>
      </c>
      <c r="H22" s="168">
        <f ca="1">IF($C22-H$1&lt;År1,0,G21*(1-VLOOKUP($A22,[1]Hugst!$R$5:$W$9,MATCH(ROUNDUP((H$1)/10,0)*10,[1]Hugst!$R$4:$W$4,0))))</f>
        <v>0</v>
      </c>
      <c r="I22" s="168">
        <f ca="1">IF($C22-I$1&lt;År1,0,H21*(1-VLOOKUP($A22,[1]Hugst!$R$5:$W$9,MATCH(ROUNDUP((I$1)/10,0)*10,[1]Hugst!$R$4:$W$4,0))))</f>
        <v>0</v>
      </c>
      <c r="J22" s="168">
        <f ca="1">IF($C22-J$1&lt;År1,0,I21*(1-VLOOKUP($A22,[1]Hugst!$R$5:$W$9,MATCH(ROUNDUP((J$1)/10,0)*10,[1]Hugst!$R$4:$W$4,0))))</f>
        <v>0</v>
      </c>
      <c r="K22" s="168">
        <f ca="1">IF($C22-K$1&lt;År1,0,J21*(1-VLOOKUP($A22,[1]Hugst!$R$5:$W$9,MATCH(ROUNDUP((K$1)/10,0)*10,[1]Hugst!$R$4:$W$4,0))))</f>
        <v>0</v>
      </c>
      <c r="L22" s="168">
        <f ca="1">IF($C22-L$1&lt;År1,0,K21*(1-VLOOKUP($A22,[1]Hugst!$R$5:$W$9,MATCH(ROUNDUP((L$1)/10,0)*10,[1]Hugst!$R$4:$W$4,0))))</f>
        <v>0</v>
      </c>
      <c r="M22" s="168">
        <f ca="1">IF($C22-M$1&lt;År1,0,L21*(1-VLOOKUP($A22,[1]Hugst!$R$5:$W$9,MATCH(ROUNDUP((M$1)/10,0)*10,[1]Hugst!$R$4:$W$4,0))))</f>
        <v>0</v>
      </c>
      <c r="N22" s="168">
        <f ca="1">IF($C22-N$1&lt;År1,0,M21*(1-VLOOKUP($A22,[1]Hugst!$R$5:$W$9,MATCH(ROUNDUP((N$1)/10,0)*10,[1]Hugst!$R$4:$W$4,0))))</f>
        <v>0</v>
      </c>
      <c r="O22" s="168">
        <f ca="1">IF($C22-O$1&lt;År1,0,N21*(1-VLOOKUP($A22,[1]Hugst!$R$5:$W$9,MATCH(ROUNDUP((O$1)/10,0)*10,[1]Hugst!$R$4:$W$4,0))))</f>
        <v>0</v>
      </c>
      <c r="P22" s="168">
        <f ca="1">IF($C22-P$1&lt;År1,0,O21*(1-VLOOKUP($A22,[1]Hugst!$R$5:$W$9,MATCH(ROUNDUP((P$1)/10,0)*10,[1]Hugst!$R$4:$W$4,0))))</f>
        <v>0</v>
      </c>
      <c r="Q22" s="168">
        <f ca="1">IF($C22-Q$1&lt;År1,0,P21*(1-VLOOKUP($A22,[1]Hugst!$R$5:$W$9,MATCH(ROUNDUP((Q$1)/10,0)*10,[1]Hugst!$R$4:$W$4,0))))</f>
        <v>0</v>
      </c>
      <c r="R22" s="168">
        <f ca="1">IF($C22-R$1&lt;År1,0,Q21*(1-VLOOKUP($A22,[1]Hugst!$R$5:$W$9,MATCH(ROUNDUP((R$1)/10,0)*10,[1]Hugst!$R$4:$W$4,0))))</f>
        <v>0</v>
      </c>
      <c r="S22" s="168">
        <f ca="1">IF($C22-S$1&lt;År1,0,R21*(1-VLOOKUP($A22,[1]Hugst!$R$5:$W$9,MATCH(ROUNDUP((S$1)/10,0)*10,[1]Hugst!$R$4:$W$4,0))))</f>
        <v>0</v>
      </c>
      <c r="T22" s="168">
        <f ca="1">IF($C22-T$1&lt;År1,0,S21*(1-VLOOKUP($A22,[1]Hugst!$R$5:$W$9,MATCH(ROUNDUP((T$1)/10,0)*10,[1]Hugst!$R$4:$W$4,0))))</f>
        <v>0</v>
      </c>
      <c r="U22" s="168">
        <f ca="1">IF($C22-U$1&lt;År1,0,T21*(1-VLOOKUP($A22,[1]Hugst!$R$5:$W$9,MATCH(ROUNDUP((U$1)/10,0)*10,[1]Hugst!$R$4:$W$4,0))))</f>
        <v>0</v>
      </c>
      <c r="V22" s="168">
        <f ca="1">IF($C22-V$1&lt;År1,0,U21*(1-VLOOKUP($A22,[1]Hugst!$R$5:$W$9,MATCH(ROUNDUP((V$1)/10,0)*10,[1]Hugst!$R$4:$W$4,0))))</f>
        <v>0</v>
      </c>
      <c r="W22" s="168">
        <f ca="1">IF($C22-W$1&lt;År1,0,V21*(1-VLOOKUP($A22,[1]Hugst!$R$5:$W$9,MATCH(ROUNDUP((W$1)/10,0)*10,[1]Hugst!$R$4:$W$4,0))))</f>
        <v>0</v>
      </c>
      <c r="X22" s="168">
        <f ca="1">IF($C22-X$1&lt;År1,0,W21*(1-VLOOKUP($A22,[1]Hugst!$R$5:$W$9,MATCH(ROUNDUP((X$1)/10,0)*10,[1]Hugst!$R$4:$W$4,0))))</f>
        <v>0</v>
      </c>
      <c r="Y22" s="168">
        <f ca="1">IF($C22-Y$1&lt;År1,0,X21*(1-VLOOKUP($A22,[1]Hugst!$R$5:$W$9,MATCH(ROUNDUP((Y$1)/10,0)*10,[1]Hugst!$R$4:$W$4,0))))</f>
        <v>0</v>
      </c>
      <c r="Z22" s="168">
        <f ca="1">IF($C22-Z$1&lt;År1,0,Y21*(1-VLOOKUP($A22,[1]Hugst!$R$5:$W$9,MATCH(ROUNDUP((Z$1)/10,0)*10,[1]Hugst!$R$4:$W$4,0))))</f>
        <v>0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*VLOOKUP(A23,Skovbrug!$A$13:$D$17,IF('Skovbrug-alder'!C23&lt;=År2,3,4),FALSE)-IF(C23&gt;2020,SUM(INDEX($C$1:$D$311,MATCH(1,(2020=$C$1:$C$311)*(B23=$B$1:$B$311)*(A23=$A$1:$A$311),0),2):D22),0))</f>
        <v>0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0</v>
      </c>
      <c r="G23" s="168">
        <f ca="1">IF($C23-G$1&lt;År1,0,F22*(1-VLOOKUP($A23,[1]Hugst!$R$5:$W$9,MATCH(ROUNDUP((G$1)/10,0)*10,[1]Hugst!$R$4:$W$4,0))))</f>
        <v>0</v>
      </c>
      <c r="H23" s="168">
        <f ca="1">IF($C23-H$1&lt;År1,0,G22*(1-VLOOKUP($A23,[1]Hugst!$R$5:$W$9,MATCH(ROUNDUP((H$1)/10,0)*10,[1]Hugst!$R$4:$W$4,0))))</f>
        <v>0</v>
      </c>
      <c r="I23" s="168">
        <f ca="1">IF($C23-I$1&lt;År1,0,H22*(1-VLOOKUP($A23,[1]Hugst!$R$5:$W$9,MATCH(ROUNDUP((I$1)/10,0)*10,[1]Hugst!$R$4:$W$4,0))))</f>
        <v>0</v>
      </c>
      <c r="J23" s="168">
        <f ca="1">IF($C23-J$1&lt;År1,0,I22*(1-VLOOKUP($A23,[1]Hugst!$R$5:$W$9,MATCH(ROUNDUP((J$1)/10,0)*10,[1]Hugst!$R$4:$W$4,0))))</f>
        <v>0</v>
      </c>
      <c r="K23" s="168">
        <f ca="1">IF($C23-K$1&lt;År1,0,J22*(1-VLOOKUP($A23,[1]Hugst!$R$5:$W$9,MATCH(ROUNDUP((K$1)/10,0)*10,[1]Hugst!$R$4:$W$4,0))))</f>
        <v>0</v>
      </c>
      <c r="L23" s="168">
        <f ca="1">IF($C23-L$1&lt;År1,0,K22*(1-VLOOKUP($A23,[1]Hugst!$R$5:$W$9,MATCH(ROUNDUP((L$1)/10,0)*10,[1]Hugst!$R$4:$W$4,0))))</f>
        <v>0</v>
      </c>
      <c r="M23" s="168">
        <f ca="1">IF($C23-M$1&lt;År1,0,L22*(1-VLOOKUP($A23,[1]Hugst!$R$5:$W$9,MATCH(ROUNDUP((M$1)/10,0)*10,[1]Hugst!$R$4:$W$4,0))))</f>
        <v>0</v>
      </c>
      <c r="N23" s="168">
        <f ca="1">IF($C23-N$1&lt;År1,0,M22*(1-VLOOKUP($A23,[1]Hugst!$R$5:$W$9,MATCH(ROUNDUP((N$1)/10,0)*10,[1]Hugst!$R$4:$W$4,0))))</f>
        <v>0</v>
      </c>
      <c r="O23" s="168">
        <f ca="1">IF($C23-O$1&lt;År1,0,N22*(1-VLOOKUP($A23,[1]Hugst!$R$5:$W$9,MATCH(ROUNDUP((O$1)/10,0)*10,[1]Hugst!$R$4:$W$4,0))))</f>
        <v>0</v>
      </c>
      <c r="P23" s="168">
        <f ca="1">IF($C23-P$1&lt;År1,0,O22*(1-VLOOKUP($A23,[1]Hugst!$R$5:$W$9,MATCH(ROUNDUP((P$1)/10,0)*10,[1]Hugst!$R$4:$W$4,0))))</f>
        <v>0</v>
      </c>
      <c r="Q23" s="168">
        <f ca="1">IF($C23-Q$1&lt;År1,0,P22*(1-VLOOKUP($A23,[1]Hugst!$R$5:$W$9,MATCH(ROUNDUP((Q$1)/10,0)*10,[1]Hugst!$R$4:$W$4,0))))</f>
        <v>0</v>
      </c>
      <c r="R23" s="168">
        <f ca="1">IF($C23-R$1&lt;År1,0,Q22*(1-VLOOKUP($A23,[1]Hugst!$R$5:$W$9,MATCH(ROUNDUP((R$1)/10,0)*10,[1]Hugst!$R$4:$W$4,0))))</f>
        <v>0</v>
      </c>
      <c r="S23" s="168">
        <f ca="1">IF($C23-S$1&lt;År1,0,R22*(1-VLOOKUP($A23,[1]Hugst!$R$5:$W$9,MATCH(ROUNDUP((S$1)/10,0)*10,[1]Hugst!$R$4:$W$4,0))))</f>
        <v>0</v>
      </c>
      <c r="T23" s="168">
        <f ca="1">IF($C23-T$1&lt;År1,0,S22*(1-VLOOKUP($A23,[1]Hugst!$R$5:$W$9,MATCH(ROUNDUP((T$1)/10,0)*10,[1]Hugst!$R$4:$W$4,0))))</f>
        <v>0</v>
      </c>
      <c r="U23" s="168">
        <f ca="1">IF($C23-U$1&lt;År1,0,T22*(1-VLOOKUP($A23,[1]Hugst!$R$5:$W$9,MATCH(ROUNDUP((U$1)/10,0)*10,[1]Hugst!$R$4:$W$4,0))))</f>
        <v>0</v>
      </c>
      <c r="V23" s="168">
        <f ca="1">IF($C23-V$1&lt;År1,0,U22*(1-VLOOKUP($A23,[1]Hugst!$R$5:$W$9,MATCH(ROUNDUP((V$1)/10,0)*10,[1]Hugst!$R$4:$W$4,0))))</f>
        <v>0</v>
      </c>
      <c r="W23" s="168">
        <f ca="1">IF($C23-W$1&lt;År1,0,V22*(1-VLOOKUP($A23,[1]Hugst!$R$5:$W$9,MATCH(ROUNDUP((W$1)/10,0)*10,[1]Hugst!$R$4:$W$4,0))))</f>
        <v>0</v>
      </c>
      <c r="X23" s="168">
        <f ca="1">IF($C23-X$1&lt;År1,0,W22*(1-VLOOKUP($A23,[1]Hugst!$R$5:$W$9,MATCH(ROUNDUP((X$1)/10,0)*10,[1]Hugst!$R$4:$W$4,0))))</f>
        <v>0</v>
      </c>
      <c r="Y23" s="168">
        <f ca="1">IF($C23-Y$1&lt;År1,0,X22*(1-VLOOKUP($A23,[1]Hugst!$R$5:$W$9,MATCH(ROUNDUP((Y$1)/10,0)*10,[1]Hugst!$R$4:$W$4,0))))</f>
        <v>0</v>
      </c>
      <c r="Z23" s="168">
        <f ca="1">IF($C23-Z$1&lt;År1,0,Y22*(1-VLOOKUP($A23,[1]Hugst!$R$5:$W$9,MATCH(ROUNDUP((Z$1)/10,0)*10,[1]Hugst!$R$4:$W$4,0))))</f>
        <v>0</v>
      </c>
      <c r="AA23" s="168">
        <f ca="1">IF($C23-AA$1&lt;År1,0,Z22*(1-VLOOKUP($A23,[1]Hugst!$R$5:$W$9,MATCH(ROUNDUP((AA$1)/10,0)*10,[1]Hugst!$R$4:$W$4,0))))</f>
        <v>0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*VLOOKUP(A24,Skovbrug!$A$13:$D$17,IF('Skovbrug-alder'!C24&lt;=År2,3,4),FALSE)-IF(C24&gt;2020,SUM(INDEX($C$1:$D$311,MATCH(1,(2020=$C$1:$C$311)*(B24=$B$1:$B$311)*(A24=$A$1:$A$311),0),2):D23),0))</f>
        <v>0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0</v>
      </c>
      <c r="G24" s="168">
        <f ca="1">IF($C24-G$1&lt;År1,0,F23*(1-VLOOKUP($A24,[1]Hugst!$R$5:$W$9,MATCH(ROUNDUP((G$1)/10,0)*10,[1]Hugst!$R$4:$W$4,0))))</f>
        <v>0</v>
      </c>
      <c r="H24" s="168">
        <f ca="1">IF($C24-H$1&lt;År1,0,G23*(1-VLOOKUP($A24,[1]Hugst!$R$5:$W$9,MATCH(ROUNDUP((H$1)/10,0)*10,[1]Hugst!$R$4:$W$4,0))))</f>
        <v>0</v>
      </c>
      <c r="I24" s="168">
        <f ca="1">IF($C24-I$1&lt;År1,0,H23*(1-VLOOKUP($A24,[1]Hugst!$R$5:$W$9,MATCH(ROUNDUP((I$1)/10,0)*10,[1]Hugst!$R$4:$W$4,0))))</f>
        <v>0</v>
      </c>
      <c r="J24" s="168">
        <f ca="1">IF($C24-J$1&lt;År1,0,I23*(1-VLOOKUP($A24,[1]Hugst!$R$5:$W$9,MATCH(ROUNDUP((J$1)/10,0)*10,[1]Hugst!$R$4:$W$4,0))))</f>
        <v>0</v>
      </c>
      <c r="K24" s="168">
        <f ca="1">IF($C24-K$1&lt;År1,0,J23*(1-VLOOKUP($A24,[1]Hugst!$R$5:$W$9,MATCH(ROUNDUP((K$1)/10,0)*10,[1]Hugst!$R$4:$W$4,0))))</f>
        <v>0</v>
      </c>
      <c r="L24" s="168">
        <f ca="1">IF($C24-L$1&lt;År1,0,K23*(1-VLOOKUP($A24,[1]Hugst!$R$5:$W$9,MATCH(ROUNDUP((L$1)/10,0)*10,[1]Hugst!$R$4:$W$4,0))))</f>
        <v>0</v>
      </c>
      <c r="M24" s="168">
        <f ca="1">IF($C24-M$1&lt;År1,0,L23*(1-VLOOKUP($A24,[1]Hugst!$R$5:$W$9,MATCH(ROUNDUP((M$1)/10,0)*10,[1]Hugst!$R$4:$W$4,0))))</f>
        <v>0</v>
      </c>
      <c r="N24" s="168">
        <f ca="1">IF($C24-N$1&lt;År1,0,M23*(1-VLOOKUP($A24,[1]Hugst!$R$5:$W$9,MATCH(ROUNDUP((N$1)/10,0)*10,[1]Hugst!$R$4:$W$4,0))))</f>
        <v>0</v>
      </c>
      <c r="O24" s="168">
        <f ca="1">IF($C24-O$1&lt;År1,0,N23*(1-VLOOKUP($A24,[1]Hugst!$R$5:$W$9,MATCH(ROUNDUP((O$1)/10,0)*10,[1]Hugst!$R$4:$W$4,0))))</f>
        <v>0</v>
      </c>
      <c r="P24" s="168">
        <f ca="1">IF($C24-P$1&lt;År1,0,O23*(1-VLOOKUP($A24,[1]Hugst!$R$5:$W$9,MATCH(ROUNDUP((P$1)/10,0)*10,[1]Hugst!$R$4:$W$4,0))))</f>
        <v>0</v>
      </c>
      <c r="Q24" s="168">
        <f ca="1">IF($C24-Q$1&lt;År1,0,P23*(1-VLOOKUP($A24,[1]Hugst!$R$5:$W$9,MATCH(ROUNDUP((Q$1)/10,0)*10,[1]Hugst!$R$4:$W$4,0))))</f>
        <v>0</v>
      </c>
      <c r="R24" s="168">
        <f ca="1">IF($C24-R$1&lt;År1,0,Q23*(1-VLOOKUP($A24,[1]Hugst!$R$5:$W$9,MATCH(ROUNDUP((R$1)/10,0)*10,[1]Hugst!$R$4:$W$4,0))))</f>
        <v>0</v>
      </c>
      <c r="S24" s="168">
        <f ca="1">IF($C24-S$1&lt;År1,0,R23*(1-VLOOKUP($A24,[1]Hugst!$R$5:$W$9,MATCH(ROUNDUP((S$1)/10,0)*10,[1]Hugst!$R$4:$W$4,0))))</f>
        <v>0</v>
      </c>
      <c r="T24" s="168">
        <f ca="1">IF($C24-T$1&lt;År1,0,S23*(1-VLOOKUP($A24,[1]Hugst!$R$5:$W$9,MATCH(ROUNDUP((T$1)/10,0)*10,[1]Hugst!$R$4:$W$4,0))))</f>
        <v>0</v>
      </c>
      <c r="U24" s="168">
        <f ca="1">IF($C24-U$1&lt;År1,0,T23*(1-VLOOKUP($A24,[1]Hugst!$R$5:$W$9,MATCH(ROUNDUP((U$1)/10,0)*10,[1]Hugst!$R$4:$W$4,0))))</f>
        <v>0</v>
      </c>
      <c r="V24" s="168">
        <f ca="1">IF($C24-V$1&lt;År1,0,U23*(1-VLOOKUP($A24,[1]Hugst!$R$5:$W$9,MATCH(ROUNDUP((V$1)/10,0)*10,[1]Hugst!$R$4:$W$4,0))))</f>
        <v>0</v>
      </c>
      <c r="W24" s="168">
        <f ca="1">IF($C24-W$1&lt;År1,0,V23*(1-VLOOKUP($A24,[1]Hugst!$R$5:$W$9,MATCH(ROUNDUP((W$1)/10,0)*10,[1]Hugst!$R$4:$W$4,0))))</f>
        <v>0</v>
      </c>
      <c r="X24" s="168">
        <f ca="1">IF($C24-X$1&lt;År1,0,W23*(1-VLOOKUP($A24,[1]Hugst!$R$5:$W$9,MATCH(ROUNDUP((X$1)/10,0)*10,[1]Hugst!$R$4:$W$4,0))))</f>
        <v>0</v>
      </c>
      <c r="Y24" s="168">
        <f ca="1">IF($C24-Y$1&lt;År1,0,X23*(1-VLOOKUP($A24,[1]Hugst!$R$5:$W$9,MATCH(ROUNDUP((Y$1)/10,0)*10,[1]Hugst!$R$4:$W$4,0))))</f>
        <v>0</v>
      </c>
      <c r="Z24" s="168">
        <f ca="1">IF($C24-Z$1&lt;År1,0,Y23*(1-VLOOKUP($A24,[1]Hugst!$R$5:$W$9,MATCH(ROUNDUP((Z$1)/10,0)*10,[1]Hugst!$R$4:$W$4,0))))</f>
        <v>0</v>
      </c>
      <c r="AA24" s="168">
        <f ca="1">IF($C24-AA$1&lt;År1,0,Z23*(1-VLOOKUP($A24,[1]Hugst!$R$5:$W$9,MATCH(ROUNDUP((AA$1)/10,0)*10,[1]Hugst!$R$4:$W$4,0))))</f>
        <v>0</v>
      </c>
      <c r="AB24" s="168">
        <f ca="1">IF($C24-AB$1&lt;År1,0,AA23*(1-VLOOKUP($A24,[1]Hugst!$R$5:$W$9,MATCH(ROUNDUP((AB$1)/10,0)*10,[1]Hugst!$R$4:$W$4,0))))</f>
        <v>0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*VLOOKUP(A25,Skovbrug!$A$13:$D$17,IF('Skovbrug-alder'!C25&lt;=År2,3,4),FALSE)-IF(C25&gt;2020,SUM(INDEX($C$1:$D$311,MATCH(1,(2020=$C$1:$C$311)*(B25=$B$1:$B$311)*(A25=$A$1:$A$311),0),2):D24),0))</f>
        <v>0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0</v>
      </c>
      <c r="G25" s="168">
        <f ca="1">IF($C25-G$1&lt;År1,0,F24*(1-VLOOKUP($A25,[1]Hugst!$R$5:$W$9,MATCH(ROUNDUP((G$1)/10,0)*10,[1]Hugst!$R$4:$W$4,0))))</f>
        <v>0</v>
      </c>
      <c r="H25" s="168">
        <f ca="1">IF($C25-H$1&lt;År1,0,G24*(1-VLOOKUP($A25,[1]Hugst!$R$5:$W$9,MATCH(ROUNDUP((H$1)/10,0)*10,[1]Hugst!$R$4:$W$4,0))))</f>
        <v>0</v>
      </c>
      <c r="I25" s="168">
        <f ca="1">IF($C25-I$1&lt;År1,0,H24*(1-VLOOKUP($A25,[1]Hugst!$R$5:$W$9,MATCH(ROUNDUP((I$1)/10,0)*10,[1]Hugst!$R$4:$W$4,0))))</f>
        <v>0</v>
      </c>
      <c r="J25" s="168">
        <f ca="1">IF($C25-J$1&lt;År1,0,I24*(1-VLOOKUP($A25,[1]Hugst!$R$5:$W$9,MATCH(ROUNDUP((J$1)/10,0)*10,[1]Hugst!$R$4:$W$4,0))))</f>
        <v>0</v>
      </c>
      <c r="K25" s="168">
        <f ca="1">IF($C25-K$1&lt;År1,0,J24*(1-VLOOKUP($A25,[1]Hugst!$R$5:$W$9,MATCH(ROUNDUP((K$1)/10,0)*10,[1]Hugst!$R$4:$W$4,0))))</f>
        <v>0</v>
      </c>
      <c r="L25" s="168">
        <f ca="1">IF($C25-L$1&lt;År1,0,K24*(1-VLOOKUP($A25,[1]Hugst!$R$5:$W$9,MATCH(ROUNDUP((L$1)/10,0)*10,[1]Hugst!$R$4:$W$4,0))))</f>
        <v>0</v>
      </c>
      <c r="M25" s="168">
        <f ca="1">IF($C25-M$1&lt;År1,0,L24*(1-VLOOKUP($A25,[1]Hugst!$R$5:$W$9,MATCH(ROUNDUP((M$1)/10,0)*10,[1]Hugst!$R$4:$W$4,0))))</f>
        <v>0</v>
      </c>
      <c r="N25" s="168">
        <f ca="1">IF($C25-N$1&lt;År1,0,M24*(1-VLOOKUP($A25,[1]Hugst!$R$5:$W$9,MATCH(ROUNDUP((N$1)/10,0)*10,[1]Hugst!$R$4:$W$4,0))))</f>
        <v>0</v>
      </c>
      <c r="O25" s="168">
        <f ca="1">IF($C25-O$1&lt;År1,0,N24*(1-VLOOKUP($A25,[1]Hugst!$R$5:$W$9,MATCH(ROUNDUP((O$1)/10,0)*10,[1]Hugst!$R$4:$W$4,0))))</f>
        <v>0</v>
      </c>
      <c r="P25" s="168">
        <f ca="1">IF($C25-P$1&lt;År1,0,O24*(1-VLOOKUP($A25,[1]Hugst!$R$5:$W$9,MATCH(ROUNDUP((P$1)/10,0)*10,[1]Hugst!$R$4:$W$4,0))))</f>
        <v>0</v>
      </c>
      <c r="Q25" s="168">
        <f ca="1">IF($C25-Q$1&lt;År1,0,P24*(1-VLOOKUP($A25,[1]Hugst!$R$5:$W$9,MATCH(ROUNDUP((Q$1)/10,0)*10,[1]Hugst!$R$4:$W$4,0))))</f>
        <v>0</v>
      </c>
      <c r="R25" s="168">
        <f ca="1">IF($C25-R$1&lt;År1,0,Q24*(1-VLOOKUP($A25,[1]Hugst!$R$5:$W$9,MATCH(ROUNDUP((R$1)/10,0)*10,[1]Hugst!$R$4:$W$4,0))))</f>
        <v>0</v>
      </c>
      <c r="S25" s="168">
        <f ca="1">IF($C25-S$1&lt;År1,0,R24*(1-VLOOKUP($A25,[1]Hugst!$R$5:$W$9,MATCH(ROUNDUP((S$1)/10,0)*10,[1]Hugst!$R$4:$W$4,0))))</f>
        <v>0</v>
      </c>
      <c r="T25" s="168">
        <f ca="1">IF($C25-T$1&lt;År1,0,S24*(1-VLOOKUP($A25,[1]Hugst!$R$5:$W$9,MATCH(ROUNDUP((T$1)/10,0)*10,[1]Hugst!$R$4:$W$4,0))))</f>
        <v>0</v>
      </c>
      <c r="U25" s="168">
        <f ca="1">IF($C25-U$1&lt;År1,0,T24*(1-VLOOKUP($A25,[1]Hugst!$R$5:$W$9,MATCH(ROUNDUP((U$1)/10,0)*10,[1]Hugst!$R$4:$W$4,0))))</f>
        <v>0</v>
      </c>
      <c r="V25" s="168">
        <f ca="1">IF($C25-V$1&lt;År1,0,U24*(1-VLOOKUP($A25,[1]Hugst!$R$5:$W$9,MATCH(ROUNDUP((V$1)/10,0)*10,[1]Hugst!$R$4:$W$4,0))))</f>
        <v>0</v>
      </c>
      <c r="W25" s="168">
        <f ca="1">IF($C25-W$1&lt;År1,0,V24*(1-VLOOKUP($A25,[1]Hugst!$R$5:$W$9,MATCH(ROUNDUP((W$1)/10,0)*10,[1]Hugst!$R$4:$W$4,0))))</f>
        <v>0</v>
      </c>
      <c r="X25" s="168">
        <f ca="1">IF($C25-X$1&lt;År1,0,W24*(1-VLOOKUP($A25,[1]Hugst!$R$5:$W$9,MATCH(ROUNDUP((X$1)/10,0)*10,[1]Hugst!$R$4:$W$4,0))))</f>
        <v>0</v>
      </c>
      <c r="Y25" s="168">
        <f ca="1">IF($C25-Y$1&lt;År1,0,X24*(1-VLOOKUP($A25,[1]Hugst!$R$5:$W$9,MATCH(ROUNDUP((Y$1)/10,0)*10,[1]Hugst!$R$4:$W$4,0))))</f>
        <v>0</v>
      </c>
      <c r="Z25" s="168">
        <f ca="1">IF($C25-Z$1&lt;År1,0,Y24*(1-VLOOKUP($A25,[1]Hugst!$R$5:$W$9,MATCH(ROUNDUP((Z$1)/10,0)*10,[1]Hugst!$R$4:$W$4,0))))</f>
        <v>0</v>
      </c>
      <c r="AA25" s="168">
        <f ca="1">IF($C25-AA$1&lt;År1,0,Z24*(1-VLOOKUP($A25,[1]Hugst!$R$5:$W$9,MATCH(ROUNDUP((AA$1)/10,0)*10,[1]Hugst!$R$4:$W$4,0))))</f>
        <v>0</v>
      </c>
      <c r="AB25" s="168">
        <f ca="1">IF($C25-AB$1&lt;År1,0,AA24*(1-VLOOKUP($A25,[1]Hugst!$R$5:$W$9,MATCH(ROUNDUP((AB$1)/10,0)*10,[1]Hugst!$R$4:$W$4,0))))</f>
        <v>0</v>
      </c>
      <c r="AC25" s="168">
        <f ca="1">IF($C25-AC$1&lt;År1,0,AB24*(1-VLOOKUP($A25,[1]Hugst!$R$5:$W$9,MATCH(ROUNDUP((AC$1)/10,0)*10,[1]Hugst!$R$4:$W$4,0))))</f>
        <v>0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*VLOOKUP(A26,Skovbrug!$A$13:$D$17,IF('Skovbrug-alder'!C26&lt;=År2,3,4),FALSE)-IF(C26&gt;2020,SUM(INDEX($C$1:$D$311,MATCH(1,(2020=$C$1:$C$311)*(B26=$B$1:$B$311)*(A26=$A$1:$A$311),0),2):D25),0))</f>
        <v>0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0</v>
      </c>
      <c r="G26" s="168">
        <f ca="1">IF($C26-G$1&lt;År1,0,F25*(1-VLOOKUP($A26,[1]Hugst!$R$5:$W$9,MATCH(ROUNDUP((G$1)/10,0)*10,[1]Hugst!$R$4:$W$4,0))))</f>
        <v>0</v>
      </c>
      <c r="H26" s="168">
        <f ca="1">IF($C26-H$1&lt;År1,0,G25*(1-VLOOKUP($A26,[1]Hugst!$R$5:$W$9,MATCH(ROUNDUP((H$1)/10,0)*10,[1]Hugst!$R$4:$W$4,0))))</f>
        <v>0</v>
      </c>
      <c r="I26" s="168">
        <f ca="1">IF($C26-I$1&lt;År1,0,H25*(1-VLOOKUP($A26,[1]Hugst!$R$5:$W$9,MATCH(ROUNDUP((I$1)/10,0)*10,[1]Hugst!$R$4:$W$4,0))))</f>
        <v>0</v>
      </c>
      <c r="J26" s="168">
        <f ca="1">IF($C26-J$1&lt;År1,0,I25*(1-VLOOKUP($A26,[1]Hugst!$R$5:$W$9,MATCH(ROUNDUP((J$1)/10,0)*10,[1]Hugst!$R$4:$W$4,0))))</f>
        <v>0</v>
      </c>
      <c r="K26" s="168">
        <f ca="1">IF($C26-K$1&lt;År1,0,J25*(1-VLOOKUP($A26,[1]Hugst!$R$5:$W$9,MATCH(ROUNDUP((K$1)/10,0)*10,[1]Hugst!$R$4:$W$4,0))))</f>
        <v>0</v>
      </c>
      <c r="L26" s="168">
        <f ca="1">IF($C26-L$1&lt;År1,0,K25*(1-VLOOKUP($A26,[1]Hugst!$R$5:$W$9,MATCH(ROUNDUP((L$1)/10,0)*10,[1]Hugst!$R$4:$W$4,0))))</f>
        <v>0</v>
      </c>
      <c r="M26" s="168">
        <f ca="1">IF($C26-M$1&lt;År1,0,L25*(1-VLOOKUP($A26,[1]Hugst!$R$5:$W$9,MATCH(ROUNDUP((M$1)/10,0)*10,[1]Hugst!$R$4:$W$4,0))))</f>
        <v>0</v>
      </c>
      <c r="N26" s="168">
        <f ca="1">IF($C26-N$1&lt;År1,0,M25*(1-VLOOKUP($A26,[1]Hugst!$R$5:$W$9,MATCH(ROUNDUP((N$1)/10,0)*10,[1]Hugst!$R$4:$W$4,0))))</f>
        <v>0</v>
      </c>
      <c r="O26" s="168">
        <f ca="1">IF($C26-O$1&lt;År1,0,N25*(1-VLOOKUP($A26,[1]Hugst!$R$5:$W$9,MATCH(ROUNDUP((O$1)/10,0)*10,[1]Hugst!$R$4:$W$4,0))))</f>
        <v>0</v>
      </c>
      <c r="P26" s="168">
        <f ca="1">IF($C26-P$1&lt;År1,0,O25*(1-VLOOKUP($A26,[1]Hugst!$R$5:$W$9,MATCH(ROUNDUP((P$1)/10,0)*10,[1]Hugst!$R$4:$W$4,0))))</f>
        <v>0</v>
      </c>
      <c r="Q26" s="168">
        <f ca="1">IF($C26-Q$1&lt;År1,0,P25*(1-VLOOKUP($A26,[1]Hugst!$R$5:$W$9,MATCH(ROUNDUP((Q$1)/10,0)*10,[1]Hugst!$R$4:$W$4,0))))</f>
        <v>0</v>
      </c>
      <c r="R26" s="168">
        <f ca="1">IF($C26-R$1&lt;År1,0,Q25*(1-VLOOKUP($A26,[1]Hugst!$R$5:$W$9,MATCH(ROUNDUP((R$1)/10,0)*10,[1]Hugst!$R$4:$W$4,0))))</f>
        <v>0</v>
      </c>
      <c r="S26" s="168">
        <f ca="1">IF($C26-S$1&lt;År1,0,R25*(1-VLOOKUP($A26,[1]Hugst!$R$5:$W$9,MATCH(ROUNDUP((S$1)/10,0)*10,[1]Hugst!$R$4:$W$4,0))))</f>
        <v>0</v>
      </c>
      <c r="T26" s="168">
        <f ca="1">IF($C26-T$1&lt;År1,0,S25*(1-VLOOKUP($A26,[1]Hugst!$R$5:$W$9,MATCH(ROUNDUP((T$1)/10,0)*10,[1]Hugst!$R$4:$W$4,0))))</f>
        <v>0</v>
      </c>
      <c r="U26" s="168">
        <f ca="1">IF($C26-U$1&lt;År1,0,T25*(1-VLOOKUP($A26,[1]Hugst!$R$5:$W$9,MATCH(ROUNDUP((U$1)/10,0)*10,[1]Hugst!$R$4:$W$4,0))))</f>
        <v>0</v>
      </c>
      <c r="V26" s="168">
        <f ca="1">IF($C26-V$1&lt;År1,0,U25*(1-VLOOKUP($A26,[1]Hugst!$R$5:$W$9,MATCH(ROUNDUP((V$1)/10,0)*10,[1]Hugst!$R$4:$W$4,0))))</f>
        <v>0</v>
      </c>
      <c r="W26" s="168">
        <f ca="1">IF($C26-W$1&lt;År1,0,V25*(1-VLOOKUP($A26,[1]Hugst!$R$5:$W$9,MATCH(ROUNDUP((W$1)/10,0)*10,[1]Hugst!$R$4:$W$4,0))))</f>
        <v>0</v>
      </c>
      <c r="X26" s="168">
        <f ca="1">IF($C26-X$1&lt;År1,0,W25*(1-VLOOKUP($A26,[1]Hugst!$R$5:$W$9,MATCH(ROUNDUP((X$1)/10,0)*10,[1]Hugst!$R$4:$W$4,0))))</f>
        <v>0</v>
      </c>
      <c r="Y26" s="168">
        <f ca="1">IF($C26-Y$1&lt;År1,0,X25*(1-VLOOKUP($A26,[1]Hugst!$R$5:$W$9,MATCH(ROUNDUP((Y$1)/10,0)*10,[1]Hugst!$R$4:$W$4,0))))</f>
        <v>0</v>
      </c>
      <c r="Z26" s="168">
        <f ca="1">IF($C26-Z$1&lt;År1,0,Y25*(1-VLOOKUP($A26,[1]Hugst!$R$5:$W$9,MATCH(ROUNDUP((Z$1)/10,0)*10,[1]Hugst!$R$4:$W$4,0))))</f>
        <v>0</v>
      </c>
      <c r="AA26" s="168">
        <f ca="1">IF($C26-AA$1&lt;År1,0,Z25*(1-VLOOKUP($A26,[1]Hugst!$R$5:$W$9,MATCH(ROUNDUP((AA$1)/10,0)*10,[1]Hugst!$R$4:$W$4,0))))</f>
        <v>0</v>
      </c>
      <c r="AB26" s="168">
        <f ca="1">IF($C26-AB$1&lt;År1,0,AA25*(1-VLOOKUP($A26,[1]Hugst!$R$5:$W$9,MATCH(ROUNDUP((AB$1)/10,0)*10,[1]Hugst!$R$4:$W$4,0))))</f>
        <v>0</v>
      </c>
      <c r="AC26" s="168">
        <f ca="1">IF($C26-AC$1&lt;År1,0,AB25*(1-VLOOKUP($A26,[1]Hugst!$R$5:$W$9,MATCH(ROUNDUP((AC$1)/10,0)*10,[1]Hugst!$R$4:$W$4,0))))</f>
        <v>0</v>
      </c>
      <c r="AD26" s="168">
        <f ca="1">IF($C26-AD$1&lt;År1,0,AC25*(1-VLOOKUP($A26,[1]Hugst!$R$5:$W$9,MATCH(ROUNDUP((AD$1)/10,0)*10,[1]Hugst!$R$4:$W$4,0))))</f>
        <v>0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*VLOOKUP(A27,Skovbrug!$A$13:$D$17,IF('Skovbrug-alder'!C27&lt;=År2,3,4),FALSE)-IF(C27&gt;2020,SUM(INDEX($C$1:$D$311,MATCH(1,(2020=$C$1:$C$311)*(B27=$B$1:$B$311)*(A27=$A$1:$A$311),0),2):D26),0))</f>
        <v>0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0</v>
      </c>
      <c r="G27" s="168">
        <f ca="1">IF($C27-G$1&lt;År1,0,F26*(1-VLOOKUP($A27,[1]Hugst!$R$5:$W$9,MATCH(ROUNDUP((G$1)/10,0)*10,[1]Hugst!$R$4:$W$4,0))))</f>
        <v>0</v>
      </c>
      <c r="H27" s="168">
        <f ca="1">IF($C27-H$1&lt;År1,0,G26*(1-VLOOKUP($A27,[1]Hugst!$R$5:$W$9,MATCH(ROUNDUP((H$1)/10,0)*10,[1]Hugst!$R$4:$W$4,0))))</f>
        <v>0</v>
      </c>
      <c r="I27" s="168">
        <f ca="1">IF($C27-I$1&lt;År1,0,H26*(1-VLOOKUP($A27,[1]Hugst!$R$5:$W$9,MATCH(ROUNDUP((I$1)/10,0)*10,[1]Hugst!$R$4:$W$4,0))))</f>
        <v>0</v>
      </c>
      <c r="J27" s="168">
        <f ca="1">IF($C27-J$1&lt;År1,0,I26*(1-VLOOKUP($A27,[1]Hugst!$R$5:$W$9,MATCH(ROUNDUP((J$1)/10,0)*10,[1]Hugst!$R$4:$W$4,0))))</f>
        <v>0</v>
      </c>
      <c r="K27" s="168">
        <f ca="1">IF($C27-K$1&lt;År1,0,J26*(1-VLOOKUP($A27,[1]Hugst!$R$5:$W$9,MATCH(ROUNDUP((K$1)/10,0)*10,[1]Hugst!$R$4:$W$4,0))))</f>
        <v>0</v>
      </c>
      <c r="L27" s="168">
        <f ca="1">IF($C27-L$1&lt;År1,0,K26*(1-VLOOKUP($A27,[1]Hugst!$R$5:$W$9,MATCH(ROUNDUP((L$1)/10,0)*10,[1]Hugst!$R$4:$W$4,0))))</f>
        <v>0</v>
      </c>
      <c r="M27" s="168">
        <f ca="1">IF($C27-M$1&lt;År1,0,L26*(1-VLOOKUP($A27,[1]Hugst!$R$5:$W$9,MATCH(ROUNDUP((M$1)/10,0)*10,[1]Hugst!$R$4:$W$4,0))))</f>
        <v>0</v>
      </c>
      <c r="N27" s="168">
        <f ca="1">IF($C27-N$1&lt;År1,0,M26*(1-VLOOKUP($A27,[1]Hugst!$R$5:$W$9,MATCH(ROUNDUP((N$1)/10,0)*10,[1]Hugst!$R$4:$W$4,0))))</f>
        <v>0</v>
      </c>
      <c r="O27" s="168">
        <f ca="1">IF($C27-O$1&lt;År1,0,N26*(1-VLOOKUP($A27,[1]Hugst!$R$5:$W$9,MATCH(ROUNDUP((O$1)/10,0)*10,[1]Hugst!$R$4:$W$4,0))))</f>
        <v>0</v>
      </c>
      <c r="P27" s="168">
        <f ca="1">IF($C27-P$1&lt;År1,0,O26*(1-VLOOKUP($A27,[1]Hugst!$R$5:$W$9,MATCH(ROUNDUP((P$1)/10,0)*10,[1]Hugst!$R$4:$W$4,0))))</f>
        <v>0</v>
      </c>
      <c r="Q27" s="168">
        <f ca="1">IF($C27-Q$1&lt;År1,0,P26*(1-VLOOKUP($A27,[1]Hugst!$R$5:$W$9,MATCH(ROUNDUP((Q$1)/10,0)*10,[1]Hugst!$R$4:$W$4,0))))</f>
        <v>0</v>
      </c>
      <c r="R27" s="168">
        <f ca="1">IF($C27-R$1&lt;År1,0,Q26*(1-VLOOKUP($A27,[1]Hugst!$R$5:$W$9,MATCH(ROUNDUP((R$1)/10,0)*10,[1]Hugst!$R$4:$W$4,0))))</f>
        <v>0</v>
      </c>
      <c r="S27" s="168">
        <f ca="1">IF($C27-S$1&lt;År1,0,R26*(1-VLOOKUP($A27,[1]Hugst!$R$5:$W$9,MATCH(ROUNDUP((S$1)/10,0)*10,[1]Hugst!$R$4:$W$4,0))))</f>
        <v>0</v>
      </c>
      <c r="T27" s="168">
        <f ca="1">IF($C27-T$1&lt;År1,0,S26*(1-VLOOKUP($A27,[1]Hugst!$R$5:$W$9,MATCH(ROUNDUP((T$1)/10,0)*10,[1]Hugst!$R$4:$W$4,0))))</f>
        <v>0</v>
      </c>
      <c r="U27" s="168">
        <f ca="1">IF($C27-U$1&lt;År1,0,T26*(1-VLOOKUP($A27,[1]Hugst!$R$5:$W$9,MATCH(ROUNDUP((U$1)/10,0)*10,[1]Hugst!$R$4:$W$4,0))))</f>
        <v>0</v>
      </c>
      <c r="V27" s="168">
        <f ca="1">IF($C27-V$1&lt;År1,0,U26*(1-VLOOKUP($A27,[1]Hugst!$R$5:$W$9,MATCH(ROUNDUP((V$1)/10,0)*10,[1]Hugst!$R$4:$W$4,0))))</f>
        <v>0</v>
      </c>
      <c r="W27" s="168">
        <f ca="1">IF($C27-W$1&lt;År1,0,V26*(1-VLOOKUP($A27,[1]Hugst!$R$5:$W$9,MATCH(ROUNDUP((W$1)/10,0)*10,[1]Hugst!$R$4:$W$4,0))))</f>
        <v>0</v>
      </c>
      <c r="X27" s="168">
        <f ca="1">IF($C27-X$1&lt;År1,0,W26*(1-VLOOKUP($A27,[1]Hugst!$R$5:$W$9,MATCH(ROUNDUP((X$1)/10,0)*10,[1]Hugst!$R$4:$W$4,0))))</f>
        <v>0</v>
      </c>
      <c r="Y27" s="168">
        <f ca="1">IF($C27-Y$1&lt;År1,0,X26*(1-VLOOKUP($A27,[1]Hugst!$R$5:$W$9,MATCH(ROUNDUP((Y$1)/10,0)*10,[1]Hugst!$R$4:$W$4,0))))</f>
        <v>0</v>
      </c>
      <c r="Z27" s="168">
        <f ca="1">IF($C27-Z$1&lt;År1,0,Y26*(1-VLOOKUP($A27,[1]Hugst!$R$5:$W$9,MATCH(ROUNDUP((Z$1)/10,0)*10,[1]Hugst!$R$4:$W$4,0))))</f>
        <v>0</v>
      </c>
      <c r="AA27" s="168">
        <f ca="1">IF($C27-AA$1&lt;År1,0,Z26*(1-VLOOKUP($A27,[1]Hugst!$R$5:$W$9,MATCH(ROUNDUP((AA$1)/10,0)*10,[1]Hugst!$R$4:$W$4,0))))</f>
        <v>0</v>
      </c>
      <c r="AB27" s="168">
        <f ca="1">IF($C27-AB$1&lt;År1,0,AA26*(1-VLOOKUP($A27,[1]Hugst!$R$5:$W$9,MATCH(ROUNDUP((AB$1)/10,0)*10,[1]Hugst!$R$4:$W$4,0))))</f>
        <v>0</v>
      </c>
      <c r="AC27" s="168">
        <f ca="1">IF($C27-AC$1&lt;År1,0,AB26*(1-VLOOKUP($A27,[1]Hugst!$R$5:$W$9,MATCH(ROUNDUP((AC$1)/10,0)*10,[1]Hugst!$R$4:$W$4,0))))</f>
        <v>0</v>
      </c>
      <c r="AD27" s="168">
        <f ca="1">IF($C27-AD$1&lt;År1,0,AC26*(1-VLOOKUP($A27,[1]Hugst!$R$5:$W$9,MATCH(ROUNDUP((AD$1)/10,0)*10,[1]Hugst!$R$4:$W$4,0))))</f>
        <v>0</v>
      </c>
      <c r="AE27" s="168">
        <f ca="1">IF($C27-AE$1&lt;År1,0,AD26*(1-VLOOKUP($A27,[1]Hugst!$R$5:$W$9,MATCH(ROUNDUP((AE$1)/10,0)*10,[1]Hugst!$R$4:$W$4,0))))</f>
        <v>0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*VLOOKUP(A28,Skovbrug!$A$13:$D$17,IF('Skovbrug-alder'!C28&lt;=År2,3,4),FALSE)-IF(C28&gt;2020,SUM(INDEX($C$1:$D$311,MATCH(1,(2020=$C$1:$C$311)*(B28=$B$1:$B$311)*(A28=$A$1:$A$311),0),2):D27),0))</f>
        <v>0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0</v>
      </c>
      <c r="G28" s="168">
        <f ca="1">IF($C28-G$1&lt;År1,0,F27*(1-VLOOKUP($A28,[1]Hugst!$R$5:$W$9,MATCH(ROUNDUP((G$1)/10,0)*10,[1]Hugst!$R$4:$W$4,0))))</f>
        <v>0</v>
      </c>
      <c r="H28" s="168">
        <f ca="1">IF($C28-H$1&lt;År1,0,G27*(1-VLOOKUP($A28,[1]Hugst!$R$5:$W$9,MATCH(ROUNDUP((H$1)/10,0)*10,[1]Hugst!$R$4:$W$4,0))))</f>
        <v>0</v>
      </c>
      <c r="I28" s="168">
        <f ca="1">IF($C28-I$1&lt;År1,0,H27*(1-VLOOKUP($A28,[1]Hugst!$R$5:$W$9,MATCH(ROUNDUP((I$1)/10,0)*10,[1]Hugst!$R$4:$W$4,0))))</f>
        <v>0</v>
      </c>
      <c r="J28" s="168">
        <f ca="1">IF($C28-J$1&lt;År1,0,I27*(1-VLOOKUP($A28,[1]Hugst!$R$5:$W$9,MATCH(ROUNDUP((J$1)/10,0)*10,[1]Hugst!$R$4:$W$4,0))))</f>
        <v>0</v>
      </c>
      <c r="K28" s="168">
        <f ca="1">IF($C28-K$1&lt;År1,0,J27*(1-VLOOKUP($A28,[1]Hugst!$R$5:$W$9,MATCH(ROUNDUP((K$1)/10,0)*10,[1]Hugst!$R$4:$W$4,0))))</f>
        <v>0</v>
      </c>
      <c r="L28" s="168">
        <f ca="1">IF($C28-L$1&lt;År1,0,K27*(1-VLOOKUP($A28,[1]Hugst!$R$5:$W$9,MATCH(ROUNDUP((L$1)/10,0)*10,[1]Hugst!$R$4:$W$4,0))))</f>
        <v>0</v>
      </c>
      <c r="M28" s="168">
        <f ca="1">IF($C28-M$1&lt;År1,0,L27*(1-VLOOKUP($A28,[1]Hugst!$R$5:$W$9,MATCH(ROUNDUP((M$1)/10,0)*10,[1]Hugst!$R$4:$W$4,0))))</f>
        <v>0</v>
      </c>
      <c r="N28" s="168">
        <f ca="1">IF($C28-N$1&lt;År1,0,M27*(1-VLOOKUP($A28,[1]Hugst!$R$5:$W$9,MATCH(ROUNDUP((N$1)/10,0)*10,[1]Hugst!$R$4:$W$4,0))))</f>
        <v>0</v>
      </c>
      <c r="O28" s="168">
        <f ca="1">IF($C28-O$1&lt;År1,0,N27*(1-VLOOKUP($A28,[1]Hugst!$R$5:$W$9,MATCH(ROUNDUP((O$1)/10,0)*10,[1]Hugst!$R$4:$W$4,0))))</f>
        <v>0</v>
      </c>
      <c r="P28" s="168">
        <f ca="1">IF($C28-P$1&lt;År1,0,O27*(1-VLOOKUP($A28,[1]Hugst!$R$5:$W$9,MATCH(ROUNDUP((P$1)/10,0)*10,[1]Hugst!$R$4:$W$4,0))))</f>
        <v>0</v>
      </c>
      <c r="Q28" s="168">
        <f ca="1">IF($C28-Q$1&lt;År1,0,P27*(1-VLOOKUP($A28,[1]Hugst!$R$5:$W$9,MATCH(ROUNDUP((Q$1)/10,0)*10,[1]Hugst!$R$4:$W$4,0))))</f>
        <v>0</v>
      </c>
      <c r="R28" s="168">
        <f ca="1">IF($C28-R$1&lt;År1,0,Q27*(1-VLOOKUP($A28,[1]Hugst!$R$5:$W$9,MATCH(ROUNDUP((R$1)/10,0)*10,[1]Hugst!$R$4:$W$4,0))))</f>
        <v>0</v>
      </c>
      <c r="S28" s="168">
        <f ca="1">IF($C28-S$1&lt;År1,0,R27*(1-VLOOKUP($A28,[1]Hugst!$R$5:$W$9,MATCH(ROUNDUP((S$1)/10,0)*10,[1]Hugst!$R$4:$W$4,0))))</f>
        <v>0</v>
      </c>
      <c r="T28" s="168">
        <f ca="1">IF($C28-T$1&lt;År1,0,S27*(1-VLOOKUP($A28,[1]Hugst!$R$5:$W$9,MATCH(ROUNDUP((T$1)/10,0)*10,[1]Hugst!$R$4:$W$4,0))))</f>
        <v>0</v>
      </c>
      <c r="U28" s="168">
        <f ca="1">IF($C28-U$1&lt;År1,0,T27*(1-VLOOKUP($A28,[1]Hugst!$R$5:$W$9,MATCH(ROUNDUP((U$1)/10,0)*10,[1]Hugst!$R$4:$W$4,0))))</f>
        <v>0</v>
      </c>
      <c r="V28" s="168">
        <f ca="1">IF($C28-V$1&lt;År1,0,U27*(1-VLOOKUP($A28,[1]Hugst!$R$5:$W$9,MATCH(ROUNDUP((V$1)/10,0)*10,[1]Hugst!$R$4:$W$4,0))))</f>
        <v>0</v>
      </c>
      <c r="W28" s="168">
        <f ca="1">IF($C28-W$1&lt;År1,0,V27*(1-VLOOKUP($A28,[1]Hugst!$R$5:$W$9,MATCH(ROUNDUP((W$1)/10,0)*10,[1]Hugst!$R$4:$W$4,0))))</f>
        <v>0</v>
      </c>
      <c r="X28" s="168">
        <f ca="1">IF($C28-X$1&lt;År1,0,W27*(1-VLOOKUP($A28,[1]Hugst!$R$5:$W$9,MATCH(ROUNDUP((X$1)/10,0)*10,[1]Hugst!$R$4:$W$4,0))))</f>
        <v>0</v>
      </c>
      <c r="Y28" s="168">
        <f ca="1">IF($C28-Y$1&lt;År1,0,X27*(1-VLOOKUP($A28,[1]Hugst!$R$5:$W$9,MATCH(ROUNDUP((Y$1)/10,0)*10,[1]Hugst!$R$4:$W$4,0))))</f>
        <v>0</v>
      </c>
      <c r="Z28" s="168">
        <f ca="1">IF($C28-Z$1&lt;År1,0,Y27*(1-VLOOKUP($A28,[1]Hugst!$R$5:$W$9,MATCH(ROUNDUP((Z$1)/10,0)*10,[1]Hugst!$R$4:$W$4,0))))</f>
        <v>0</v>
      </c>
      <c r="AA28" s="168">
        <f ca="1">IF($C28-AA$1&lt;År1,0,Z27*(1-VLOOKUP($A28,[1]Hugst!$R$5:$W$9,MATCH(ROUNDUP((AA$1)/10,0)*10,[1]Hugst!$R$4:$W$4,0))))</f>
        <v>0</v>
      </c>
      <c r="AB28" s="168">
        <f ca="1">IF($C28-AB$1&lt;År1,0,AA27*(1-VLOOKUP($A28,[1]Hugst!$R$5:$W$9,MATCH(ROUNDUP((AB$1)/10,0)*10,[1]Hugst!$R$4:$W$4,0))))</f>
        <v>0</v>
      </c>
      <c r="AC28" s="168">
        <f ca="1">IF($C28-AC$1&lt;År1,0,AB27*(1-VLOOKUP($A28,[1]Hugst!$R$5:$W$9,MATCH(ROUNDUP((AC$1)/10,0)*10,[1]Hugst!$R$4:$W$4,0))))</f>
        <v>0</v>
      </c>
      <c r="AD28" s="168">
        <f ca="1">IF($C28-AD$1&lt;År1,0,AC27*(1-VLOOKUP($A28,[1]Hugst!$R$5:$W$9,MATCH(ROUNDUP((AD$1)/10,0)*10,[1]Hugst!$R$4:$W$4,0))))</f>
        <v>0</v>
      </c>
      <c r="AE28" s="168">
        <f ca="1">IF($C28-AE$1&lt;År1,0,AD27*(1-VLOOKUP($A28,[1]Hugst!$R$5:$W$9,MATCH(ROUNDUP((AE$1)/10,0)*10,[1]Hugst!$R$4:$W$4,0))))</f>
        <v>0</v>
      </c>
      <c r="AF28" s="168">
        <f ca="1">IF($C28-AF$1&lt;År1,0,AE27*(1-VLOOKUP($A28,[1]Hugst!$R$5:$W$9,MATCH(ROUNDUP((AF$1)/10,0)*10,[1]Hugst!$R$4:$W$4,0))))</f>
        <v>0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*VLOOKUP(A29,Skovbrug!$A$13:$D$17,IF('Skovbrug-alder'!C29&lt;=År2,3,4),FALSE)-IF(C29&gt;2020,SUM(INDEX($C$1:$D$311,MATCH(1,(2020=$C$1:$C$311)*(B29=$B$1:$B$311)*(A29=$A$1:$A$311),0),2):D28),0))</f>
        <v>0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0</v>
      </c>
      <c r="G29" s="168">
        <f ca="1">IF($C29-G$1&lt;År1,0,F28*(1-VLOOKUP($A29,[1]Hugst!$R$5:$W$9,MATCH(ROUNDUP((G$1)/10,0)*10,[1]Hugst!$R$4:$W$4,0))))</f>
        <v>0</v>
      </c>
      <c r="H29" s="168">
        <f ca="1">IF($C29-H$1&lt;År1,0,G28*(1-VLOOKUP($A29,[1]Hugst!$R$5:$W$9,MATCH(ROUNDUP((H$1)/10,0)*10,[1]Hugst!$R$4:$W$4,0))))</f>
        <v>0</v>
      </c>
      <c r="I29" s="168">
        <f ca="1">IF($C29-I$1&lt;År1,0,H28*(1-VLOOKUP($A29,[1]Hugst!$R$5:$W$9,MATCH(ROUNDUP((I$1)/10,0)*10,[1]Hugst!$R$4:$W$4,0))))</f>
        <v>0</v>
      </c>
      <c r="J29" s="168">
        <f ca="1">IF($C29-J$1&lt;År1,0,I28*(1-VLOOKUP($A29,[1]Hugst!$R$5:$W$9,MATCH(ROUNDUP((J$1)/10,0)*10,[1]Hugst!$R$4:$W$4,0))))</f>
        <v>0</v>
      </c>
      <c r="K29" s="168">
        <f ca="1">IF($C29-K$1&lt;År1,0,J28*(1-VLOOKUP($A29,[1]Hugst!$R$5:$W$9,MATCH(ROUNDUP((K$1)/10,0)*10,[1]Hugst!$R$4:$W$4,0))))</f>
        <v>0</v>
      </c>
      <c r="L29" s="168">
        <f ca="1">IF($C29-L$1&lt;År1,0,K28*(1-VLOOKUP($A29,[1]Hugst!$R$5:$W$9,MATCH(ROUNDUP((L$1)/10,0)*10,[1]Hugst!$R$4:$W$4,0))))</f>
        <v>0</v>
      </c>
      <c r="M29" s="168">
        <f ca="1">IF($C29-M$1&lt;År1,0,L28*(1-VLOOKUP($A29,[1]Hugst!$R$5:$W$9,MATCH(ROUNDUP((M$1)/10,0)*10,[1]Hugst!$R$4:$W$4,0))))</f>
        <v>0</v>
      </c>
      <c r="N29" s="168">
        <f ca="1">IF($C29-N$1&lt;År1,0,M28*(1-VLOOKUP($A29,[1]Hugst!$R$5:$W$9,MATCH(ROUNDUP((N$1)/10,0)*10,[1]Hugst!$R$4:$W$4,0))))</f>
        <v>0</v>
      </c>
      <c r="O29" s="168">
        <f ca="1">IF($C29-O$1&lt;År1,0,N28*(1-VLOOKUP($A29,[1]Hugst!$R$5:$W$9,MATCH(ROUNDUP((O$1)/10,0)*10,[1]Hugst!$R$4:$W$4,0))))</f>
        <v>0</v>
      </c>
      <c r="P29" s="168">
        <f ca="1">IF($C29-P$1&lt;År1,0,O28*(1-VLOOKUP($A29,[1]Hugst!$R$5:$W$9,MATCH(ROUNDUP((P$1)/10,0)*10,[1]Hugst!$R$4:$W$4,0))))</f>
        <v>0</v>
      </c>
      <c r="Q29" s="168">
        <f ca="1">IF($C29-Q$1&lt;År1,0,P28*(1-VLOOKUP($A29,[1]Hugst!$R$5:$W$9,MATCH(ROUNDUP((Q$1)/10,0)*10,[1]Hugst!$R$4:$W$4,0))))</f>
        <v>0</v>
      </c>
      <c r="R29" s="168">
        <f ca="1">IF($C29-R$1&lt;År1,0,Q28*(1-VLOOKUP($A29,[1]Hugst!$R$5:$W$9,MATCH(ROUNDUP((R$1)/10,0)*10,[1]Hugst!$R$4:$W$4,0))))</f>
        <v>0</v>
      </c>
      <c r="S29" s="168">
        <f ca="1">IF($C29-S$1&lt;År1,0,R28*(1-VLOOKUP($A29,[1]Hugst!$R$5:$W$9,MATCH(ROUNDUP((S$1)/10,0)*10,[1]Hugst!$R$4:$W$4,0))))</f>
        <v>0</v>
      </c>
      <c r="T29" s="168">
        <f ca="1">IF($C29-T$1&lt;År1,0,S28*(1-VLOOKUP($A29,[1]Hugst!$R$5:$W$9,MATCH(ROUNDUP((T$1)/10,0)*10,[1]Hugst!$R$4:$W$4,0))))</f>
        <v>0</v>
      </c>
      <c r="U29" s="168">
        <f ca="1">IF($C29-U$1&lt;År1,0,T28*(1-VLOOKUP($A29,[1]Hugst!$R$5:$W$9,MATCH(ROUNDUP((U$1)/10,0)*10,[1]Hugst!$R$4:$W$4,0))))</f>
        <v>0</v>
      </c>
      <c r="V29" s="168">
        <f ca="1">IF($C29-V$1&lt;År1,0,U28*(1-VLOOKUP($A29,[1]Hugst!$R$5:$W$9,MATCH(ROUNDUP((V$1)/10,0)*10,[1]Hugst!$R$4:$W$4,0))))</f>
        <v>0</v>
      </c>
      <c r="W29" s="168">
        <f ca="1">IF($C29-W$1&lt;År1,0,V28*(1-VLOOKUP($A29,[1]Hugst!$R$5:$W$9,MATCH(ROUNDUP((W$1)/10,0)*10,[1]Hugst!$R$4:$W$4,0))))</f>
        <v>0</v>
      </c>
      <c r="X29" s="168">
        <f ca="1">IF($C29-X$1&lt;År1,0,W28*(1-VLOOKUP($A29,[1]Hugst!$R$5:$W$9,MATCH(ROUNDUP((X$1)/10,0)*10,[1]Hugst!$R$4:$W$4,0))))</f>
        <v>0</v>
      </c>
      <c r="Y29" s="168">
        <f ca="1">IF($C29-Y$1&lt;År1,0,X28*(1-VLOOKUP($A29,[1]Hugst!$R$5:$W$9,MATCH(ROUNDUP((Y$1)/10,0)*10,[1]Hugst!$R$4:$W$4,0))))</f>
        <v>0</v>
      </c>
      <c r="Z29" s="168">
        <f ca="1">IF($C29-Z$1&lt;År1,0,Y28*(1-VLOOKUP($A29,[1]Hugst!$R$5:$W$9,MATCH(ROUNDUP((Z$1)/10,0)*10,[1]Hugst!$R$4:$W$4,0))))</f>
        <v>0</v>
      </c>
      <c r="AA29" s="168">
        <f ca="1">IF($C29-AA$1&lt;År1,0,Z28*(1-VLOOKUP($A29,[1]Hugst!$R$5:$W$9,MATCH(ROUNDUP((AA$1)/10,0)*10,[1]Hugst!$R$4:$W$4,0))))</f>
        <v>0</v>
      </c>
      <c r="AB29" s="168">
        <f ca="1">IF($C29-AB$1&lt;År1,0,AA28*(1-VLOOKUP($A29,[1]Hugst!$R$5:$W$9,MATCH(ROUNDUP((AB$1)/10,0)*10,[1]Hugst!$R$4:$W$4,0))))</f>
        <v>0</v>
      </c>
      <c r="AC29" s="168">
        <f ca="1">IF($C29-AC$1&lt;År1,0,AB28*(1-VLOOKUP($A29,[1]Hugst!$R$5:$W$9,MATCH(ROUNDUP((AC$1)/10,0)*10,[1]Hugst!$R$4:$W$4,0))))</f>
        <v>0</v>
      </c>
      <c r="AD29" s="168">
        <f ca="1">IF($C29-AD$1&lt;År1,0,AC28*(1-VLOOKUP($A29,[1]Hugst!$R$5:$W$9,MATCH(ROUNDUP((AD$1)/10,0)*10,[1]Hugst!$R$4:$W$4,0))))</f>
        <v>0</v>
      </c>
      <c r="AE29" s="168">
        <f ca="1">IF($C29-AE$1&lt;År1,0,AD28*(1-VLOOKUP($A29,[1]Hugst!$R$5:$W$9,MATCH(ROUNDUP((AE$1)/10,0)*10,[1]Hugst!$R$4:$W$4,0))))</f>
        <v>0</v>
      </c>
      <c r="AF29" s="168">
        <f ca="1">IF($C29-AF$1&lt;År1,0,AE28*(1-VLOOKUP($A29,[1]Hugst!$R$5:$W$9,MATCH(ROUNDUP((AF$1)/10,0)*10,[1]Hugst!$R$4:$W$4,0))))</f>
        <v>0</v>
      </c>
      <c r="AG29" s="168">
        <f ca="1">IF($C29-AG$1&lt;År1,0,AF28*(1-VLOOKUP($A29,[1]Hugst!$R$5:$W$9,MATCH(ROUNDUP((AG$1)/10,0)*10,[1]Hugst!$R$4:$W$4,0))))</f>
        <v>0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*VLOOKUP(A30,Skovbrug!$A$13:$D$17,IF('Skovbrug-alder'!C30&lt;=År2,3,4),FALSE)-IF(C30&gt;2020,SUM(INDEX($C$1:$D$311,MATCH(1,(2020=$C$1:$C$311)*(B30=$B$1:$B$311)*(A30=$A$1:$A$311),0),2):D29),0))</f>
        <v>0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0</v>
      </c>
      <c r="G30" s="168">
        <f ca="1">IF($C30-G$1&lt;År1,0,F29*(1-VLOOKUP($A30,[1]Hugst!$R$5:$W$9,MATCH(ROUNDUP((G$1)/10,0)*10,[1]Hugst!$R$4:$W$4,0))))</f>
        <v>0</v>
      </c>
      <c r="H30" s="168">
        <f ca="1">IF($C30-H$1&lt;År1,0,G29*(1-VLOOKUP($A30,[1]Hugst!$R$5:$W$9,MATCH(ROUNDUP((H$1)/10,0)*10,[1]Hugst!$R$4:$W$4,0))))</f>
        <v>0</v>
      </c>
      <c r="I30" s="168">
        <f ca="1">IF($C30-I$1&lt;År1,0,H29*(1-VLOOKUP($A30,[1]Hugst!$R$5:$W$9,MATCH(ROUNDUP((I$1)/10,0)*10,[1]Hugst!$R$4:$W$4,0))))</f>
        <v>0</v>
      </c>
      <c r="J30" s="168">
        <f ca="1">IF($C30-J$1&lt;År1,0,I29*(1-VLOOKUP($A30,[1]Hugst!$R$5:$W$9,MATCH(ROUNDUP((J$1)/10,0)*10,[1]Hugst!$R$4:$W$4,0))))</f>
        <v>0</v>
      </c>
      <c r="K30" s="168">
        <f ca="1">IF($C30-K$1&lt;År1,0,J29*(1-VLOOKUP($A30,[1]Hugst!$R$5:$W$9,MATCH(ROUNDUP((K$1)/10,0)*10,[1]Hugst!$R$4:$W$4,0))))</f>
        <v>0</v>
      </c>
      <c r="L30" s="168">
        <f ca="1">IF($C30-L$1&lt;År1,0,K29*(1-VLOOKUP($A30,[1]Hugst!$R$5:$W$9,MATCH(ROUNDUP((L$1)/10,0)*10,[1]Hugst!$R$4:$W$4,0))))</f>
        <v>0</v>
      </c>
      <c r="M30" s="168">
        <f ca="1">IF($C30-M$1&lt;År1,0,L29*(1-VLOOKUP($A30,[1]Hugst!$R$5:$W$9,MATCH(ROUNDUP((M$1)/10,0)*10,[1]Hugst!$R$4:$W$4,0))))</f>
        <v>0</v>
      </c>
      <c r="N30" s="168">
        <f ca="1">IF($C30-N$1&lt;År1,0,M29*(1-VLOOKUP($A30,[1]Hugst!$R$5:$W$9,MATCH(ROUNDUP((N$1)/10,0)*10,[1]Hugst!$R$4:$W$4,0))))</f>
        <v>0</v>
      </c>
      <c r="O30" s="168">
        <f ca="1">IF($C30-O$1&lt;År1,0,N29*(1-VLOOKUP($A30,[1]Hugst!$R$5:$W$9,MATCH(ROUNDUP((O$1)/10,0)*10,[1]Hugst!$R$4:$W$4,0))))</f>
        <v>0</v>
      </c>
      <c r="P30" s="168">
        <f ca="1">IF($C30-P$1&lt;År1,0,O29*(1-VLOOKUP($A30,[1]Hugst!$R$5:$W$9,MATCH(ROUNDUP((P$1)/10,0)*10,[1]Hugst!$R$4:$W$4,0))))</f>
        <v>0</v>
      </c>
      <c r="Q30" s="168">
        <f ca="1">IF($C30-Q$1&lt;År1,0,P29*(1-VLOOKUP($A30,[1]Hugst!$R$5:$W$9,MATCH(ROUNDUP((Q$1)/10,0)*10,[1]Hugst!$R$4:$W$4,0))))</f>
        <v>0</v>
      </c>
      <c r="R30" s="168">
        <f ca="1">IF($C30-R$1&lt;År1,0,Q29*(1-VLOOKUP($A30,[1]Hugst!$R$5:$W$9,MATCH(ROUNDUP((R$1)/10,0)*10,[1]Hugst!$R$4:$W$4,0))))</f>
        <v>0</v>
      </c>
      <c r="S30" s="168">
        <f ca="1">IF($C30-S$1&lt;År1,0,R29*(1-VLOOKUP($A30,[1]Hugst!$R$5:$W$9,MATCH(ROUNDUP((S$1)/10,0)*10,[1]Hugst!$R$4:$W$4,0))))</f>
        <v>0</v>
      </c>
      <c r="T30" s="168">
        <f ca="1">IF($C30-T$1&lt;År1,0,S29*(1-VLOOKUP($A30,[1]Hugst!$R$5:$W$9,MATCH(ROUNDUP((T$1)/10,0)*10,[1]Hugst!$R$4:$W$4,0))))</f>
        <v>0</v>
      </c>
      <c r="U30" s="168">
        <f ca="1">IF($C30-U$1&lt;År1,0,T29*(1-VLOOKUP($A30,[1]Hugst!$R$5:$W$9,MATCH(ROUNDUP((U$1)/10,0)*10,[1]Hugst!$R$4:$W$4,0))))</f>
        <v>0</v>
      </c>
      <c r="V30" s="168">
        <f ca="1">IF($C30-V$1&lt;År1,0,U29*(1-VLOOKUP($A30,[1]Hugst!$R$5:$W$9,MATCH(ROUNDUP((V$1)/10,0)*10,[1]Hugst!$R$4:$W$4,0))))</f>
        <v>0</v>
      </c>
      <c r="W30" s="168">
        <f ca="1">IF($C30-W$1&lt;År1,0,V29*(1-VLOOKUP($A30,[1]Hugst!$R$5:$W$9,MATCH(ROUNDUP((W$1)/10,0)*10,[1]Hugst!$R$4:$W$4,0))))</f>
        <v>0</v>
      </c>
      <c r="X30" s="168">
        <f ca="1">IF($C30-X$1&lt;År1,0,W29*(1-VLOOKUP($A30,[1]Hugst!$R$5:$W$9,MATCH(ROUNDUP((X$1)/10,0)*10,[1]Hugst!$R$4:$W$4,0))))</f>
        <v>0</v>
      </c>
      <c r="Y30" s="168">
        <f ca="1">IF($C30-Y$1&lt;År1,0,X29*(1-VLOOKUP($A30,[1]Hugst!$R$5:$W$9,MATCH(ROUNDUP((Y$1)/10,0)*10,[1]Hugst!$R$4:$W$4,0))))</f>
        <v>0</v>
      </c>
      <c r="Z30" s="168">
        <f ca="1">IF($C30-Z$1&lt;År1,0,Y29*(1-VLOOKUP($A30,[1]Hugst!$R$5:$W$9,MATCH(ROUNDUP((Z$1)/10,0)*10,[1]Hugst!$R$4:$W$4,0))))</f>
        <v>0</v>
      </c>
      <c r="AA30" s="168">
        <f ca="1">IF($C30-AA$1&lt;År1,0,Z29*(1-VLOOKUP($A30,[1]Hugst!$R$5:$W$9,MATCH(ROUNDUP((AA$1)/10,0)*10,[1]Hugst!$R$4:$W$4,0))))</f>
        <v>0</v>
      </c>
      <c r="AB30" s="168">
        <f ca="1">IF($C30-AB$1&lt;År1,0,AA29*(1-VLOOKUP($A30,[1]Hugst!$R$5:$W$9,MATCH(ROUNDUP((AB$1)/10,0)*10,[1]Hugst!$R$4:$W$4,0))))</f>
        <v>0</v>
      </c>
      <c r="AC30" s="168">
        <f ca="1">IF($C30-AC$1&lt;År1,0,AB29*(1-VLOOKUP($A30,[1]Hugst!$R$5:$W$9,MATCH(ROUNDUP((AC$1)/10,0)*10,[1]Hugst!$R$4:$W$4,0))))</f>
        <v>0</v>
      </c>
      <c r="AD30" s="168">
        <f ca="1">IF($C30-AD$1&lt;År1,0,AC29*(1-VLOOKUP($A30,[1]Hugst!$R$5:$W$9,MATCH(ROUNDUP((AD$1)/10,0)*10,[1]Hugst!$R$4:$W$4,0))))</f>
        <v>0</v>
      </c>
      <c r="AE30" s="168">
        <f ca="1">IF($C30-AE$1&lt;År1,0,AD29*(1-VLOOKUP($A30,[1]Hugst!$R$5:$W$9,MATCH(ROUNDUP((AE$1)/10,0)*10,[1]Hugst!$R$4:$W$4,0))))</f>
        <v>0</v>
      </c>
      <c r="AF30" s="168">
        <f ca="1">IF($C30-AF$1&lt;År1,0,AE29*(1-VLOOKUP($A30,[1]Hugst!$R$5:$W$9,MATCH(ROUNDUP((AF$1)/10,0)*10,[1]Hugst!$R$4:$W$4,0))))</f>
        <v>0</v>
      </c>
      <c r="AG30" s="168">
        <f ca="1">IF($C30-AG$1&lt;År1,0,AF29*(1-VLOOKUP($A30,[1]Hugst!$R$5:$W$9,MATCH(ROUNDUP((AG$1)/10,0)*10,[1]Hugst!$R$4:$W$4,0))))</f>
        <v>0</v>
      </c>
      <c r="AH30" s="168">
        <f ca="1">IF($C30-AH$1&lt;År1,0,AG29*(1-VLOOKUP($A30,[1]Hugst!$R$5:$W$9,MATCH(ROUNDUP((AH$1)/10,0)*10,[1]Hugst!$R$4:$W$4,0))))</f>
        <v>0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*VLOOKUP(A31,Skovbrug!$A$13:$D$17,IF('Skovbrug-alder'!C31&lt;=År2,3,4),FALSE)-IF(C31&gt;2020,SUM(INDEX($C$1:$D$311,MATCH(1,(2020=$C$1:$C$311)*(B31=$B$1:$B$311)*(A31=$A$1:$A$311),0),2):D30),0))</f>
        <v>0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0</v>
      </c>
      <c r="G31" s="168">
        <f ca="1">IF($C31-G$1&lt;År1,0,F30*(1-VLOOKUP($A31,[1]Hugst!$R$5:$W$9,MATCH(ROUNDUP((G$1)/10,0)*10,[1]Hugst!$R$4:$W$4,0))))</f>
        <v>0</v>
      </c>
      <c r="H31" s="168">
        <f ca="1">IF($C31-H$1&lt;År1,0,G30*(1-VLOOKUP($A31,[1]Hugst!$R$5:$W$9,MATCH(ROUNDUP((H$1)/10,0)*10,[1]Hugst!$R$4:$W$4,0))))</f>
        <v>0</v>
      </c>
      <c r="I31" s="168">
        <f ca="1">IF($C31-I$1&lt;År1,0,H30*(1-VLOOKUP($A31,[1]Hugst!$R$5:$W$9,MATCH(ROUNDUP((I$1)/10,0)*10,[1]Hugst!$R$4:$W$4,0))))</f>
        <v>0</v>
      </c>
      <c r="J31" s="168">
        <f ca="1">IF($C31-J$1&lt;År1,0,I30*(1-VLOOKUP($A31,[1]Hugst!$R$5:$W$9,MATCH(ROUNDUP((J$1)/10,0)*10,[1]Hugst!$R$4:$W$4,0))))</f>
        <v>0</v>
      </c>
      <c r="K31" s="168">
        <f ca="1">IF($C31-K$1&lt;År1,0,J30*(1-VLOOKUP($A31,[1]Hugst!$R$5:$W$9,MATCH(ROUNDUP((K$1)/10,0)*10,[1]Hugst!$R$4:$W$4,0))))</f>
        <v>0</v>
      </c>
      <c r="L31" s="168">
        <f ca="1">IF($C31-L$1&lt;År1,0,K30*(1-VLOOKUP($A31,[1]Hugst!$R$5:$W$9,MATCH(ROUNDUP((L$1)/10,0)*10,[1]Hugst!$R$4:$W$4,0))))</f>
        <v>0</v>
      </c>
      <c r="M31" s="168">
        <f ca="1">IF($C31-M$1&lt;År1,0,L30*(1-VLOOKUP($A31,[1]Hugst!$R$5:$W$9,MATCH(ROUNDUP((M$1)/10,0)*10,[1]Hugst!$R$4:$W$4,0))))</f>
        <v>0</v>
      </c>
      <c r="N31" s="168">
        <f ca="1">IF($C31-N$1&lt;År1,0,M30*(1-VLOOKUP($A31,[1]Hugst!$R$5:$W$9,MATCH(ROUNDUP((N$1)/10,0)*10,[1]Hugst!$R$4:$W$4,0))))</f>
        <v>0</v>
      </c>
      <c r="O31" s="168">
        <f ca="1">IF($C31-O$1&lt;År1,0,N30*(1-VLOOKUP($A31,[1]Hugst!$R$5:$W$9,MATCH(ROUNDUP((O$1)/10,0)*10,[1]Hugst!$R$4:$W$4,0))))</f>
        <v>0</v>
      </c>
      <c r="P31" s="168">
        <f ca="1">IF($C31-P$1&lt;År1,0,O30*(1-VLOOKUP($A31,[1]Hugst!$R$5:$W$9,MATCH(ROUNDUP((P$1)/10,0)*10,[1]Hugst!$R$4:$W$4,0))))</f>
        <v>0</v>
      </c>
      <c r="Q31" s="168">
        <f ca="1">IF($C31-Q$1&lt;År1,0,P30*(1-VLOOKUP($A31,[1]Hugst!$R$5:$W$9,MATCH(ROUNDUP((Q$1)/10,0)*10,[1]Hugst!$R$4:$W$4,0))))</f>
        <v>0</v>
      </c>
      <c r="R31" s="168">
        <f ca="1">IF($C31-R$1&lt;År1,0,Q30*(1-VLOOKUP($A31,[1]Hugst!$R$5:$W$9,MATCH(ROUNDUP((R$1)/10,0)*10,[1]Hugst!$R$4:$W$4,0))))</f>
        <v>0</v>
      </c>
      <c r="S31" s="168">
        <f ca="1">IF($C31-S$1&lt;År1,0,R30*(1-VLOOKUP($A31,[1]Hugst!$R$5:$W$9,MATCH(ROUNDUP((S$1)/10,0)*10,[1]Hugst!$R$4:$W$4,0))))</f>
        <v>0</v>
      </c>
      <c r="T31" s="168">
        <f ca="1">IF($C31-T$1&lt;År1,0,S30*(1-VLOOKUP($A31,[1]Hugst!$R$5:$W$9,MATCH(ROUNDUP((T$1)/10,0)*10,[1]Hugst!$R$4:$W$4,0))))</f>
        <v>0</v>
      </c>
      <c r="U31" s="168">
        <f ca="1">IF($C31-U$1&lt;År1,0,T30*(1-VLOOKUP($A31,[1]Hugst!$R$5:$W$9,MATCH(ROUNDUP((U$1)/10,0)*10,[1]Hugst!$R$4:$W$4,0))))</f>
        <v>0</v>
      </c>
      <c r="V31" s="168">
        <f ca="1">IF($C31-V$1&lt;År1,0,U30*(1-VLOOKUP($A31,[1]Hugst!$R$5:$W$9,MATCH(ROUNDUP((V$1)/10,0)*10,[1]Hugst!$R$4:$W$4,0))))</f>
        <v>0</v>
      </c>
      <c r="W31" s="168">
        <f ca="1">IF($C31-W$1&lt;År1,0,V30*(1-VLOOKUP($A31,[1]Hugst!$R$5:$W$9,MATCH(ROUNDUP((W$1)/10,0)*10,[1]Hugst!$R$4:$W$4,0))))</f>
        <v>0</v>
      </c>
      <c r="X31" s="168">
        <f ca="1">IF($C31-X$1&lt;År1,0,W30*(1-VLOOKUP($A31,[1]Hugst!$R$5:$W$9,MATCH(ROUNDUP((X$1)/10,0)*10,[1]Hugst!$R$4:$W$4,0))))</f>
        <v>0</v>
      </c>
      <c r="Y31" s="168">
        <f ca="1">IF($C31-Y$1&lt;År1,0,X30*(1-VLOOKUP($A31,[1]Hugst!$R$5:$W$9,MATCH(ROUNDUP((Y$1)/10,0)*10,[1]Hugst!$R$4:$W$4,0))))</f>
        <v>0</v>
      </c>
      <c r="Z31" s="168">
        <f ca="1">IF($C31-Z$1&lt;År1,0,Y30*(1-VLOOKUP($A31,[1]Hugst!$R$5:$W$9,MATCH(ROUNDUP((Z$1)/10,0)*10,[1]Hugst!$R$4:$W$4,0))))</f>
        <v>0</v>
      </c>
      <c r="AA31" s="168">
        <f ca="1">IF($C31-AA$1&lt;År1,0,Z30*(1-VLOOKUP($A31,[1]Hugst!$R$5:$W$9,MATCH(ROUNDUP((AA$1)/10,0)*10,[1]Hugst!$R$4:$W$4,0))))</f>
        <v>0</v>
      </c>
      <c r="AB31" s="168">
        <f ca="1">IF($C31-AB$1&lt;År1,0,AA30*(1-VLOOKUP($A31,[1]Hugst!$R$5:$W$9,MATCH(ROUNDUP((AB$1)/10,0)*10,[1]Hugst!$R$4:$W$4,0))))</f>
        <v>0</v>
      </c>
      <c r="AC31" s="168">
        <f ca="1">IF($C31-AC$1&lt;År1,0,AB30*(1-VLOOKUP($A31,[1]Hugst!$R$5:$W$9,MATCH(ROUNDUP((AC$1)/10,0)*10,[1]Hugst!$R$4:$W$4,0))))</f>
        <v>0</v>
      </c>
      <c r="AD31" s="168">
        <f ca="1">IF($C31-AD$1&lt;År1,0,AC30*(1-VLOOKUP($A31,[1]Hugst!$R$5:$W$9,MATCH(ROUNDUP((AD$1)/10,0)*10,[1]Hugst!$R$4:$W$4,0))))</f>
        <v>0</v>
      </c>
      <c r="AE31" s="168">
        <f ca="1">IF($C31-AE$1&lt;År1,0,AD30*(1-VLOOKUP($A31,[1]Hugst!$R$5:$W$9,MATCH(ROUNDUP((AE$1)/10,0)*10,[1]Hugst!$R$4:$W$4,0))))</f>
        <v>0</v>
      </c>
      <c r="AF31" s="168">
        <f ca="1">IF($C31-AF$1&lt;År1,0,AE30*(1-VLOOKUP($A31,[1]Hugst!$R$5:$W$9,MATCH(ROUNDUP((AF$1)/10,0)*10,[1]Hugst!$R$4:$W$4,0))))</f>
        <v>0</v>
      </c>
      <c r="AG31" s="168">
        <f ca="1">IF($C31-AG$1&lt;År1,0,AF30*(1-VLOOKUP($A31,[1]Hugst!$R$5:$W$9,MATCH(ROUNDUP((AG$1)/10,0)*10,[1]Hugst!$R$4:$W$4,0))))</f>
        <v>0</v>
      </c>
      <c r="AH31" s="168">
        <f ca="1">IF($C31-AH$1&lt;År1,0,AG30*(1-VLOOKUP($A31,[1]Hugst!$R$5:$W$9,MATCH(ROUNDUP((AH$1)/10,0)*10,[1]Hugst!$R$4:$W$4,0))))</f>
        <v>0</v>
      </c>
      <c r="AI31" s="168">
        <f ca="1">IF($C31-AI$1&lt;År1,0,AH30*(1-VLOOKUP($A31,[1]Hugst!$R$5:$W$9,MATCH(ROUNDUP((AI$1)/10,0)*10,[1]Hugst!$R$4:$W$4,0))))</f>
        <v>0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*VLOOKUP(A32,Skovbrug!$A$13:$D$17,IF('Skovbrug-alder'!C32&lt;=År2,3,4),FALSE)-IF(C32&gt;2020,SUM(INDEX($C$1:$D$311,MATCH(1,(2020=$C$1:$C$311)*(B32=$B$1:$B$311)*(A32=$A$1:$A$311),0),2):D31),0))</f>
        <v>0</v>
      </c>
      <c r="E32" s="168">
        <f t="shared" ca="1" si="0"/>
        <v>0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0</v>
      </c>
      <c r="G32" s="168">
        <f ca="1">IF($C32-G$1&lt;År1,0,F31*(1-VLOOKUP($A32,[1]Hugst!$R$5:$W$9,MATCH(ROUNDUP((G$1)/10,0)*10,[1]Hugst!$R$4:$W$4,0))))</f>
        <v>0</v>
      </c>
      <c r="H32" s="168">
        <f ca="1">IF($C32-H$1&lt;År1,0,G31*(1-VLOOKUP($A32,[1]Hugst!$R$5:$W$9,MATCH(ROUNDUP((H$1)/10,0)*10,[1]Hugst!$R$4:$W$4,0))))</f>
        <v>0</v>
      </c>
      <c r="I32" s="168">
        <f ca="1">IF($C32-I$1&lt;År1,0,H31*(1-VLOOKUP($A32,[1]Hugst!$R$5:$W$9,MATCH(ROUNDUP((I$1)/10,0)*10,[1]Hugst!$R$4:$W$4,0))))</f>
        <v>0</v>
      </c>
      <c r="J32" s="168">
        <f ca="1">IF($C32-J$1&lt;År1,0,I31*(1-VLOOKUP($A32,[1]Hugst!$R$5:$W$9,MATCH(ROUNDUP((J$1)/10,0)*10,[1]Hugst!$R$4:$W$4,0))))</f>
        <v>0</v>
      </c>
      <c r="K32" s="168">
        <f ca="1">IF($C32-K$1&lt;År1,0,J31*(1-VLOOKUP($A32,[1]Hugst!$R$5:$W$9,MATCH(ROUNDUP((K$1)/10,0)*10,[1]Hugst!$R$4:$W$4,0))))</f>
        <v>0</v>
      </c>
      <c r="L32" s="168">
        <f ca="1">IF($C32-L$1&lt;År1,0,K31*(1-VLOOKUP($A32,[1]Hugst!$R$5:$W$9,MATCH(ROUNDUP((L$1)/10,0)*10,[1]Hugst!$R$4:$W$4,0))))</f>
        <v>0</v>
      </c>
      <c r="M32" s="168">
        <f ca="1">IF($C32-M$1&lt;År1,0,L31*(1-VLOOKUP($A32,[1]Hugst!$R$5:$W$9,MATCH(ROUNDUP((M$1)/10,0)*10,[1]Hugst!$R$4:$W$4,0))))</f>
        <v>0</v>
      </c>
      <c r="N32" s="168">
        <f ca="1">IF($C32-N$1&lt;År1,0,M31*(1-VLOOKUP($A32,[1]Hugst!$R$5:$W$9,MATCH(ROUNDUP((N$1)/10,0)*10,[1]Hugst!$R$4:$W$4,0))))</f>
        <v>0</v>
      </c>
      <c r="O32" s="168">
        <f ca="1">IF($C32-O$1&lt;År1,0,N31*(1-VLOOKUP($A32,[1]Hugst!$R$5:$W$9,MATCH(ROUNDUP((O$1)/10,0)*10,[1]Hugst!$R$4:$W$4,0))))</f>
        <v>0</v>
      </c>
      <c r="P32" s="168">
        <f ca="1">IF($C32-P$1&lt;År1,0,O31*(1-VLOOKUP($A32,[1]Hugst!$R$5:$W$9,MATCH(ROUNDUP((P$1)/10,0)*10,[1]Hugst!$R$4:$W$4,0))))</f>
        <v>0</v>
      </c>
      <c r="Q32" s="168">
        <f ca="1">IF($C32-Q$1&lt;År1,0,P31*(1-VLOOKUP($A32,[1]Hugst!$R$5:$W$9,MATCH(ROUNDUP((Q$1)/10,0)*10,[1]Hugst!$R$4:$W$4,0))))</f>
        <v>0</v>
      </c>
      <c r="R32" s="168">
        <f ca="1">IF($C32-R$1&lt;År1,0,Q31*(1-VLOOKUP($A32,[1]Hugst!$R$5:$W$9,MATCH(ROUNDUP((R$1)/10,0)*10,[1]Hugst!$R$4:$W$4,0))))</f>
        <v>0</v>
      </c>
      <c r="S32" s="168">
        <f ca="1">IF($C32-S$1&lt;År1,0,R31*(1-VLOOKUP($A32,[1]Hugst!$R$5:$W$9,MATCH(ROUNDUP((S$1)/10,0)*10,[1]Hugst!$R$4:$W$4,0))))</f>
        <v>0</v>
      </c>
      <c r="T32" s="168">
        <f ca="1">IF($C32-T$1&lt;År1,0,S31*(1-VLOOKUP($A32,[1]Hugst!$R$5:$W$9,MATCH(ROUNDUP((T$1)/10,0)*10,[1]Hugst!$R$4:$W$4,0))))</f>
        <v>0</v>
      </c>
      <c r="U32" s="168">
        <f ca="1">IF($C32-U$1&lt;År1,0,T31*(1-VLOOKUP($A32,[1]Hugst!$R$5:$W$9,MATCH(ROUNDUP((U$1)/10,0)*10,[1]Hugst!$R$4:$W$4,0))))</f>
        <v>0</v>
      </c>
      <c r="V32" s="168">
        <f ca="1">IF($C32-V$1&lt;År1,0,U31*(1-VLOOKUP($A32,[1]Hugst!$R$5:$W$9,MATCH(ROUNDUP((V$1)/10,0)*10,[1]Hugst!$R$4:$W$4,0))))</f>
        <v>0</v>
      </c>
      <c r="W32" s="168">
        <f ca="1">IF($C32-W$1&lt;År1,0,V31*(1-VLOOKUP($A32,[1]Hugst!$R$5:$W$9,MATCH(ROUNDUP((W$1)/10,0)*10,[1]Hugst!$R$4:$W$4,0))))</f>
        <v>0</v>
      </c>
      <c r="X32" s="168">
        <f ca="1">IF($C32-X$1&lt;År1,0,W31*(1-VLOOKUP($A32,[1]Hugst!$R$5:$W$9,MATCH(ROUNDUP((X$1)/10,0)*10,[1]Hugst!$R$4:$W$4,0))))</f>
        <v>0</v>
      </c>
      <c r="Y32" s="168">
        <f ca="1">IF($C32-Y$1&lt;År1,0,X31*(1-VLOOKUP($A32,[1]Hugst!$R$5:$W$9,MATCH(ROUNDUP((Y$1)/10,0)*10,[1]Hugst!$R$4:$W$4,0))))</f>
        <v>0</v>
      </c>
      <c r="Z32" s="168">
        <f ca="1">IF($C32-Z$1&lt;År1,0,Y31*(1-VLOOKUP($A32,[1]Hugst!$R$5:$W$9,MATCH(ROUNDUP((Z$1)/10,0)*10,[1]Hugst!$R$4:$W$4,0))))</f>
        <v>0</v>
      </c>
      <c r="AA32" s="168">
        <f ca="1">IF($C32-AA$1&lt;År1,0,Z31*(1-VLOOKUP($A32,[1]Hugst!$R$5:$W$9,MATCH(ROUNDUP((AA$1)/10,0)*10,[1]Hugst!$R$4:$W$4,0))))</f>
        <v>0</v>
      </c>
      <c r="AB32" s="168">
        <f ca="1">IF($C32-AB$1&lt;År1,0,AA31*(1-VLOOKUP($A32,[1]Hugst!$R$5:$W$9,MATCH(ROUNDUP((AB$1)/10,0)*10,[1]Hugst!$R$4:$W$4,0))))</f>
        <v>0</v>
      </c>
      <c r="AC32" s="168">
        <f ca="1">IF($C32-AC$1&lt;År1,0,AB31*(1-VLOOKUP($A32,[1]Hugst!$R$5:$W$9,MATCH(ROUNDUP((AC$1)/10,0)*10,[1]Hugst!$R$4:$W$4,0))))</f>
        <v>0</v>
      </c>
      <c r="AD32" s="168">
        <f ca="1">IF($C32-AD$1&lt;År1,0,AC31*(1-VLOOKUP($A32,[1]Hugst!$R$5:$W$9,MATCH(ROUNDUP((AD$1)/10,0)*10,[1]Hugst!$R$4:$W$4,0))))</f>
        <v>0</v>
      </c>
      <c r="AE32" s="168">
        <f ca="1">IF($C32-AE$1&lt;År1,0,AD31*(1-VLOOKUP($A32,[1]Hugst!$R$5:$W$9,MATCH(ROUNDUP((AE$1)/10,0)*10,[1]Hugst!$R$4:$W$4,0))))</f>
        <v>0</v>
      </c>
      <c r="AF32" s="168">
        <f ca="1">IF($C32-AF$1&lt;År1,0,AE31*(1-VLOOKUP($A32,[1]Hugst!$R$5:$W$9,MATCH(ROUNDUP((AF$1)/10,0)*10,[1]Hugst!$R$4:$W$4,0))))</f>
        <v>0</v>
      </c>
      <c r="AG32" s="168">
        <f ca="1">IF($C32-AG$1&lt;År1,0,AF31*(1-VLOOKUP($A32,[1]Hugst!$R$5:$W$9,MATCH(ROUNDUP((AG$1)/10,0)*10,[1]Hugst!$R$4:$W$4,0))))</f>
        <v>0</v>
      </c>
      <c r="AH32" s="168">
        <f ca="1">IF($C32-AH$1&lt;År1,0,AG31*(1-VLOOKUP($A32,[1]Hugst!$R$5:$W$9,MATCH(ROUNDUP((AH$1)/10,0)*10,[1]Hugst!$R$4:$W$4,0))))</f>
        <v>0</v>
      </c>
      <c r="AI32" s="168">
        <f ca="1">IF($C32-AI$1&lt;År1,0,AH31*(1-VLOOKUP($A32,[1]Hugst!$R$5:$W$9,MATCH(ROUNDUP((AI$1)/10,0)*10,[1]Hugst!$R$4:$W$4,0))))</f>
        <v>0</v>
      </c>
      <c r="AJ32" s="168">
        <f ca="1">IF($C32-AJ$1&lt;År1,0,AI31*(1-VLOOKUP($A32,[1]Hugst!$R$5:$W$9,MATCH(ROUNDUP((AJ$1)/10,0)*10,[1]Hugst!$R$4:$W$4,0))))</f>
        <v>0</v>
      </c>
      <c r="AL32" s="168">
        <f ca="1">SUM(F32:AJ32)</f>
        <v>0</v>
      </c>
    </row>
    <row r="33" spans="1:36" s="168" customFormat="1" x14ac:dyDescent="0.25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*VLOOKUP(A33,Skovbrug!$A$13:$D$17,IF('Skovbrug-alder'!C33&lt;=År2,3,4),FALSE)-IF(C33&gt;2020,SUM(INDEX($C$1:$D$311,MATCH(1,(2020=$C$1:$C$311)*(B33=$B$1:$B$311)*(A33=$A$1:$A$311),0),2):D32),0))</f>
        <v>0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*VLOOKUP(A34,Skovbrug!$A$13:$D$17,IF('Skovbrug-alder'!C34&lt;=År2,3,4),FALSE)-IF(C34&gt;2020,SUM(INDEX($C$1:$D$311,MATCH(1,(2020=$C$1:$C$311)*(B34=$B$1:$B$311)*(A34=$A$1:$A$311),0),2):D33),0))</f>
        <v>0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 s="168">
        <f ca="1">IF($C34-G$1&lt;År1,0,F33*(1-VLOOKUP($A34,[1]Hugst!$R$5:$W$9,MATCH(ROUNDUP((G$1)/10,0)*10,[1]Hugst!$R$4:$W$4,0))))</f>
        <v>0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*VLOOKUP(A35,Skovbrug!$A$13:$D$17,IF('Skovbrug-alder'!C35&lt;=År2,3,4),FALSE)-IF(C35&gt;2020,SUM(INDEX($C$1:$D$311,MATCH(1,(2020=$C$1:$C$311)*(B35=$B$1:$B$311)*(A35=$A$1:$A$311),0),2):D34),0))</f>
        <v>0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 s="168">
        <f ca="1">IF($C35-G$1&lt;År1,0,F34*(1-VLOOKUP($A35,[1]Hugst!$R$5:$W$9,MATCH(ROUNDUP((G$1)/10,0)*10,[1]Hugst!$R$4:$W$4,0))))</f>
        <v>0</v>
      </c>
      <c r="H35" s="168">
        <f ca="1">IF($C35-H$1&lt;År1,0,G34*(1-VLOOKUP($A35,[1]Hugst!$R$5:$W$9,MATCH(ROUNDUP((H$1)/10,0)*10,[1]Hugst!$R$4:$W$4,0))))</f>
        <v>0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*VLOOKUP(A36,Skovbrug!$A$13:$D$17,IF('Skovbrug-alder'!C36&lt;=År2,3,4),FALSE)-IF(C36&gt;2020,SUM(INDEX($C$1:$D$311,MATCH(1,(2020=$C$1:$C$311)*(B36=$B$1:$B$311)*(A36=$A$1:$A$311),0),2):D35),0))</f>
        <v>0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 s="168">
        <f ca="1">IF($C36-G$1&lt;År1,0,F35*(1-VLOOKUP($A36,[1]Hugst!$R$5:$W$9,MATCH(ROUNDUP((G$1)/10,0)*10,[1]Hugst!$R$4:$W$4,0))))</f>
        <v>0</v>
      </c>
      <c r="H36" s="168">
        <f ca="1">IF($C36-H$1&lt;År1,0,G35*(1-VLOOKUP($A36,[1]Hugst!$R$5:$W$9,MATCH(ROUNDUP((H$1)/10,0)*10,[1]Hugst!$R$4:$W$4,0))))</f>
        <v>0</v>
      </c>
      <c r="I36" s="168">
        <f ca="1">IF($C36-I$1&lt;År1,0,H35*(1-VLOOKUP($A36,[1]Hugst!$R$5:$W$9,MATCH(ROUNDUP((I$1)/10,0)*10,[1]Hugst!$R$4:$W$4,0))))</f>
        <v>0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*VLOOKUP(A37,Skovbrug!$A$13:$D$17,IF('Skovbrug-alder'!C37&lt;=År2,3,4),FALSE)-IF(C37&gt;2020,SUM(INDEX($C$1:$D$311,MATCH(1,(2020=$C$1:$C$311)*(B37=$B$1:$B$311)*(A37=$A$1:$A$311),0),2):D36),0))</f>
        <v>0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 s="168">
        <f ca="1">IF($C37-G$1&lt;År1,0,F36*(1-VLOOKUP($A37,[1]Hugst!$R$5:$W$9,MATCH(ROUNDUP((G$1)/10,0)*10,[1]Hugst!$R$4:$W$4,0))))</f>
        <v>0</v>
      </c>
      <c r="H37" s="168">
        <f ca="1">IF($C37-H$1&lt;År1,0,G36*(1-VLOOKUP($A37,[1]Hugst!$R$5:$W$9,MATCH(ROUNDUP((H$1)/10,0)*10,[1]Hugst!$R$4:$W$4,0))))</f>
        <v>0</v>
      </c>
      <c r="I37" s="168">
        <f ca="1">IF($C37-I$1&lt;År1,0,H36*(1-VLOOKUP($A37,[1]Hugst!$R$5:$W$9,MATCH(ROUNDUP((I$1)/10,0)*10,[1]Hugst!$R$4:$W$4,0))))</f>
        <v>0</v>
      </c>
      <c r="J37" s="168">
        <f ca="1">IF($C37-J$1&lt;År1,0,I36*(1-VLOOKUP($A37,[1]Hugst!$R$5:$W$9,MATCH(ROUNDUP((J$1)/10,0)*10,[1]Hugst!$R$4:$W$4,0))))</f>
        <v>0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*VLOOKUP(A38,Skovbrug!$A$13:$D$17,IF('Skovbrug-alder'!C38&lt;=År2,3,4),FALSE)-IF(C38&gt;2020,SUM(INDEX($C$1:$D$311,MATCH(1,(2020=$C$1:$C$311)*(B38=$B$1:$B$311)*(A38=$A$1:$A$311),0),2):D37),0))</f>
        <v>0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 s="168">
        <f ca="1">IF($C38-G$1&lt;År1,0,F37*(1-VLOOKUP($A38,[1]Hugst!$R$5:$W$9,MATCH(ROUNDUP((G$1)/10,0)*10,[1]Hugst!$R$4:$W$4,0))))</f>
        <v>0</v>
      </c>
      <c r="H38" s="168">
        <f ca="1">IF($C38-H$1&lt;År1,0,G37*(1-VLOOKUP($A38,[1]Hugst!$R$5:$W$9,MATCH(ROUNDUP((H$1)/10,0)*10,[1]Hugst!$R$4:$W$4,0))))</f>
        <v>0</v>
      </c>
      <c r="I38" s="168">
        <f ca="1">IF($C38-I$1&lt;År1,0,H37*(1-VLOOKUP($A38,[1]Hugst!$R$5:$W$9,MATCH(ROUNDUP((I$1)/10,0)*10,[1]Hugst!$R$4:$W$4,0))))</f>
        <v>0</v>
      </c>
      <c r="J38" s="168">
        <f ca="1">IF($C38-J$1&lt;År1,0,I37*(1-VLOOKUP($A38,[1]Hugst!$R$5:$W$9,MATCH(ROUNDUP((J$1)/10,0)*10,[1]Hugst!$R$4:$W$4,0))))</f>
        <v>0</v>
      </c>
      <c r="K38" s="168">
        <f ca="1">IF($C38-K$1&lt;År1,0,J37*(1-VLOOKUP($A38,[1]Hugst!$R$5:$W$9,MATCH(ROUNDUP((K$1)/10,0)*10,[1]Hugst!$R$4:$W$4,0))))</f>
        <v>0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*VLOOKUP(A39,Skovbrug!$A$13:$D$17,IF('Skovbrug-alder'!C39&lt;=År2,3,4),FALSE)-IF(C39&gt;2020,SUM(INDEX($C$1:$D$311,MATCH(1,(2020=$C$1:$C$311)*(B39=$B$1:$B$311)*(A39=$A$1:$A$311),0),2):D38),0))</f>
        <v>0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 s="168">
        <f ca="1">IF($C39-G$1&lt;År1,0,F38*(1-VLOOKUP($A39,[1]Hugst!$R$5:$W$9,MATCH(ROUNDUP((G$1)/10,0)*10,[1]Hugst!$R$4:$W$4,0))))</f>
        <v>0</v>
      </c>
      <c r="H39" s="168">
        <f ca="1">IF($C39-H$1&lt;År1,0,G38*(1-VLOOKUP($A39,[1]Hugst!$R$5:$W$9,MATCH(ROUNDUP((H$1)/10,0)*10,[1]Hugst!$R$4:$W$4,0))))</f>
        <v>0</v>
      </c>
      <c r="I39" s="168">
        <f ca="1">IF($C39-I$1&lt;År1,0,H38*(1-VLOOKUP($A39,[1]Hugst!$R$5:$W$9,MATCH(ROUNDUP((I$1)/10,0)*10,[1]Hugst!$R$4:$W$4,0))))</f>
        <v>0</v>
      </c>
      <c r="J39" s="168">
        <f ca="1">IF($C39-J$1&lt;År1,0,I38*(1-VLOOKUP($A39,[1]Hugst!$R$5:$W$9,MATCH(ROUNDUP((J$1)/10,0)*10,[1]Hugst!$R$4:$W$4,0))))</f>
        <v>0</v>
      </c>
      <c r="K39" s="168">
        <f ca="1">IF($C39-K$1&lt;År1,0,J38*(1-VLOOKUP($A39,[1]Hugst!$R$5:$W$9,MATCH(ROUNDUP((K$1)/10,0)*10,[1]Hugst!$R$4:$W$4,0))))</f>
        <v>0</v>
      </c>
      <c r="L39" s="168">
        <f ca="1">IF($C39-L$1&lt;År1,0,K38*(1-VLOOKUP($A39,[1]Hugst!$R$5:$W$9,MATCH(ROUNDUP((L$1)/10,0)*10,[1]Hugst!$R$4:$W$4,0))))</f>
        <v>0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*VLOOKUP(A40,Skovbrug!$A$13:$D$17,IF('Skovbrug-alder'!C40&lt;=År2,3,4),FALSE)-IF(C40&gt;2020,SUM(INDEX($C$1:$D$311,MATCH(1,(2020=$C$1:$C$311)*(B40=$B$1:$B$311)*(A40=$A$1:$A$311),0),2):D39),0))</f>
        <v>0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 s="168">
        <f ca="1">IF($C40-G$1&lt;År1,0,F39*(1-VLOOKUP($A40,[1]Hugst!$R$5:$W$9,MATCH(ROUNDUP((G$1)/10,0)*10,[1]Hugst!$R$4:$W$4,0))))</f>
        <v>0</v>
      </c>
      <c r="H40" s="168">
        <f ca="1">IF($C40-H$1&lt;År1,0,G39*(1-VLOOKUP($A40,[1]Hugst!$R$5:$W$9,MATCH(ROUNDUP((H$1)/10,0)*10,[1]Hugst!$R$4:$W$4,0))))</f>
        <v>0</v>
      </c>
      <c r="I40" s="168">
        <f ca="1">IF($C40-I$1&lt;År1,0,H39*(1-VLOOKUP($A40,[1]Hugst!$R$5:$W$9,MATCH(ROUNDUP((I$1)/10,0)*10,[1]Hugst!$R$4:$W$4,0))))</f>
        <v>0</v>
      </c>
      <c r="J40" s="168">
        <f ca="1">IF($C40-J$1&lt;År1,0,I39*(1-VLOOKUP($A40,[1]Hugst!$R$5:$W$9,MATCH(ROUNDUP((J$1)/10,0)*10,[1]Hugst!$R$4:$W$4,0))))</f>
        <v>0</v>
      </c>
      <c r="K40" s="168">
        <f ca="1">IF($C40-K$1&lt;År1,0,J39*(1-VLOOKUP($A40,[1]Hugst!$R$5:$W$9,MATCH(ROUNDUP((K$1)/10,0)*10,[1]Hugst!$R$4:$W$4,0))))</f>
        <v>0</v>
      </c>
      <c r="L40" s="168">
        <f ca="1">IF($C40-L$1&lt;År1,0,K39*(1-VLOOKUP($A40,[1]Hugst!$R$5:$W$9,MATCH(ROUNDUP((L$1)/10,0)*10,[1]Hugst!$R$4:$W$4,0))))</f>
        <v>0</v>
      </c>
      <c r="M40" s="168">
        <f ca="1">IF($C40-M$1&lt;År1,0,L39*(1-VLOOKUP($A40,[1]Hugst!$R$5:$W$9,MATCH(ROUNDUP((M$1)/10,0)*10,[1]Hugst!$R$4:$W$4,0))))</f>
        <v>0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*VLOOKUP(A41,Skovbrug!$A$13:$D$17,IF('Skovbrug-alder'!C41&lt;=År2,3,4),FALSE)-IF(C41&gt;2020,SUM(INDEX($C$1:$D$311,MATCH(1,(2020=$C$1:$C$311)*(B41=$B$1:$B$311)*(A41=$A$1:$A$311),0),2):D40),0))</f>
        <v>0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 s="168">
        <f ca="1">IF($C41-G$1&lt;År1,0,F40*(1-VLOOKUP($A41,[1]Hugst!$R$5:$W$9,MATCH(ROUNDUP((G$1)/10,0)*10,[1]Hugst!$R$4:$W$4,0))))</f>
        <v>0</v>
      </c>
      <c r="H41" s="168">
        <f ca="1">IF($C41-H$1&lt;År1,0,G40*(1-VLOOKUP($A41,[1]Hugst!$R$5:$W$9,MATCH(ROUNDUP((H$1)/10,0)*10,[1]Hugst!$R$4:$W$4,0))))</f>
        <v>0</v>
      </c>
      <c r="I41" s="168">
        <f ca="1">IF($C41-I$1&lt;År1,0,H40*(1-VLOOKUP($A41,[1]Hugst!$R$5:$W$9,MATCH(ROUNDUP((I$1)/10,0)*10,[1]Hugst!$R$4:$W$4,0))))</f>
        <v>0</v>
      </c>
      <c r="J41" s="168">
        <f ca="1">IF($C41-J$1&lt;År1,0,I40*(1-VLOOKUP($A41,[1]Hugst!$R$5:$W$9,MATCH(ROUNDUP((J$1)/10,0)*10,[1]Hugst!$R$4:$W$4,0))))</f>
        <v>0</v>
      </c>
      <c r="K41" s="168">
        <f ca="1">IF($C41-K$1&lt;År1,0,J40*(1-VLOOKUP($A41,[1]Hugst!$R$5:$W$9,MATCH(ROUNDUP((K$1)/10,0)*10,[1]Hugst!$R$4:$W$4,0))))</f>
        <v>0</v>
      </c>
      <c r="L41" s="168">
        <f ca="1">IF($C41-L$1&lt;År1,0,K40*(1-VLOOKUP($A41,[1]Hugst!$R$5:$W$9,MATCH(ROUNDUP((L$1)/10,0)*10,[1]Hugst!$R$4:$W$4,0))))</f>
        <v>0</v>
      </c>
      <c r="M41" s="168">
        <f ca="1">IF($C41-M$1&lt;År1,0,L40*(1-VLOOKUP($A41,[1]Hugst!$R$5:$W$9,MATCH(ROUNDUP((M$1)/10,0)*10,[1]Hugst!$R$4:$W$4,0))))</f>
        <v>0</v>
      </c>
      <c r="N41" s="168">
        <f ca="1">IF($C41-N$1&lt;År1,0,M40*(1-VLOOKUP($A41,[1]Hugst!$R$5:$W$9,MATCH(ROUNDUP((N$1)/10,0)*10,[1]Hugst!$R$4:$W$4,0))))</f>
        <v>0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*VLOOKUP(A42,Skovbrug!$A$13:$D$17,IF('Skovbrug-alder'!C42&lt;=År2,3,4),FALSE)-IF(C42&gt;2020,SUM(INDEX($C$1:$D$311,MATCH(1,(2020=$C$1:$C$311)*(B42=$B$1:$B$311)*(A42=$A$1:$A$311),0),2):D41),0))</f>
        <v>0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 s="168">
        <f ca="1">IF($C42-G$1&lt;År1,0,F41*(1-VLOOKUP($A42,[1]Hugst!$R$5:$W$9,MATCH(ROUNDUP((G$1)/10,0)*10,[1]Hugst!$R$4:$W$4,0))))</f>
        <v>0</v>
      </c>
      <c r="H42" s="168">
        <f ca="1">IF($C42-H$1&lt;År1,0,G41*(1-VLOOKUP($A42,[1]Hugst!$R$5:$W$9,MATCH(ROUNDUP((H$1)/10,0)*10,[1]Hugst!$R$4:$W$4,0))))</f>
        <v>0</v>
      </c>
      <c r="I42" s="168">
        <f ca="1">IF($C42-I$1&lt;År1,0,H41*(1-VLOOKUP($A42,[1]Hugst!$R$5:$W$9,MATCH(ROUNDUP((I$1)/10,0)*10,[1]Hugst!$R$4:$W$4,0))))</f>
        <v>0</v>
      </c>
      <c r="J42" s="168">
        <f ca="1">IF($C42-J$1&lt;År1,0,I41*(1-VLOOKUP($A42,[1]Hugst!$R$5:$W$9,MATCH(ROUNDUP((J$1)/10,0)*10,[1]Hugst!$R$4:$W$4,0))))</f>
        <v>0</v>
      </c>
      <c r="K42" s="168">
        <f ca="1">IF($C42-K$1&lt;År1,0,J41*(1-VLOOKUP($A42,[1]Hugst!$R$5:$W$9,MATCH(ROUNDUP((K$1)/10,0)*10,[1]Hugst!$R$4:$W$4,0))))</f>
        <v>0</v>
      </c>
      <c r="L42" s="168">
        <f ca="1">IF($C42-L$1&lt;År1,0,K41*(1-VLOOKUP($A42,[1]Hugst!$R$5:$W$9,MATCH(ROUNDUP((L$1)/10,0)*10,[1]Hugst!$R$4:$W$4,0))))</f>
        <v>0</v>
      </c>
      <c r="M42" s="168">
        <f ca="1">IF($C42-M$1&lt;År1,0,L41*(1-VLOOKUP($A42,[1]Hugst!$R$5:$W$9,MATCH(ROUNDUP((M$1)/10,0)*10,[1]Hugst!$R$4:$W$4,0))))</f>
        <v>0</v>
      </c>
      <c r="N42" s="168">
        <f ca="1">IF($C42-N$1&lt;År1,0,M41*(1-VLOOKUP($A42,[1]Hugst!$R$5:$W$9,MATCH(ROUNDUP((N$1)/10,0)*10,[1]Hugst!$R$4:$W$4,0))))</f>
        <v>0</v>
      </c>
      <c r="O42" s="168">
        <f ca="1">IF($C42-O$1&lt;År1,0,N41*(1-VLOOKUP($A42,[1]Hugst!$R$5:$W$9,MATCH(ROUNDUP((O$1)/10,0)*10,[1]Hugst!$R$4:$W$4,0))))</f>
        <v>0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*VLOOKUP(A43,Skovbrug!$A$13:$D$17,IF('Skovbrug-alder'!C43&lt;=År2,3,4),FALSE)-IF(C43&gt;2020,SUM(INDEX($C$1:$D$311,MATCH(1,(2020=$C$1:$C$311)*(B43=$B$1:$B$311)*(A43=$A$1:$A$311),0),2):D42),0))</f>
        <v>0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 s="168">
        <f ca="1">IF($C43-G$1&lt;År1,0,F42*(1-VLOOKUP($A43,[1]Hugst!$R$5:$W$9,MATCH(ROUNDUP((G$1)/10,0)*10,[1]Hugst!$R$4:$W$4,0))))</f>
        <v>0</v>
      </c>
      <c r="H43" s="168">
        <f ca="1">IF($C43-H$1&lt;År1,0,G42*(1-VLOOKUP($A43,[1]Hugst!$R$5:$W$9,MATCH(ROUNDUP((H$1)/10,0)*10,[1]Hugst!$R$4:$W$4,0))))</f>
        <v>0</v>
      </c>
      <c r="I43" s="168">
        <f ca="1">IF($C43-I$1&lt;År1,0,H42*(1-VLOOKUP($A43,[1]Hugst!$R$5:$W$9,MATCH(ROUNDUP((I$1)/10,0)*10,[1]Hugst!$R$4:$W$4,0))))</f>
        <v>0</v>
      </c>
      <c r="J43" s="168">
        <f ca="1">IF($C43-J$1&lt;År1,0,I42*(1-VLOOKUP($A43,[1]Hugst!$R$5:$W$9,MATCH(ROUNDUP((J$1)/10,0)*10,[1]Hugst!$R$4:$W$4,0))))</f>
        <v>0</v>
      </c>
      <c r="K43" s="168">
        <f ca="1">IF($C43-K$1&lt;År1,0,J42*(1-VLOOKUP($A43,[1]Hugst!$R$5:$W$9,MATCH(ROUNDUP((K$1)/10,0)*10,[1]Hugst!$R$4:$W$4,0))))</f>
        <v>0</v>
      </c>
      <c r="L43" s="168">
        <f ca="1">IF($C43-L$1&lt;År1,0,K42*(1-VLOOKUP($A43,[1]Hugst!$R$5:$W$9,MATCH(ROUNDUP((L$1)/10,0)*10,[1]Hugst!$R$4:$W$4,0))))</f>
        <v>0</v>
      </c>
      <c r="M43" s="168">
        <f ca="1">IF($C43-M$1&lt;År1,0,L42*(1-VLOOKUP($A43,[1]Hugst!$R$5:$W$9,MATCH(ROUNDUP((M$1)/10,0)*10,[1]Hugst!$R$4:$W$4,0))))</f>
        <v>0</v>
      </c>
      <c r="N43" s="168">
        <f ca="1">IF($C43-N$1&lt;År1,0,M42*(1-VLOOKUP($A43,[1]Hugst!$R$5:$W$9,MATCH(ROUNDUP((N$1)/10,0)*10,[1]Hugst!$R$4:$W$4,0))))</f>
        <v>0</v>
      </c>
      <c r="O43" s="168">
        <f ca="1">IF($C43-O$1&lt;År1,0,N42*(1-VLOOKUP($A43,[1]Hugst!$R$5:$W$9,MATCH(ROUNDUP((O$1)/10,0)*10,[1]Hugst!$R$4:$W$4,0))))</f>
        <v>0</v>
      </c>
      <c r="P43" s="168">
        <f ca="1">IF($C43-P$1&lt;År1,0,O42*(1-VLOOKUP($A43,[1]Hugst!$R$5:$W$9,MATCH(ROUNDUP((P$1)/10,0)*10,[1]Hugst!$R$4:$W$4,0))))</f>
        <v>0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*VLOOKUP(A44,Skovbrug!$A$13:$D$17,IF('Skovbrug-alder'!C44&lt;=År2,3,4),FALSE)-IF(C44&gt;2020,SUM(INDEX($C$1:$D$311,MATCH(1,(2020=$C$1:$C$311)*(B44=$B$1:$B$311)*(A44=$A$1:$A$311),0),2):D43),0))</f>
        <v>0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0</v>
      </c>
      <c r="G44" s="168">
        <f ca="1">IF($C44-G$1&lt;År1,0,F43*(1-VLOOKUP($A44,[1]Hugst!$R$5:$W$9,MATCH(ROUNDUP((G$1)/10,0)*10,[1]Hugst!$R$4:$W$4,0))))</f>
        <v>0</v>
      </c>
      <c r="H44" s="168">
        <f ca="1">IF($C44-H$1&lt;År1,0,G43*(1-VLOOKUP($A44,[1]Hugst!$R$5:$W$9,MATCH(ROUNDUP((H$1)/10,0)*10,[1]Hugst!$R$4:$W$4,0))))</f>
        <v>0</v>
      </c>
      <c r="I44" s="168">
        <f ca="1">IF($C44-I$1&lt;År1,0,H43*(1-VLOOKUP($A44,[1]Hugst!$R$5:$W$9,MATCH(ROUNDUP((I$1)/10,0)*10,[1]Hugst!$R$4:$W$4,0))))</f>
        <v>0</v>
      </c>
      <c r="J44" s="168">
        <f ca="1">IF($C44-J$1&lt;År1,0,I43*(1-VLOOKUP($A44,[1]Hugst!$R$5:$W$9,MATCH(ROUNDUP((J$1)/10,0)*10,[1]Hugst!$R$4:$W$4,0))))</f>
        <v>0</v>
      </c>
      <c r="K44" s="168">
        <f ca="1">IF($C44-K$1&lt;År1,0,J43*(1-VLOOKUP($A44,[1]Hugst!$R$5:$W$9,MATCH(ROUNDUP((K$1)/10,0)*10,[1]Hugst!$R$4:$W$4,0))))</f>
        <v>0</v>
      </c>
      <c r="L44" s="168">
        <f ca="1">IF($C44-L$1&lt;År1,0,K43*(1-VLOOKUP($A44,[1]Hugst!$R$5:$W$9,MATCH(ROUNDUP((L$1)/10,0)*10,[1]Hugst!$R$4:$W$4,0))))</f>
        <v>0</v>
      </c>
      <c r="M44" s="168">
        <f ca="1">IF($C44-M$1&lt;År1,0,L43*(1-VLOOKUP($A44,[1]Hugst!$R$5:$W$9,MATCH(ROUNDUP((M$1)/10,0)*10,[1]Hugst!$R$4:$W$4,0))))</f>
        <v>0</v>
      </c>
      <c r="N44" s="168">
        <f ca="1">IF($C44-N$1&lt;År1,0,M43*(1-VLOOKUP($A44,[1]Hugst!$R$5:$W$9,MATCH(ROUNDUP((N$1)/10,0)*10,[1]Hugst!$R$4:$W$4,0))))</f>
        <v>0</v>
      </c>
      <c r="O44" s="168">
        <f ca="1">IF($C44-O$1&lt;År1,0,N43*(1-VLOOKUP($A44,[1]Hugst!$R$5:$W$9,MATCH(ROUNDUP((O$1)/10,0)*10,[1]Hugst!$R$4:$W$4,0))))</f>
        <v>0</v>
      </c>
      <c r="P44" s="168">
        <f ca="1">IF($C44-P$1&lt;År1,0,O43*(1-VLOOKUP($A44,[1]Hugst!$R$5:$W$9,MATCH(ROUNDUP((P$1)/10,0)*10,[1]Hugst!$R$4:$W$4,0))))</f>
        <v>0</v>
      </c>
      <c r="Q44" s="168">
        <f ca="1">IF($C44-Q$1&lt;År1,0,P43*(1-VLOOKUP($A44,[1]Hugst!$R$5:$W$9,MATCH(ROUNDUP((Q$1)/10,0)*10,[1]Hugst!$R$4:$W$4,0))))</f>
        <v>0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*VLOOKUP(A45,Skovbrug!$A$13:$D$17,IF('Skovbrug-alder'!C45&lt;=År2,3,4),FALSE)-IF(C45&gt;2020,SUM(INDEX($C$1:$D$311,MATCH(1,(2020=$C$1:$C$311)*(B45=$B$1:$B$311)*(A45=$A$1:$A$311),0),2):D44),0))</f>
        <v>0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0</v>
      </c>
      <c r="G45" s="168">
        <f ca="1">IF($C45-G$1&lt;År1,0,F44*(1-VLOOKUP($A45,[1]Hugst!$R$5:$W$9,MATCH(ROUNDUP((G$1)/10,0)*10,[1]Hugst!$R$4:$W$4,0))))</f>
        <v>0</v>
      </c>
      <c r="H45" s="168">
        <f ca="1">IF($C45-H$1&lt;År1,0,G44*(1-VLOOKUP($A45,[1]Hugst!$R$5:$W$9,MATCH(ROUNDUP((H$1)/10,0)*10,[1]Hugst!$R$4:$W$4,0))))</f>
        <v>0</v>
      </c>
      <c r="I45" s="168">
        <f ca="1">IF($C45-I$1&lt;År1,0,H44*(1-VLOOKUP($A45,[1]Hugst!$R$5:$W$9,MATCH(ROUNDUP((I$1)/10,0)*10,[1]Hugst!$R$4:$W$4,0))))</f>
        <v>0</v>
      </c>
      <c r="J45" s="168">
        <f ca="1">IF($C45-J$1&lt;År1,0,I44*(1-VLOOKUP($A45,[1]Hugst!$R$5:$W$9,MATCH(ROUNDUP((J$1)/10,0)*10,[1]Hugst!$R$4:$W$4,0))))</f>
        <v>0</v>
      </c>
      <c r="K45" s="168">
        <f ca="1">IF($C45-K$1&lt;År1,0,J44*(1-VLOOKUP($A45,[1]Hugst!$R$5:$W$9,MATCH(ROUNDUP((K$1)/10,0)*10,[1]Hugst!$R$4:$W$4,0))))</f>
        <v>0</v>
      </c>
      <c r="L45" s="168">
        <f ca="1">IF($C45-L$1&lt;År1,0,K44*(1-VLOOKUP($A45,[1]Hugst!$R$5:$W$9,MATCH(ROUNDUP((L$1)/10,0)*10,[1]Hugst!$R$4:$W$4,0))))</f>
        <v>0</v>
      </c>
      <c r="M45" s="168">
        <f ca="1">IF($C45-M$1&lt;År1,0,L44*(1-VLOOKUP($A45,[1]Hugst!$R$5:$W$9,MATCH(ROUNDUP((M$1)/10,0)*10,[1]Hugst!$R$4:$W$4,0))))</f>
        <v>0</v>
      </c>
      <c r="N45" s="168">
        <f ca="1">IF($C45-N$1&lt;År1,0,M44*(1-VLOOKUP($A45,[1]Hugst!$R$5:$W$9,MATCH(ROUNDUP((N$1)/10,0)*10,[1]Hugst!$R$4:$W$4,0))))</f>
        <v>0</v>
      </c>
      <c r="O45" s="168">
        <f ca="1">IF($C45-O$1&lt;År1,0,N44*(1-VLOOKUP($A45,[1]Hugst!$R$5:$W$9,MATCH(ROUNDUP((O$1)/10,0)*10,[1]Hugst!$R$4:$W$4,0))))</f>
        <v>0</v>
      </c>
      <c r="P45" s="168">
        <f ca="1">IF($C45-P$1&lt;År1,0,O44*(1-VLOOKUP($A45,[1]Hugst!$R$5:$W$9,MATCH(ROUNDUP((P$1)/10,0)*10,[1]Hugst!$R$4:$W$4,0))))</f>
        <v>0</v>
      </c>
      <c r="Q45" s="168">
        <f ca="1">IF($C45-Q$1&lt;År1,0,P44*(1-VLOOKUP($A45,[1]Hugst!$R$5:$W$9,MATCH(ROUNDUP((Q$1)/10,0)*10,[1]Hugst!$R$4:$W$4,0))))</f>
        <v>0</v>
      </c>
      <c r="R45" s="168">
        <f ca="1">IF($C45-R$1&lt;År1,0,Q44*(1-VLOOKUP($A45,[1]Hugst!$R$5:$W$9,MATCH(ROUNDUP((R$1)/10,0)*10,[1]Hugst!$R$4:$W$4,0))))</f>
        <v>0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*VLOOKUP(A46,Skovbrug!$A$13:$D$17,IF('Skovbrug-alder'!C46&lt;=År2,3,4),FALSE)-IF(C46&gt;2020,SUM(INDEX($C$1:$D$311,MATCH(1,(2020=$C$1:$C$311)*(B46=$B$1:$B$311)*(A46=$A$1:$A$311),0),2):D45),0))</f>
        <v>0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0</v>
      </c>
      <c r="G46" s="168">
        <f ca="1">IF($C46-G$1&lt;År1,0,F45*(1-VLOOKUP($A46,[1]Hugst!$R$5:$W$9,MATCH(ROUNDUP((G$1)/10,0)*10,[1]Hugst!$R$4:$W$4,0))))</f>
        <v>0</v>
      </c>
      <c r="H46" s="168">
        <f ca="1">IF($C46-H$1&lt;År1,0,G45*(1-VLOOKUP($A46,[1]Hugst!$R$5:$W$9,MATCH(ROUNDUP((H$1)/10,0)*10,[1]Hugst!$R$4:$W$4,0))))</f>
        <v>0</v>
      </c>
      <c r="I46" s="168">
        <f ca="1">IF($C46-I$1&lt;År1,0,H45*(1-VLOOKUP($A46,[1]Hugst!$R$5:$W$9,MATCH(ROUNDUP((I$1)/10,0)*10,[1]Hugst!$R$4:$W$4,0))))</f>
        <v>0</v>
      </c>
      <c r="J46" s="168">
        <f ca="1">IF($C46-J$1&lt;År1,0,I45*(1-VLOOKUP($A46,[1]Hugst!$R$5:$W$9,MATCH(ROUNDUP((J$1)/10,0)*10,[1]Hugst!$R$4:$W$4,0))))</f>
        <v>0</v>
      </c>
      <c r="K46" s="168">
        <f ca="1">IF($C46-K$1&lt;År1,0,J45*(1-VLOOKUP($A46,[1]Hugst!$R$5:$W$9,MATCH(ROUNDUP((K$1)/10,0)*10,[1]Hugst!$R$4:$W$4,0))))</f>
        <v>0</v>
      </c>
      <c r="L46" s="168">
        <f ca="1">IF($C46-L$1&lt;År1,0,K45*(1-VLOOKUP($A46,[1]Hugst!$R$5:$W$9,MATCH(ROUNDUP((L$1)/10,0)*10,[1]Hugst!$R$4:$W$4,0))))</f>
        <v>0</v>
      </c>
      <c r="M46" s="168">
        <f ca="1">IF($C46-M$1&lt;År1,0,L45*(1-VLOOKUP($A46,[1]Hugst!$R$5:$W$9,MATCH(ROUNDUP((M$1)/10,0)*10,[1]Hugst!$R$4:$W$4,0))))</f>
        <v>0</v>
      </c>
      <c r="N46" s="168">
        <f ca="1">IF($C46-N$1&lt;År1,0,M45*(1-VLOOKUP($A46,[1]Hugst!$R$5:$W$9,MATCH(ROUNDUP((N$1)/10,0)*10,[1]Hugst!$R$4:$W$4,0))))</f>
        <v>0</v>
      </c>
      <c r="O46" s="168">
        <f ca="1">IF($C46-O$1&lt;År1,0,N45*(1-VLOOKUP($A46,[1]Hugst!$R$5:$W$9,MATCH(ROUNDUP((O$1)/10,0)*10,[1]Hugst!$R$4:$W$4,0))))</f>
        <v>0</v>
      </c>
      <c r="P46" s="168">
        <f ca="1">IF($C46-P$1&lt;År1,0,O45*(1-VLOOKUP($A46,[1]Hugst!$R$5:$W$9,MATCH(ROUNDUP((P$1)/10,0)*10,[1]Hugst!$R$4:$W$4,0))))</f>
        <v>0</v>
      </c>
      <c r="Q46" s="168">
        <f ca="1">IF($C46-Q$1&lt;År1,0,P45*(1-VLOOKUP($A46,[1]Hugst!$R$5:$W$9,MATCH(ROUNDUP((Q$1)/10,0)*10,[1]Hugst!$R$4:$W$4,0))))</f>
        <v>0</v>
      </c>
      <c r="R46" s="168">
        <f ca="1">IF($C46-R$1&lt;År1,0,Q45*(1-VLOOKUP($A46,[1]Hugst!$R$5:$W$9,MATCH(ROUNDUP((R$1)/10,0)*10,[1]Hugst!$R$4:$W$4,0))))</f>
        <v>0</v>
      </c>
      <c r="S46" s="168">
        <f ca="1">IF($C46-S$1&lt;År1,0,R45*(1-VLOOKUP($A46,[1]Hugst!$R$5:$W$9,MATCH(ROUNDUP((S$1)/10,0)*10,[1]Hugst!$R$4:$W$4,0))))</f>
        <v>0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*VLOOKUP(A47,Skovbrug!$A$13:$D$17,IF('Skovbrug-alder'!C47&lt;=År2,3,4),FALSE)-IF(C47&gt;2020,SUM(INDEX($C$1:$D$311,MATCH(1,(2020=$C$1:$C$311)*(B47=$B$1:$B$311)*(A47=$A$1:$A$311),0),2):D46),0))</f>
        <v>0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0</v>
      </c>
      <c r="G47" s="168">
        <f ca="1">IF($C47-G$1&lt;År1,0,F46*(1-VLOOKUP($A47,[1]Hugst!$R$5:$W$9,MATCH(ROUNDUP((G$1)/10,0)*10,[1]Hugst!$R$4:$W$4,0))))</f>
        <v>0</v>
      </c>
      <c r="H47" s="168">
        <f ca="1">IF($C47-H$1&lt;År1,0,G46*(1-VLOOKUP($A47,[1]Hugst!$R$5:$W$9,MATCH(ROUNDUP((H$1)/10,0)*10,[1]Hugst!$R$4:$W$4,0))))</f>
        <v>0</v>
      </c>
      <c r="I47" s="168">
        <f ca="1">IF($C47-I$1&lt;År1,0,H46*(1-VLOOKUP($A47,[1]Hugst!$R$5:$W$9,MATCH(ROUNDUP((I$1)/10,0)*10,[1]Hugst!$R$4:$W$4,0))))</f>
        <v>0</v>
      </c>
      <c r="J47" s="168">
        <f ca="1">IF($C47-J$1&lt;År1,0,I46*(1-VLOOKUP($A47,[1]Hugst!$R$5:$W$9,MATCH(ROUNDUP((J$1)/10,0)*10,[1]Hugst!$R$4:$W$4,0))))</f>
        <v>0</v>
      </c>
      <c r="K47" s="168">
        <f ca="1">IF($C47-K$1&lt;År1,0,J46*(1-VLOOKUP($A47,[1]Hugst!$R$5:$W$9,MATCH(ROUNDUP((K$1)/10,0)*10,[1]Hugst!$R$4:$W$4,0))))</f>
        <v>0</v>
      </c>
      <c r="L47" s="168">
        <f ca="1">IF($C47-L$1&lt;År1,0,K46*(1-VLOOKUP($A47,[1]Hugst!$R$5:$W$9,MATCH(ROUNDUP((L$1)/10,0)*10,[1]Hugst!$R$4:$W$4,0))))</f>
        <v>0</v>
      </c>
      <c r="M47" s="168">
        <f ca="1">IF($C47-M$1&lt;År1,0,L46*(1-VLOOKUP($A47,[1]Hugst!$R$5:$W$9,MATCH(ROUNDUP((M$1)/10,0)*10,[1]Hugst!$R$4:$W$4,0))))</f>
        <v>0</v>
      </c>
      <c r="N47" s="168">
        <f ca="1">IF($C47-N$1&lt;År1,0,M46*(1-VLOOKUP($A47,[1]Hugst!$R$5:$W$9,MATCH(ROUNDUP((N$1)/10,0)*10,[1]Hugst!$R$4:$W$4,0))))</f>
        <v>0</v>
      </c>
      <c r="O47" s="168">
        <f ca="1">IF($C47-O$1&lt;År1,0,N46*(1-VLOOKUP($A47,[1]Hugst!$R$5:$W$9,MATCH(ROUNDUP((O$1)/10,0)*10,[1]Hugst!$R$4:$W$4,0))))</f>
        <v>0</v>
      </c>
      <c r="P47" s="168">
        <f ca="1">IF($C47-P$1&lt;År1,0,O46*(1-VLOOKUP($A47,[1]Hugst!$R$5:$W$9,MATCH(ROUNDUP((P$1)/10,0)*10,[1]Hugst!$R$4:$W$4,0))))</f>
        <v>0</v>
      </c>
      <c r="Q47" s="168">
        <f ca="1">IF($C47-Q$1&lt;År1,0,P46*(1-VLOOKUP($A47,[1]Hugst!$R$5:$W$9,MATCH(ROUNDUP((Q$1)/10,0)*10,[1]Hugst!$R$4:$W$4,0))))</f>
        <v>0</v>
      </c>
      <c r="R47" s="168">
        <f ca="1">IF($C47-R$1&lt;År1,0,Q46*(1-VLOOKUP($A47,[1]Hugst!$R$5:$W$9,MATCH(ROUNDUP((R$1)/10,0)*10,[1]Hugst!$R$4:$W$4,0))))</f>
        <v>0</v>
      </c>
      <c r="S47" s="168">
        <f ca="1">IF($C47-S$1&lt;År1,0,R46*(1-VLOOKUP($A47,[1]Hugst!$R$5:$W$9,MATCH(ROUNDUP((S$1)/10,0)*10,[1]Hugst!$R$4:$W$4,0))))</f>
        <v>0</v>
      </c>
      <c r="T47" s="168">
        <f ca="1">IF($C47-T$1&lt;År1,0,S46*(1-VLOOKUP($A47,[1]Hugst!$R$5:$W$9,MATCH(ROUNDUP((T$1)/10,0)*10,[1]Hugst!$R$4:$W$4,0))))</f>
        <v>0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*VLOOKUP(A48,Skovbrug!$A$13:$D$17,IF('Skovbrug-alder'!C48&lt;=År2,3,4),FALSE)-IF(C48&gt;2020,SUM(INDEX($C$1:$D$311,MATCH(1,(2020=$C$1:$C$311)*(B48=$B$1:$B$311)*(A48=$A$1:$A$311),0),2):D47),0))</f>
        <v>0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0</v>
      </c>
      <c r="G48" s="168">
        <f ca="1">IF($C48-G$1&lt;År1,0,F47*(1-VLOOKUP($A48,[1]Hugst!$R$5:$W$9,MATCH(ROUNDUP((G$1)/10,0)*10,[1]Hugst!$R$4:$W$4,0))))</f>
        <v>0</v>
      </c>
      <c r="H48" s="168">
        <f ca="1">IF($C48-H$1&lt;År1,0,G47*(1-VLOOKUP($A48,[1]Hugst!$R$5:$W$9,MATCH(ROUNDUP((H$1)/10,0)*10,[1]Hugst!$R$4:$W$4,0))))</f>
        <v>0</v>
      </c>
      <c r="I48" s="168">
        <f ca="1">IF($C48-I$1&lt;År1,0,H47*(1-VLOOKUP($A48,[1]Hugst!$R$5:$W$9,MATCH(ROUNDUP((I$1)/10,0)*10,[1]Hugst!$R$4:$W$4,0))))</f>
        <v>0</v>
      </c>
      <c r="J48" s="168">
        <f ca="1">IF($C48-J$1&lt;År1,0,I47*(1-VLOOKUP($A48,[1]Hugst!$R$5:$W$9,MATCH(ROUNDUP((J$1)/10,0)*10,[1]Hugst!$R$4:$W$4,0))))</f>
        <v>0</v>
      </c>
      <c r="K48" s="168">
        <f ca="1">IF($C48-K$1&lt;År1,0,J47*(1-VLOOKUP($A48,[1]Hugst!$R$5:$W$9,MATCH(ROUNDUP((K$1)/10,0)*10,[1]Hugst!$R$4:$W$4,0))))</f>
        <v>0</v>
      </c>
      <c r="L48" s="168">
        <f ca="1">IF($C48-L$1&lt;År1,0,K47*(1-VLOOKUP($A48,[1]Hugst!$R$5:$W$9,MATCH(ROUNDUP((L$1)/10,0)*10,[1]Hugst!$R$4:$W$4,0))))</f>
        <v>0</v>
      </c>
      <c r="M48" s="168">
        <f ca="1">IF($C48-M$1&lt;År1,0,L47*(1-VLOOKUP($A48,[1]Hugst!$R$5:$W$9,MATCH(ROUNDUP((M$1)/10,0)*10,[1]Hugst!$R$4:$W$4,0))))</f>
        <v>0</v>
      </c>
      <c r="N48" s="168">
        <f ca="1">IF($C48-N$1&lt;År1,0,M47*(1-VLOOKUP($A48,[1]Hugst!$R$5:$W$9,MATCH(ROUNDUP((N$1)/10,0)*10,[1]Hugst!$R$4:$W$4,0))))</f>
        <v>0</v>
      </c>
      <c r="O48" s="168">
        <f ca="1">IF($C48-O$1&lt;År1,0,N47*(1-VLOOKUP($A48,[1]Hugst!$R$5:$W$9,MATCH(ROUNDUP((O$1)/10,0)*10,[1]Hugst!$R$4:$W$4,0))))</f>
        <v>0</v>
      </c>
      <c r="P48" s="168">
        <f ca="1">IF($C48-P$1&lt;År1,0,O47*(1-VLOOKUP($A48,[1]Hugst!$R$5:$W$9,MATCH(ROUNDUP((P$1)/10,0)*10,[1]Hugst!$R$4:$W$4,0))))</f>
        <v>0</v>
      </c>
      <c r="Q48" s="168">
        <f ca="1">IF($C48-Q$1&lt;År1,0,P47*(1-VLOOKUP($A48,[1]Hugst!$R$5:$W$9,MATCH(ROUNDUP((Q$1)/10,0)*10,[1]Hugst!$R$4:$W$4,0))))</f>
        <v>0</v>
      </c>
      <c r="R48" s="168">
        <f ca="1">IF($C48-R$1&lt;År1,0,Q47*(1-VLOOKUP($A48,[1]Hugst!$R$5:$W$9,MATCH(ROUNDUP((R$1)/10,0)*10,[1]Hugst!$R$4:$W$4,0))))</f>
        <v>0</v>
      </c>
      <c r="S48" s="168">
        <f ca="1">IF($C48-S$1&lt;År1,0,R47*(1-VLOOKUP($A48,[1]Hugst!$R$5:$W$9,MATCH(ROUNDUP((S$1)/10,0)*10,[1]Hugst!$R$4:$W$4,0))))</f>
        <v>0</v>
      </c>
      <c r="T48" s="168">
        <f ca="1">IF($C48-T$1&lt;År1,0,S47*(1-VLOOKUP($A48,[1]Hugst!$R$5:$W$9,MATCH(ROUNDUP((T$1)/10,0)*10,[1]Hugst!$R$4:$W$4,0))))</f>
        <v>0</v>
      </c>
      <c r="U48" s="168">
        <f ca="1">IF($C48-U$1&lt;År1,0,T47*(1-VLOOKUP($A48,[1]Hugst!$R$5:$W$9,MATCH(ROUNDUP((U$1)/10,0)*10,[1]Hugst!$R$4:$W$4,0))))</f>
        <v>0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*VLOOKUP(A49,Skovbrug!$A$13:$D$17,IF('Skovbrug-alder'!C49&lt;=År2,3,4),FALSE)-IF(C49&gt;2020,SUM(INDEX($C$1:$D$311,MATCH(1,(2020=$C$1:$C$311)*(B49=$B$1:$B$311)*(A49=$A$1:$A$311),0),2):D48),0))</f>
        <v>0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0</v>
      </c>
      <c r="G49" s="168">
        <f ca="1">IF($C49-G$1&lt;År1,0,F48*(1-VLOOKUP($A49,[1]Hugst!$R$5:$W$9,MATCH(ROUNDUP((G$1)/10,0)*10,[1]Hugst!$R$4:$W$4,0))))</f>
        <v>0</v>
      </c>
      <c r="H49" s="168">
        <f ca="1">IF($C49-H$1&lt;År1,0,G48*(1-VLOOKUP($A49,[1]Hugst!$R$5:$W$9,MATCH(ROUNDUP((H$1)/10,0)*10,[1]Hugst!$R$4:$W$4,0))))</f>
        <v>0</v>
      </c>
      <c r="I49" s="168">
        <f ca="1">IF($C49-I$1&lt;År1,0,H48*(1-VLOOKUP($A49,[1]Hugst!$R$5:$W$9,MATCH(ROUNDUP((I$1)/10,0)*10,[1]Hugst!$R$4:$W$4,0))))</f>
        <v>0</v>
      </c>
      <c r="J49" s="168">
        <f ca="1">IF($C49-J$1&lt;År1,0,I48*(1-VLOOKUP($A49,[1]Hugst!$R$5:$W$9,MATCH(ROUNDUP((J$1)/10,0)*10,[1]Hugst!$R$4:$W$4,0))))</f>
        <v>0</v>
      </c>
      <c r="K49" s="168">
        <f ca="1">IF($C49-K$1&lt;År1,0,J48*(1-VLOOKUP($A49,[1]Hugst!$R$5:$W$9,MATCH(ROUNDUP((K$1)/10,0)*10,[1]Hugst!$R$4:$W$4,0))))</f>
        <v>0</v>
      </c>
      <c r="L49" s="168">
        <f ca="1">IF($C49-L$1&lt;År1,0,K48*(1-VLOOKUP($A49,[1]Hugst!$R$5:$W$9,MATCH(ROUNDUP((L$1)/10,0)*10,[1]Hugst!$R$4:$W$4,0))))</f>
        <v>0</v>
      </c>
      <c r="M49" s="168">
        <f ca="1">IF($C49-M$1&lt;År1,0,L48*(1-VLOOKUP($A49,[1]Hugst!$R$5:$W$9,MATCH(ROUNDUP((M$1)/10,0)*10,[1]Hugst!$R$4:$W$4,0))))</f>
        <v>0</v>
      </c>
      <c r="N49" s="168">
        <f ca="1">IF($C49-N$1&lt;År1,0,M48*(1-VLOOKUP($A49,[1]Hugst!$R$5:$W$9,MATCH(ROUNDUP((N$1)/10,0)*10,[1]Hugst!$R$4:$W$4,0))))</f>
        <v>0</v>
      </c>
      <c r="O49" s="168">
        <f ca="1">IF($C49-O$1&lt;År1,0,N48*(1-VLOOKUP($A49,[1]Hugst!$R$5:$W$9,MATCH(ROUNDUP((O$1)/10,0)*10,[1]Hugst!$R$4:$W$4,0))))</f>
        <v>0</v>
      </c>
      <c r="P49" s="168">
        <f ca="1">IF($C49-P$1&lt;År1,0,O48*(1-VLOOKUP($A49,[1]Hugst!$R$5:$W$9,MATCH(ROUNDUP((P$1)/10,0)*10,[1]Hugst!$R$4:$W$4,0))))</f>
        <v>0</v>
      </c>
      <c r="Q49" s="168">
        <f ca="1">IF($C49-Q$1&lt;År1,0,P48*(1-VLOOKUP($A49,[1]Hugst!$R$5:$W$9,MATCH(ROUNDUP((Q$1)/10,0)*10,[1]Hugst!$R$4:$W$4,0))))</f>
        <v>0</v>
      </c>
      <c r="R49" s="168">
        <f ca="1">IF($C49-R$1&lt;År1,0,Q48*(1-VLOOKUP($A49,[1]Hugst!$R$5:$W$9,MATCH(ROUNDUP((R$1)/10,0)*10,[1]Hugst!$R$4:$W$4,0))))</f>
        <v>0</v>
      </c>
      <c r="S49" s="168">
        <f ca="1">IF($C49-S$1&lt;År1,0,R48*(1-VLOOKUP($A49,[1]Hugst!$R$5:$W$9,MATCH(ROUNDUP((S$1)/10,0)*10,[1]Hugst!$R$4:$W$4,0))))</f>
        <v>0</v>
      </c>
      <c r="T49" s="168">
        <f ca="1">IF($C49-T$1&lt;År1,0,S48*(1-VLOOKUP($A49,[1]Hugst!$R$5:$W$9,MATCH(ROUNDUP((T$1)/10,0)*10,[1]Hugst!$R$4:$W$4,0))))</f>
        <v>0</v>
      </c>
      <c r="U49" s="168">
        <f ca="1">IF($C49-U$1&lt;År1,0,T48*(1-VLOOKUP($A49,[1]Hugst!$R$5:$W$9,MATCH(ROUNDUP((U$1)/10,0)*10,[1]Hugst!$R$4:$W$4,0))))</f>
        <v>0</v>
      </c>
      <c r="V49" s="168">
        <f ca="1">IF($C49-V$1&lt;År1,0,U48*(1-VLOOKUP($A49,[1]Hugst!$R$5:$W$9,MATCH(ROUNDUP((V$1)/10,0)*10,[1]Hugst!$R$4:$W$4,0))))</f>
        <v>0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*VLOOKUP(A50,Skovbrug!$A$13:$D$17,IF('Skovbrug-alder'!C50&lt;=År2,3,4),FALSE)-IF(C50&gt;2020,SUM(INDEX($C$1:$D$311,MATCH(1,(2020=$C$1:$C$311)*(B50=$B$1:$B$311)*(A50=$A$1:$A$311),0),2):D49),0))</f>
        <v>0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0</v>
      </c>
      <c r="G50" s="168">
        <f ca="1">IF($C50-G$1&lt;År1,0,F49*(1-VLOOKUP($A50,[1]Hugst!$R$5:$W$9,MATCH(ROUNDUP((G$1)/10,0)*10,[1]Hugst!$R$4:$W$4,0))))</f>
        <v>0</v>
      </c>
      <c r="H50" s="168">
        <f ca="1">IF($C50-H$1&lt;År1,0,G49*(1-VLOOKUP($A50,[1]Hugst!$R$5:$W$9,MATCH(ROUNDUP((H$1)/10,0)*10,[1]Hugst!$R$4:$W$4,0))))</f>
        <v>0</v>
      </c>
      <c r="I50" s="168">
        <f ca="1">IF($C50-I$1&lt;År1,0,H49*(1-VLOOKUP($A50,[1]Hugst!$R$5:$W$9,MATCH(ROUNDUP((I$1)/10,0)*10,[1]Hugst!$R$4:$W$4,0))))</f>
        <v>0</v>
      </c>
      <c r="J50" s="168">
        <f ca="1">IF($C50-J$1&lt;År1,0,I49*(1-VLOOKUP($A50,[1]Hugst!$R$5:$W$9,MATCH(ROUNDUP((J$1)/10,0)*10,[1]Hugst!$R$4:$W$4,0))))</f>
        <v>0</v>
      </c>
      <c r="K50" s="168">
        <f ca="1">IF($C50-K$1&lt;År1,0,J49*(1-VLOOKUP($A50,[1]Hugst!$R$5:$W$9,MATCH(ROUNDUP((K$1)/10,0)*10,[1]Hugst!$R$4:$W$4,0))))</f>
        <v>0</v>
      </c>
      <c r="L50" s="168">
        <f ca="1">IF($C50-L$1&lt;År1,0,K49*(1-VLOOKUP($A50,[1]Hugst!$R$5:$W$9,MATCH(ROUNDUP((L$1)/10,0)*10,[1]Hugst!$R$4:$W$4,0))))</f>
        <v>0</v>
      </c>
      <c r="M50" s="168">
        <f ca="1">IF($C50-M$1&lt;År1,0,L49*(1-VLOOKUP($A50,[1]Hugst!$R$5:$W$9,MATCH(ROUNDUP((M$1)/10,0)*10,[1]Hugst!$R$4:$W$4,0))))</f>
        <v>0</v>
      </c>
      <c r="N50" s="168">
        <f ca="1">IF($C50-N$1&lt;År1,0,M49*(1-VLOOKUP($A50,[1]Hugst!$R$5:$W$9,MATCH(ROUNDUP((N$1)/10,0)*10,[1]Hugst!$R$4:$W$4,0))))</f>
        <v>0</v>
      </c>
      <c r="O50" s="168">
        <f ca="1">IF($C50-O$1&lt;År1,0,N49*(1-VLOOKUP($A50,[1]Hugst!$R$5:$W$9,MATCH(ROUNDUP((O$1)/10,0)*10,[1]Hugst!$R$4:$W$4,0))))</f>
        <v>0</v>
      </c>
      <c r="P50" s="168">
        <f ca="1">IF($C50-P$1&lt;År1,0,O49*(1-VLOOKUP($A50,[1]Hugst!$R$5:$W$9,MATCH(ROUNDUP((P$1)/10,0)*10,[1]Hugst!$R$4:$W$4,0))))</f>
        <v>0</v>
      </c>
      <c r="Q50" s="168">
        <f ca="1">IF($C50-Q$1&lt;År1,0,P49*(1-VLOOKUP($A50,[1]Hugst!$R$5:$W$9,MATCH(ROUNDUP((Q$1)/10,0)*10,[1]Hugst!$R$4:$W$4,0))))</f>
        <v>0</v>
      </c>
      <c r="R50" s="168">
        <f ca="1">IF($C50-R$1&lt;År1,0,Q49*(1-VLOOKUP($A50,[1]Hugst!$R$5:$W$9,MATCH(ROUNDUP((R$1)/10,0)*10,[1]Hugst!$R$4:$W$4,0))))</f>
        <v>0</v>
      </c>
      <c r="S50" s="168">
        <f ca="1">IF($C50-S$1&lt;År1,0,R49*(1-VLOOKUP($A50,[1]Hugst!$R$5:$W$9,MATCH(ROUNDUP((S$1)/10,0)*10,[1]Hugst!$R$4:$W$4,0))))</f>
        <v>0</v>
      </c>
      <c r="T50" s="168">
        <f ca="1">IF($C50-T$1&lt;År1,0,S49*(1-VLOOKUP($A50,[1]Hugst!$R$5:$W$9,MATCH(ROUNDUP((T$1)/10,0)*10,[1]Hugst!$R$4:$W$4,0))))</f>
        <v>0</v>
      </c>
      <c r="U50" s="168">
        <f ca="1">IF($C50-U$1&lt;År1,0,T49*(1-VLOOKUP($A50,[1]Hugst!$R$5:$W$9,MATCH(ROUNDUP((U$1)/10,0)*10,[1]Hugst!$R$4:$W$4,0))))</f>
        <v>0</v>
      </c>
      <c r="V50" s="168">
        <f ca="1">IF($C50-V$1&lt;År1,0,U49*(1-VLOOKUP($A50,[1]Hugst!$R$5:$W$9,MATCH(ROUNDUP((V$1)/10,0)*10,[1]Hugst!$R$4:$W$4,0))))</f>
        <v>0</v>
      </c>
      <c r="W50" s="168">
        <f ca="1">IF($C50-W$1&lt;År1,0,V49*(1-VLOOKUP($A50,[1]Hugst!$R$5:$W$9,MATCH(ROUNDUP((W$1)/10,0)*10,[1]Hugst!$R$4:$W$4,0))))</f>
        <v>0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*VLOOKUP(A51,Skovbrug!$A$13:$D$17,IF('Skovbrug-alder'!C51&lt;=År2,3,4),FALSE)-IF(C51&gt;2020,SUM(INDEX($C$1:$D$311,MATCH(1,(2020=$C$1:$C$311)*(B51=$B$1:$B$311)*(A51=$A$1:$A$311),0),2):D50),0))</f>
        <v>0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0</v>
      </c>
      <c r="G51" s="168">
        <f ca="1">IF($C51-G$1&lt;År1,0,F50*(1-VLOOKUP($A51,[1]Hugst!$R$5:$W$9,MATCH(ROUNDUP((G$1)/10,0)*10,[1]Hugst!$R$4:$W$4,0))))</f>
        <v>0</v>
      </c>
      <c r="H51" s="168">
        <f ca="1">IF($C51-H$1&lt;År1,0,G50*(1-VLOOKUP($A51,[1]Hugst!$R$5:$W$9,MATCH(ROUNDUP((H$1)/10,0)*10,[1]Hugst!$R$4:$W$4,0))))</f>
        <v>0</v>
      </c>
      <c r="I51" s="168">
        <f ca="1">IF($C51-I$1&lt;År1,0,H50*(1-VLOOKUP($A51,[1]Hugst!$R$5:$W$9,MATCH(ROUNDUP((I$1)/10,0)*10,[1]Hugst!$R$4:$W$4,0))))</f>
        <v>0</v>
      </c>
      <c r="J51" s="168">
        <f ca="1">IF($C51-J$1&lt;År1,0,I50*(1-VLOOKUP($A51,[1]Hugst!$R$5:$W$9,MATCH(ROUNDUP((J$1)/10,0)*10,[1]Hugst!$R$4:$W$4,0))))</f>
        <v>0</v>
      </c>
      <c r="K51" s="168">
        <f ca="1">IF($C51-K$1&lt;År1,0,J50*(1-VLOOKUP($A51,[1]Hugst!$R$5:$W$9,MATCH(ROUNDUP((K$1)/10,0)*10,[1]Hugst!$R$4:$W$4,0))))</f>
        <v>0</v>
      </c>
      <c r="L51" s="168">
        <f ca="1">IF($C51-L$1&lt;År1,0,K50*(1-VLOOKUP($A51,[1]Hugst!$R$5:$W$9,MATCH(ROUNDUP((L$1)/10,0)*10,[1]Hugst!$R$4:$W$4,0))))</f>
        <v>0</v>
      </c>
      <c r="M51" s="168">
        <f ca="1">IF($C51-M$1&lt;År1,0,L50*(1-VLOOKUP($A51,[1]Hugst!$R$5:$W$9,MATCH(ROUNDUP((M$1)/10,0)*10,[1]Hugst!$R$4:$W$4,0))))</f>
        <v>0</v>
      </c>
      <c r="N51" s="168">
        <f ca="1">IF($C51-N$1&lt;År1,0,M50*(1-VLOOKUP($A51,[1]Hugst!$R$5:$W$9,MATCH(ROUNDUP((N$1)/10,0)*10,[1]Hugst!$R$4:$W$4,0))))</f>
        <v>0</v>
      </c>
      <c r="O51" s="168">
        <f ca="1">IF($C51-O$1&lt;År1,0,N50*(1-VLOOKUP($A51,[1]Hugst!$R$5:$W$9,MATCH(ROUNDUP((O$1)/10,0)*10,[1]Hugst!$R$4:$W$4,0))))</f>
        <v>0</v>
      </c>
      <c r="P51" s="168">
        <f ca="1">IF($C51-P$1&lt;År1,0,O50*(1-VLOOKUP($A51,[1]Hugst!$R$5:$W$9,MATCH(ROUNDUP((P$1)/10,0)*10,[1]Hugst!$R$4:$W$4,0))))</f>
        <v>0</v>
      </c>
      <c r="Q51" s="168">
        <f ca="1">IF($C51-Q$1&lt;År1,0,P50*(1-VLOOKUP($A51,[1]Hugst!$R$5:$W$9,MATCH(ROUNDUP((Q$1)/10,0)*10,[1]Hugst!$R$4:$W$4,0))))</f>
        <v>0</v>
      </c>
      <c r="R51" s="168">
        <f ca="1">IF($C51-R$1&lt;År1,0,Q50*(1-VLOOKUP($A51,[1]Hugst!$R$5:$W$9,MATCH(ROUNDUP((R$1)/10,0)*10,[1]Hugst!$R$4:$W$4,0))))</f>
        <v>0</v>
      </c>
      <c r="S51" s="168">
        <f ca="1">IF($C51-S$1&lt;År1,0,R50*(1-VLOOKUP($A51,[1]Hugst!$R$5:$W$9,MATCH(ROUNDUP((S$1)/10,0)*10,[1]Hugst!$R$4:$W$4,0))))</f>
        <v>0</v>
      </c>
      <c r="T51" s="168">
        <f ca="1">IF($C51-T$1&lt;År1,0,S50*(1-VLOOKUP($A51,[1]Hugst!$R$5:$W$9,MATCH(ROUNDUP((T$1)/10,0)*10,[1]Hugst!$R$4:$W$4,0))))</f>
        <v>0</v>
      </c>
      <c r="U51" s="168">
        <f ca="1">IF($C51-U$1&lt;År1,0,T50*(1-VLOOKUP($A51,[1]Hugst!$R$5:$W$9,MATCH(ROUNDUP((U$1)/10,0)*10,[1]Hugst!$R$4:$W$4,0))))</f>
        <v>0</v>
      </c>
      <c r="V51" s="168">
        <f ca="1">IF($C51-V$1&lt;År1,0,U50*(1-VLOOKUP($A51,[1]Hugst!$R$5:$W$9,MATCH(ROUNDUP((V$1)/10,0)*10,[1]Hugst!$R$4:$W$4,0))))</f>
        <v>0</v>
      </c>
      <c r="W51" s="168">
        <f ca="1">IF($C51-W$1&lt;År1,0,V50*(1-VLOOKUP($A51,[1]Hugst!$R$5:$W$9,MATCH(ROUNDUP((W$1)/10,0)*10,[1]Hugst!$R$4:$W$4,0))))</f>
        <v>0</v>
      </c>
      <c r="X51" s="168">
        <f ca="1">IF($C51-X$1&lt;År1,0,W50*(1-VLOOKUP($A51,[1]Hugst!$R$5:$W$9,MATCH(ROUNDUP((X$1)/10,0)*10,[1]Hugst!$R$4:$W$4,0))))</f>
        <v>0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*VLOOKUP(A52,Skovbrug!$A$13:$D$17,IF('Skovbrug-alder'!C52&lt;=År2,3,4),FALSE)-IF(C52&gt;2020,SUM(INDEX($C$1:$D$311,MATCH(1,(2020=$C$1:$C$311)*(B52=$B$1:$B$311)*(A52=$A$1:$A$311),0),2):D51),0))</f>
        <v>0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0</v>
      </c>
      <c r="G52" s="168">
        <f ca="1">IF($C52-G$1&lt;År1,0,F51*(1-VLOOKUP($A52,[1]Hugst!$R$5:$W$9,MATCH(ROUNDUP((G$1)/10,0)*10,[1]Hugst!$R$4:$W$4,0))))</f>
        <v>0</v>
      </c>
      <c r="H52" s="168">
        <f ca="1">IF($C52-H$1&lt;År1,0,G51*(1-VLOOKUP($A52,[1]Hugst!$R$5:$W$9,MATCH(ROUNDUP((H$1)/10,0)*10,[1]Hugst!$R$4:$W$4,0))))</f>
        <v>0</v>
      </c>
      <c r="I52" s="168">
        <f ca="1">IF($C52-I$1&lt;År1,0,H51*(1-VLOOKUP($A52,[1]Hugst!$R$5:$W$9,MATCH(ROUNDUP((I$1)/10,0)*10,[1]Hugst!$R$4:$W$4,0))))</f>
        <v>0</v>
      </c>
      <c r="J52" s="168">
        <f ca="1">IF($C52-J$1&lt;År1,0,I51*(1-VLOOKUP($A52,[1]Hugst!$R$5:$W$9,MATCH(ROUNDUP((J$1)/10,0)*10,[1]Hugst!$R$4:$W$4,0))))</f>
        <v>0</v>
      </c>
      <c r="K52" s="168">
        <f ca="1">IF($C52-K$1&lt;År1,0,J51*(1-VLOOKUP($A52,[1]Hugst!$R$5:$W$9,MATCH(ROUNDUP((K$1)/10,0)*10,[1]Hugst!$R$4:$W$4,0))))</f>
        <v>0</v>
      </c>
      <c r="L52" s="168">
        <f ca="1">IF($C52-L$1&lt;År1,0,K51*(1-VLOOKUP($A52,[1]Hugst!$R$5:$W$9,MATCH(ROUNDUP((L$1)/10,0)*10,[1]Hugst!$R$4:$W$4,0))))</f>
        <v>0</v>
      </c>
      <c r="M52" s="168">
        <f ca="1">IF($C52-M$1&lt;År1,0,L51*(1-VLOOKUP($A52,[1]Hugst!$R$5:$W$9,MATCH(ROUNDUP((M$1)/10,0)*10,[1]Hugst!$R$4:$W$4,0))))</f>
        <v>0</v>
      </c>
      <c r="N52" s="168">
        <f ca="1">IF($C52-N$1&lt;År1,0,M51*(1-VLOOKUP($A52,[1]Hugst!$R$5:$W$9,MATCH(ROUNDUP((N$1)/10,0)*10,[1]Hugst!$R$4:$W$4,0))))</f>
        <v>0</v>
      </c>
      <c r="O52" s="168">
        <f ca="1">IF($C52-O$1&lt;År1,0,N51*(1-VLOOKUP($A52,[1]Hugst!$R$5:$W$9,MATCH(ROUNDUP((O$1)/10,0)*10,[1]Hugst!$R$4:$W$4,0))))</f>
        <v>0</v>
      </c>
      <c r="P52" s="168">
        <f ca="1">IF($C52-P$1&lt;År1,0,O51*(1-VLOOKUP($A52,[1]Hugst!$R$5:$W$9,MATCH(ROUNDUP((P$1)/10,0)*10,[1]Hugst!$R$4:$W$4,0))))</f>
        <v>0</v>
      </c>
      <c r="Q52" s="168">
        <f ca="1">IF($C52-Q$1&lt;År1,0,P51*(1-VLOOKUP($A52,[1]Hugst!$R$5:$W$9,MATCH(ROUNDUP((Q$1)/10,0)*10,[1]Hugst!$R$4:$W$4,0))))</f>
        <v>0</v>
      </c>
      <c r="R52" s="168">
        <f ca="1">IF($C52-R$1&lt;År1,0,Q51*(1-VLOOKUP($A52,[1]Hugst!$R$5:$W$9,MATCH(ROUNDUP((R$1)/10,0)*10,[1]Hugst!$R$4:$W$4,0))))</f>
        <v>0</v>
      </c>
      <c r="S52" s="168">
        <f ca="1">IF($C52-S$1&lt;År1,0,R51*(1-VLOOKUP($A52,[1]Hugst!$R$5:$W$9,MATCH(ROUNDUP((S$1)/10,0)*10,[1]Hugst!$R$4:$W$4,0))))</f>
        <v>0</v>
      </c>
      <c r="T52" s="168">
        <f ca="1">IF($C52-T$1&lt;År1,0,S51*(1-VLOOKUP($A52,[1]Hugst!$R$5:$W$9,MATCH(ROUNDUP((T$1)/10,0)*10,[1]Hugst!$R$4:$W$4,0))))</f>
        <v>0</v>
      </c>
      <c r="U52" s="168">
        <f ca="1">IF($C52-U$1&lt;År1,0,T51*(1-VLOOKUP($A52,[1]Hugst!$R$5:$W$9,MATCH(ROUNDUP((U$1)/10,0)*10,[1]Hugst!$R$4:$W$4,0))))</f>
        <v>0</v>
      </c>
      <c r="V52" s="168">
        <f ca="1">IF($C52-V$1&lt;År1,0,U51*(1-VLOOKUP($A52,[1]Hugst!$R$5:$W$9,MATCH(ROUNDUP((V$1)/10,0)*10,[1]Hugst!$R$4:$W$4,0))))</f>
        <v>0</v>
      </c>
      <c r="W52" s="168">
        <f ca="1">IF($C52-W$1&lt;År1,0,V51*(1-VLOOKUP($A52,[1]Hugst!$R$5:$W$9,MATCH(ROUNDUP((W$1)/10,0)*10,[1]Hugst!$R$4:$W$4,0))))</f>
        <v>0</v>
      </c>
      <c r="X52" s="168">
        <f ca="1">IF($C52-X$1&lt;År1,0,W51*(1-VLOOKUP($A52,[1]Hugst!$R$5:$W$9,MATCH(ROUNDUP((X$1)/10,0)*10,[1]Hugst!$R$4:$W$4,0))))</f>
        <v>0</v>
      </c>
      <c r="Y52" s="168">
        <f ca="1">IF($C52-Y$1&lt;År1,0,X51*(1-VLOOKUP($A52,[1]Hugst!$R$5:$W$9,MATCH(ROUNDUP((Y$1)/10,0)*10,[1]Hugst!$R$4:$W$4,0))))</f>
        <v>0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*VLOOKUP(A53,Skovbrug!$A$13:$D$17,IF('Skovbrug-alder'!C53&lt;=År2,3,4),FALSE)-IF(C53&gt;2020,SUM(INDEX($C$1:$D$311,MATCH(1,(2020=$C$1:$C$311)*(B53=$B$1:$B$311)*(A53=$A$1:$A$311),0),2):D52),0))</f>
        <v>0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0</v>
      </c>
      <c r="G53" s="168">
        <f ca="1">IF($C53-G$1&lt;År1,0,F52*(1-VLOOKUP($A53,[1]Hugst!$R$5:$W$9,MATCH(ROUNDUP((G$1)/10,0)*10,[1]Hugst!$R$4:$W$4,0))))</f>
        <v>0</v>
      </c>
      <c r="H53" s="168">
        <f ca="1">IF($C53-H$1&lt;År1,0,G52*(1-VLOOKUP($A53,[1]Hugst!$R$5:$W$9,MATCH(ROUNDUP((H$1)/10,0)*10,[1]Hugst!$R$4:$W$4,0))))</f>
        <v>0</v>
      </c>
      <c r="I53" s="168">
        <f ca="1">IF($C53-I$1&lt;År1,0,H52*(1-VLOOKUP($A53,[1]Hugst!$R$5:$W$9,MATCH(ROUNDUP((I$1)/10,0)*10,[1]Hugst!$R$4:$W$4,0))))</f>
        <v>0</v>
      </c>
      <c r="J53" s="168">
        <f ca="1">IF($C53-J$1&lt;År1,0,I52*(1-VLOOKUP($A53,[1]Hugst!$R$5:$W$9,MATCH(ROUNDUP((J$1)/10,0)*10,[1]Hugst!$R$4:$W$4,0))))</f>
        <v>0</v>
      </c>
      <c r="K53" s="168">
        <f ca="1">IF($C53-K$1&lt;År1,0,J52*(1-VLOOKUP($A53,[1]Hugst!$R$5:$W$9,MATCH(ROUNDUP((K$1)/10,0)*10,[1]Hugst!$R$4:$W$4,0))))</f>
        <v>0</v>
      </c>
      <c r="L53" s="168">
        <f ca="1">IF($C53-L$1&lt;År1,0,K52*(1-VLOOKUP($A53,[1]Hugst!$R$5:$W$9,MATCH(ROUNDUP((L$1)/10,0)*10,[1]Hugst!$R$4:$W$4,0))))</f>
        <v>0</v>
      </c>
      <c r="M53" s="168">
        <f ca="1">IF($C53-M$1&lt;År1,0,L52*(1-VLOOKUP($A53,[1]Hugst!$R$5:$W$9,MATCH(ROUNDUP((M$1)/10,0)*10,[1]Hugst!$R$4:$W$4,0))))</f>
        <v>0</v>
      </c>
      <c r="N53" s="168">
        <f ca="1">IF($C53-N$1&lt;År1,0,M52*(1-VLOOKUP($A53,[1]Hugst!$R$5:$W$9,MATCH(ROUNDUP((N$1)/10,0)*10,[1]Hugst!$R$4:$W$4,0))))</f>
        <v>0</v>
      </c>
      <c r="O53" s="168">
        <f ca="1">IF($C53-O$1&lt;År1,0,N52*(1-VLOOKUP($A53,[1]Hugst!$R$5:$W$9,MATCH(ROUNDUP((O$1)/10,0)*10,[1]Hugst!$R$4:$W$4,0))))</f>
        <v>0</v>
      </c>
      <c r="P53" s="168">
        <f ca="1">IF($C53-P$1&lt;År1,0,O52*(1-VLOOKUP($A53,[1]Hugst!$R$5:$W$9,MATCH(ROUNDUP((P$1)/10,0)*10,[1]Hugst!$R$4:$W$4,0))))</f>
        <v>0</v>
      </c>
      <c r="Q53" s="168">
        <f ca="1">IF($C53-Q$1&lt;År1,0,P52*(1-VLOOKUP($A53,[1]Hugst!$R$5:$W$9,MATCH(ROUNDUP((Q$1)/10,0)*10,[1]Hugst!$R$4:$W$4,0))))</f>
        <v>0</v>
      </c>
      <c r="R53" s="168">
        <f ca="1">IF($C53-R$1&lt;År1,0,Q52*(1-VLOOKUP($A53,[1]Hugst!$R$5:$W$9,MATCH(ROUNDUP((R$1)/10,0)*10,[1]Hugst!$R$4:$W$4,0))))</f>
        <v>0</v>
      </c>
      <c r="S53" s="168">
        <f ca="1">IF($C53-S$1&lt;År1,0,R52*(1-VLOOKUP($A53,[1]Hugst!$R$5:$W$9,MATCH(ROUNDUP((S$1)/10,0)*10,[1]Hugst!$R$4:$W$4,0))))</f>
        <v>0</v>
      </c>
      <c r="T53" s="168">
        <f ca="1">IF($C53-T$1&lt;År1,0,S52*(1-VLOOKUP($A53,[1]Hugst!$R$5:$W$9,MATCH(ROUNDUP((T$1)/10,0)*10,[1]Hugst!$R$4:$W$4,0))))</f>
        <v>0</v>
      </c>
      <c r="U53" s="168">
        <f ca="1">IF($C53-U$1&lt;År1,0,T52*(1-VLOOKUP($A53,[1]Hugst!$R$5:$W$9,MATCH(ROUNDUP((U$1)/10,0)*10,[1]Hugst!$R$4:$W$4,0))))</f>
        <v>0</v>
      </c>
      <c r="V53" s="168">
        <f ca="1">IF($C53-V$1&lt;År1,0,U52*(1-VLOOKUP($A53,[1]Hugst!$R$5:$W$9,MATCH(ROUNDUP((V$1)/10,0)*10,[1]Hugst!$R$4:$W$4,0))))</f>
        <v>0</v>
      </c>
      <c r="W53" s="168">
        <f ca="1">IF($C53-W$1&lt;År1,0,V52*(1-VLOOKUP($A53,[1]Hugst!$R$5:$W$9,MATCH(ROUNDUP((W$1)/10,0)*10,[1]Hugst!$R$4:$W$4,0))))</f>
        <v>0</v>
      </c>
      <c r="X53" s="168">
        <f ca="1">IF($C53-X$1&lt;År1,0,W52*(1-VLOOKUP($A53,[1]Hugst!$R$5:$W$9,MATCH(ROUNDUP((X$1)/10,0)*10,[1]Hugst!$R$4:$W$4,0))))</f>
        <v>0</v>
      </c>
      <c r="Y53" s="168">
        <f ca="1">IF($C53-Y$1&lt;År1,0,X52*(1-VLOOKUP($A53,[1]Hugst!$R$5:$W$9,MATCH(ROUNDUP((Y$1)/10,0)*10,[1]Hugst!$R$4:$W$4,0))))</f>
        <v>0</v>
      </c>
      <c r="Z53" s="168">
        <f ca="1">IF($C53-Z$1&lt;År1,0,Y52*(1-VLOOKUP($A53,[1]Hugst!$R$5:$W$9,MATCH(ROUNDUP((Z$1)/10,0)*10,[1]Hugst!$R$4:$W$4,0))))</f>
        <v>0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*VLOOKUP(A54,Skovbrug!$A$13:$D$17,IF('Skovbrug-alder'!C54&lt;=År2,3,4),FALSE)-IF(C54&gt;2020,SUM(INDEX($C$1:$D$311,MATCH(1,(2020=$C$1:$C$311)*(B54=$B$1:$B$311)*(A54=$A$1:$A$311),0),2):D53),0))</f>
        <v>0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0</v>
      </c>
      <c r="G54" s="168">
        <f ca="1">IF($C54-G$1&lt;År1,0,F53*(1-VLOOKUP($A54,[1]Hugst!$R$5:$W$9,MATCH(ROUNDUP((G$1)/10,0)*10,[1]Hugst!$R$4:$W$4,0))))</f>
        <v>0</v>
      </c>
      <c r="H54" s="168">
        <f ca="1">IF($C54-H$1&lt;År1,0,G53*(1-VLOOKUP($A54,[1]Hugst!$R$5:$W$9,MATCH(ROUNDUP((H$1)/10,0)*10,[1]Hugst!$R$4:$W$4,0))))</f>
        <v>0</v>
      </c>
      <c r="I54" s="168">
        <f ca="1">IF($C54-I$1&lt;År1,0,H53*(1-VLOOKUP($A54,[1]Hugst!$R$5:$W$9,MATCH(ROUNDUP((I$1)/10,0)*10,[1]Hugst!$R$4:$W$4,0))))</f>
        <v>0</v>
      </c>
      <c r="J54" s="168">
        <f ca="1">IF($C54-J$1&lt;År1,0,I53*(1-VLOOKUP($A54,[1]Hugst!$R$5:$W$9,MATCH(ROUNDUP((J$1)/10,0)*10,[1]Hugst!$R$4:$W$4,0))))</f>
        <v>0</v>
      </c>
      <c r="K54" s="168">
        <f ca="1">IF($C54-K$1&lt;År1,0,J53*(1-VLOOKUP($A54,[1]Hugst!$R$5:$W$9,MATCH(ROUNDUP((K$1)/10,0)*10,[1]Hugst!$R$4:$W$4,0))))</f>
        <v>0</v>
      </c>
      <c r="L54" s="168">
        <f ca="1">IF($C54-L$1&lt;År1,0,K53*(1-VLOOKUP($A54,[1]Hugst!$R$5:$W$9,MATCH(ROUNDUP((L$1)/10,0)*10,[1]Hugst!$R$4:$W$4,0))))</f>
        <v>0</v>
      </c>
      <c r="M54" s="168">
        <f ca="1">IF($C54-M$1&lt;År1,0,L53*(1-VLOOKUP($A54,[1]Hugst!$R$5:$W$9,MATCH(ROUNDUP((M$1)/10,0)*10,[1]Hugst!$R$4:$W$4,0))))</f>
        <v>0</v>
      </c>
      <c r="N54" s="168">
        <f ca="1">IF($C54-N$1&lt;År1,0,M53*(1-VLOOKUP($A54,[1]Hugst!$R$5:$W$9,MATCH(ROUNDUP((N$1)/10,0)*10,[1]Hugst!$R$4:$W$4,0))))</f>
        <v>0</v>
      </c>
      <c r="O54" s="168">
        <f ca="1">IF($C54-O$1&lt;År1,0,N53*(1-VLOOKUP($A54,[1]Hugst!$R$5:$W$9,MATCH(ROUNDUP((O$1)/10,0)*10,[1]Hugst!$R$4:$W$4,0))))</f>
        <v>0</v>
      </c>
      <c r="P54" s="168">
        <f ca="1">IF($C54-P$1&lt;År1,0,O53*(1-VLOOKUP($A54,[1]Hugst!$R$5:$W$9,MATCH(ROUNDUP((P$1)/10,0)*10,[1]Hugst!$R$4:$W$4,0))))</f>
        <v>0</v>
      </c>
      <c r="Q54" s="168">
        <f ca="1">IF($C54-Q$1&lt;År1,0,P53*(1-VLOOKUP($A54,[1]Hugst!$R$5:$W$9,MATCH(ROUNDUP((Q$1)/10,0)*10,[1]Hugst!$R$4:$W$4,0))))</f>
        <v>0</v>
      </c>
      <c r="R54" s="168">
        <f ca="1">IF($C54-R$1&lt;År1,0,Q53*(1-VLOOKUP($A54,[1]Hugst!$R$5:$W$9,MATCH(ROUNDUP((R$1)/10,0)*10,[1]Hugst!$R$4:$W$4,0))))</f>
        <v>0</v>
      </c>
      <c r="S54" s="168">
        <f ca="1">IF($C54-S$1&lt;År1,0,R53*(1-VLOOKUP($A54,[1]Hugst!$R$5:$W$9,MATCH(ROUNDUP((S$1)/10,0)*10,[1]Hugst!$R$4:$W$4,0))))</f>
        <v>0</v>
      </c>
      <c r="T54" s="168">
        <f ca="1">IF($C54-T$1&lt;År1,0,S53*(1-VLOOKUP($A54,[1]Hugst!$R$5:$W$9,MATCH(ROUNDUP((T$1)/10,0)*10,[1]Hugst!$R$4:$W$4,0))))</f>
        <v>0</v>
      </c>
      <c r="U54" s="168">
        <f ca="1">IF($C54-U$1&lt;År1,0,T53*(1-VLOOKUP($A54,[1]Hugst!$R$5:$W$9,MATCH(ROUNDUP((U$1)/10,0)*10,[1]Hugst!$R$4:$W$4,0))))</f>
        <v>0</v>
      </c>
      <c r="V54" s="168">
        <f ca="1">IF($C54-V$1&lt;År1,0,U53*(1-VLOOKUP($A54,[1]Hugst!$R$5:$W$9,MATCH(ROUNDUP((V$1)/10,0)*10,[1]Hugst!$R$4:$W$4,0))))</f>
        <v>0</v>
      </c>
      <c r="W54" s="168">
        <f ca="1">IF($C54-W$1&lt;År1,0,V53*(1-VLOOKUP($A54,[1]Hugst!$R$5:$W$9,MATCH(ROUNDUP((W$1)/10,0)*10,[1]Hugst!$R$4:$W$4,0))))</f>
        <v>0</v>
      </c>
      <c r="X54" s="168">
        <f ca="1">IF($C54-X$1&lt;År1,0,W53*(1-VLOOKUP($A54,[1]Hugst!$R$5:$W$9,MATCH(ROUNDUP((X$1)/10,0)*10,[1]Hugst!$R$4:$W$4,0))))</f>
        <v>0</v>
      </c>
      <c r="Y54" s="168">
        <f ca="1">IF($C54-Y$1&lt;År1,0,X53*(1-VLOOKUP($A54,[1]Hugst!$R$5:$W$9,MATCH(ROUNDUP((Y$1)/10,0)*10,[1]Hugst!$R$4:$W$4,0))))</f>
        <v>0</v>
      </c>
      <c r="Z54" s="168">
        <f ca="1">IF($C54-Z$1&lt;År1,0,Y53*(1-VLOOKUP($A54,[1]Hugst!$R$5:$W$9,MATCH(ROUNDUP((Z$1)/10,0)*10,[1]Hugst!$R$4:$W$4,0))))</f>
        <v>0</v>
      </c>
      <c r="AA54" s="168">
        <f ca="1">IF($C54-AA$1&lt;År1,0,Z53*(1-VLOOKUP($A54,[1]Hugst!$R$5:$W$9,MATCH(ROUNDUP((AA$1)/10,0)*10,[1]Hugst!$R$4:$W$4,0))))</f>
        <v>0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*VLOOKUP(A55,Skovbrug!$A$13:$D$17,IF('Skovbrug-alder'!C55&lt;=År2,3,4),FALSE)-IF(C55&gt;2020,SUM(INDEX($C$1:$D$311,MATCH(1,(2020=$C$1:$C$311)*(B55=$B$1:$B$311)*(A55=$A$1:$A$311),0),2):D54),0))</f>
        <v>0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0</v>
      </c>
      <c r="G55" s="168">
        <f ca="1">IF($C55-G$1&lt;År1,0,F54*(1-VLOOKUP($A55,[1]Hugst!$R$5:$W$9,MATCH(ROUNDUP((G$1)/10,0)*10,[1]Hugst!$R$4:$W$4,0))))</f>
        <v>0</v>
      </c>
      <c r="H55" s="168">
        <f ca="1">IF($C55-H$1&lt;År1,0,G54*(1-VLOOKUP($A55,[1]Hugst!$R$5:$W$9,MATCH(ROUNDUP((H$1)/10,0)*10,[1]Hugst!$R$4:$W$4,0))))</f>
        <v>0</v>
      </c>
      <c r="I55" s="168">
        <f ca="1">IF($C55-I$1&lt;År1,0,H54*(1-VLOOKUP($A55,[1]Hugst!$R$5:$W$9,MATCH(ROUNDUP((I$1)/10,0)*10,[1]Hugst!$R$4:$W$4,0))))</f>
        <v>0</v>
      </c>
      <c r="J55" s="168">
        <f ca="1">IF($C55-J$1&lt;År1,0,I54*(1-VLOOKUP($A55,[1]Hugst!$R$5:$W$9,MATCH(ROUNDUP((J$1)/10,0)*10,[1]Hugst!$R$4:$W$4,0))))</f>
        <v>0</v>
      </c>
      <c r="K55" s="168">
        <f ca="1">IF($C55-K$1&lt;År1,0,J54*(1-VLOOKUP($A55,[1]Hugst!$R$5:$W$9,MATCH(ROUNDUP((K$1)/10,0)*10,[1]Hugst!$R$4:$W$4,0))))</f>
        <v>0</v>
      </c>
      <c r="L55" s="168">
        <f ca="1">IF($C55-L$1&lt;År1,0,K54*(1-VLOOKUP($A55,[1]Hugst!$R$5:$W$9,MATCH(ROUNDUP((L$1)/10,0)*10,[1]Hugst!$R$4:$W$4,0))))</f>
        <v>0</v>
      </c>
      <c r="M55" s="168">
        <f ca="1">IF($C55-M$1&lt;År1,0,L54*(1-VLOOKUP($A55,[1]Hugst!$R$5:$W$9,MATCH(ROUNDUP((M$1)/10,0)*10,[1]Hugst!$R$4:$W$4,0))))</f>
        <v>0</v>
      </c>
      <c r="N55" s="168">
        <f ca="1">IF($C55-N$1&lt;År1,0,M54*(1-VLOOKUP($A55,[1]Hugst!$R$5:$W$9,MATCH(ROUNDUP((N$1)/10,0)*10,[1]Hugst!$R$4:$W$4,0))))</f>
        <v>0</v>
      </c>
      <c r="O55" s="168">
        <f ca="1">IF($C55-O$1&lt;År1,0,N54*(1-VLOOKUP($A55,[1]Hugst!$R$5:$W$9,MATCH(ROUNDUP((O$1)/10,0)*10,[1]Hugst!$R$4:$W$4,0))))</f>
        <v>0</v>
      </c>
      <c r="P55" s="168">
        <f ca="1">IF($C55-P$1&lt;År1,0,O54*(1-VLOOKUP($A55,[1]Hugst!$R$5:$W$9,MATCH(ROUNDUP((P$1)/10,0)*10,[1]Hugst!$R$4:$W$4,0))))</f>
        <v>0</v>
      </c>
      <c r="Q55" s="168">
        <f ca="1">IF($C55-Q$1&lt;År1,0,P54*(1-VLOOKUP($A55,[1]Hugst!$R$5:$W$9,MATCH(ROUNDUP((Q$1)/10,0)*10,[1]Hugst!$R$4:$W$4,0))))</f>
        <v>0</v>
      </c>
      <c r="R55" s="168">
        <f ca="1">IF($C55-R$1&lt;År1,0,Q54*(1-VLOOKUP($A55,[1]Hugst!$R$5:$W$9,MATCH(ROUNDUP((R$1)/10,0)*10,[1]Hugst!$R$4:$W$4,0))))</f>
        <v>0</v>
      </c>
      <c r="S55" s="168">
        <f ca="1">IF($C55-S$1&lt;År1,0,R54*(1-VLOOKUP($A55,[1]Hugst!$R$5:$W$9,MATCH(ROUNDUP((S$1)/10,0)*10,[1]Hugst!$R$4:$W$4,0))))</f>
        <v>0</v>
      </c>
      <c r="T55" s="168">
        <f ca="1">IF($C55-T$1&lt;År1,0,S54*(1-VLOOKUP($A55,[1]Hugst!$R$5:$W$9,MATCH(ROUNDUP((T$1)/10,0)*10,[1]Hugst!$R$4:$W$4,0))))</f>
        <v>0</v>
      </c>
      <c r="U55" s="168">
        <f ca="1">IF($C55-U$1&lt;År1,0,T54*(1-VLOOKUP($A55,[1]Hugst!$R$5:$W$9,MATCH(ROUNDUP((U$1)/10,0)*10,[1]Hugst!$R$4:$W$4,0))))</f>
        <v>0</v>
      </c>
      <c r="V55" s="168">
        <f ca="1">IF($C55-V$1&lt;År1,0,U54*(1-VLOOKUP($A55,[1]Hugst!$R$5:$W$9,MATCH(ROUNDUP((V$1)/10,0)*10,[1]Hugst!$R$4:$W$4,0))))</f>
        <v>0</v>
      </c>
      <c r="W55" s="168">
        <f ca="1">IF($C55-W$1&lt;År1,0,V54*(1-VLOOKUP($A55,[1]Hugst!$R$5:$W$9,MATCH(ROUNDUP((W$1)/10,0)*10,[1]Hugst!$R$4:$W$4,0))))</f>
        <v>0</v>
      </c>
      <c r="X55" s="168">
        <f ca="1">IF($C55-X$1&lt;År1,0,W54*(1-VLOOKUP($A55,[1]Hugst!$R$5:$W$9,MATCH(ROUNDUP((X$1)/10,0)*10,[1]Hugst!$R$4:$W$4,0))))</f>
        <v>0</v>
      </c>
      <c r="Y55" s="168">
        <f ca="1">IF($C55-Y$1&lt;År1,0,X54*(1-VLOOKUP($A55,[1]Hugst!$R$5:$W$9,MATCH(ROUNDUP((Y$1)/10,0)*10,[1]Hugst!$R$4:$W$4,0))))</f>
        <v>0</v>
      </c>
      <c r="Z55" s="168">
        <f ca="1">IF($C55-Z$1&lt;År1,0,Y54*(1-VLOOKUP($A55,[1]Hugst!$R$5:$W$9,MATCH(ROUNDUP((Z$1)/10,0)*10,[1]Hugst!$R$4:$W$4,0))))</f>
        <v>0</v>
      </c>
      <c r="AA55" s="168">
        <f ca="1">IF($C55-AA$1&lt;År1,0,Z54*(1-VLOOKUP($A55,[1]Hugst!$R$5:$W$9,MATCH(ROUNDUP((AA$1)/10,0)*10,[1]Hugst!$R$4:$W$4,0))))</f>
        <v>0</v>
      </c>
      <c r="AB55" s="168">
        <f ca="1">IF($C55-AB$1&lt;År1,0,AA54*(1-VLOOKUP($A55,[1]Hugst!$R$5:$W$9,MATCH(ROUNDUP((AB$1)/10,0)*10,[1]Hugst!$R$4:$W$4,0))))</f>
        <v>0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*VLOOKUP(A56,Skovbrug!$A$13:$D$17,IF('Skovbrug-alder'!C56&lt;=År2,3,4),FALSE)-IF(C56&gt;2020,SUM(INDEX($C$1:$D$311,MATCH(1,(2020=$C$1:$C$311)*(B56=$B$1:$B$311)*(A56=$A$1:$A$311),0),2):D55),0))</f>
        <v>0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0</v>
      </c>
      <c r="G56" s="168">
        <f ca="1">IF($C56-G$1&lt;År1,0,F55*(1-VLOOKUP($A56,[1]Hugst!$R$5:$W$9,MATCH(ROUNDUP((G$1)/10,0)*10,[1]Hugst!$R$4:$W$4,0))))</f>
        <v>0</v>
      </c>
      <c r="H56" s="168">
        <f ca="1">IF($C56-H$1&lt;År1,0,G55*(1-VLOOKUP($A56,[1]Hugst!$R$5:$W$9,MATCH(ROUNDUP((H$1)/10,0)*10,[1]Hugst!$R$4:$W$4,0))))</f>
        <v>0</v>
      </c>
      <c r="I56" s="168">
        <f ca="1">IF($C56-I$1&lt;År1,0,H55*(1-VLOOKUP($A56,[1]Hugst!$R$5:$W$9,MATCH(ROUNDUP((I$1)/10,0)*10,[1]Hugst!$R$4:$W$4,0))))</f>
        <v>0</v>
      </c>
      <c r="J56" s="168">
        <f ca="1">IF($C56-J$1&lt;År1,0,I55*(1-VLOOKUP($A56,[1]Hugst!$R$5:$W$9,MATCH(ROUNDUP((J$1)/10,0)*10,[1]Hugst!$R$4:$W$4,0))))</f>
        <v>0</v>
      </c>
      <c r="K56" s="168">
        <f ca="1">IF($C56-K$1&lt;År1,0,J55*(1-VLOOKUP($A56,[1]Hugst!$R$5:$W$9,MATCH(ROUNDUP((K$1)/10,0)*10,[1]Hugst!$R$4:$W$4,0))))</f>
        <v>0</v>
      </c>
      <c r="L56" s="168">
        <f ca="1">IF($C56-L$1&lt;År1,0,K55*(1-VLOOKUP($A56,[1]Hugst!$R$5:$W$9,MATCH(ROUNDUP((L$1)/10,0)*10,[1]Hugst!$R$4:$W$4,0))))</f>
        <v>0</v>
      </c>
      <c r="M56" s="168">
        <f ca="1">IF($C56-M$1&lt;År1,0,L55*(1-VLOOKUP($A56,[1]Hugst!$R$5:$W$9,MATCH(ROUNDUP((M$1)/10,0)*10,[1]Hugst!$R$4:$W$4,0))))</f>
        <v>0</v>
      </c>
      <c r="N56" s="168">
        <f ca="1">IF($C56-N$1&lt;År1,0,M55*(1-VLOOKUP($A56,[1]Hugst!$R$5:$W$9,MATCH(ROUNDUP((N$1)/10,0)*10,[1]Hugst!$R$4:$W$4,0))))</f>
        <v>0</v>
      </c>
      <c r="O56" s="168">
        <f ca="1">IF($C56-O$1&lt;År1,0,N55*(1-VLOOKUP($A56,[1]Hugst!$R$5:$W$9,MATCH(ROUNDUP((O$1)/10,0)*10,[1]Hugst!$R$4:$W$4,0))))</f>
        <v>0</v>
      </c>
      <c r="P56" s="168">
        <f ca="1">IF($C56-P$1&lt;År1,0,O55*(1-VLOOKUP($A56,[1]Hugst!$R$5:$W$9,MATCH(ROUNDUP((P$1)/10,0)*10,[1]Hugst!$R$4:$W$4,0))))</f>
        <v>0</v>
      </c>
      <c r="Q56" s="168">
        <f ca="1">IF($C56-Q$1&lt;År1,0,P55*(1-VLOOKUP($A56,[1]Hugst!$R$5:$W$9,MATCH(ROUNDUP((Q$1)/10,0)*10,[1]Hugst!$R$4:$W$4,0))))</f>
        <v>0</v>
      </c>
      <c r="R56" s="168">
        <f ca="1">IF($C56-R$1&lt;År1,0,Q55*(1-VLOOKUP($A56,[1]Hugst!$R$5:$W$9,MATCH(ROUNDUP((R$1)/10,0)*10,[1]Hugst!$R$4:$W$4,0))))</f>
        <v>0</v>
      </c>
      <c r="S56" s="168">
        <f ca="1">IF($C56-S$1&lt;År1,0,R55*(1-VLOOKUP($A56,[1]Hugst!$R$5:$W$9,MATCH(ROUNDUP((S$1)/10,0)*10,[1]Hugst!$R$4:$W$4,0))))</f>
        <v>0</v>
      </c>
      <c r="T56" s="168">
        <f ca="1">IF($C56-T$1&lt;År1,0,S55*(1-VLOOKUP($A56,[1]Hugst!$R$5:$W$9,MATCH(ROUNDUP((T$1)/10,0)*10,[1]Hugst!$R$4:$W$4,0))))</f>
        <v>0</v>
      </c>
      <c r="U56" s="168">
        <f ca="1">IF($C56-U$1&lt;År1,0,T55*(1-VLOOKUP($A56,[1]Hugst!$R$5:$W$9,MATCH(ROUNDUP((U$1)/10,0)*10,[1]Hugst!$R$4:$W$4,0))))</f>
        <v>0</v>
      </c>
      <c r="V56" s="168">
        <f ca="1">IF($C56-V$1&lt;År1,0,U55*(1-VLOOKUP($A56,[1]Hugst!$R$5:$W$9,MATCH(ROUNDUP((V$1)/10,0)*10,[1]Hugst!$R$4:$W$4,0))))</f>
        <v>0</v>
      </c>
      <c r="W56" s="168">
        <f ca="1">IF($C56-W$1&lt;År1,0,V55*(1-VLOOKUP($A56,[1]Hugst!$R$5:$W$9,MATCH(ROUNDUP((W$1)/10,0)*10,[1]Hugst!$R$4:$W$4,0))))</f>
        <v>0</v>
      </c>
      <c r="X56" s="168">
        <f ca="1">IF($C56-X$1&lt;År1,0,W55*(1-VLOOKUP($A56,[1]Hugst!$R$5:$W$9,MATCH(ROUNDUP((X$1)/10,0)*10,[1]Hugst!$R$4:$W$4,0))))</f>
        <v>0</v>
      </c>
      <c r="Y56" s="168">
        <f ca="1">IF($C56-Y$1&lt;År1,0,X55*(1-VLOOKUP($A56,[1]Hugst!$R$5:$W$9,MATCH(ROUNDUP((Y$1)/10,0)*10,[1]Hugst!$R$4:$W$4,0))))</f>
        <v>0</v>
      </c>
      <c r="Z56" s="168">
        <f ca="1">IF($C56-Z$1&lt;År1,0,Y55*(1-VLOOKUP($A56,[1]Hugst!$R$5:$W$9,MATCH(ROUNDUP((Z$1)/10,0)*10,[1]Hugst!$R$4:$W$4,0))))</f>
        <v>0</v>
      </c>
      <c r="AA56" s="168">
        <f ca="1">IF($C56-AA$1&lt;År1,0,Z55*(1-VLOOKUP($A56,[1]Hugst!$R$5:$W$9,MATCH(ROUNDUP((AA$1)/10,0)*10,[1]Hugst!$R$4:$W$4,0))))</f>
        <v>0</v>
      </c>
      <c r="AB56" s="168">
        <f ca="1">IF($C56-AB$1&lt;År1,0,AA55*(1-VLOOKUP($A56,[1]Hugst!$R$5:$W$9,MATCH(ROUNDUP((AB$1)/10,0)*10,[1]Hugst!$R$4:$W$4,0))))</f>
        <v>0</v>
      </c>
      <c r="AC56" s="168">
        <f ca="1">IF($C56-AC$1&lt;År1,0,AB55*(1-VLOOKUP($A56,[1]Hugst!$R$5:$W$9,MATCH(ROUNDUP((AC$1)/10,0)*10,[1]Hugst!$R$4:$W$4,0))))</f>
        <v>0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*VLOOKUP(A57,Skovbrug!$A$13:$D$17,IF('Skovbrug-alder'!C57&lt;=År2,3,4),FALSE)-IF(C57&gt;2020,SUM(INDEX($C$1:$D$311,MATCH(1,(2020=$C$1:$C$311)*(B57=$B$1:$B$311)*(A57=$A$1:$A$311),0),2):D56),0))</f>
        <v>0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0</v>
      </c>
      <c r="G57" s="168">
        <f ca="1">IF($C57-G$1&lt;År1,0,F56*(1-VLOOKUP($A57,[1]Hugst!$R$5:$W$9,MATCH(ROUNDUP((G$1)/10,0)*10,[1]Hugst!$R$4:$W$4,0))))</f>
        <v>0</v>
      </c>
      <c r="H57" s="168">
        <f ca="1">IF($C57-H$1&lt;År1,0,G56*(1-VLOOKUP($A57,[1]Hugst!$R$5:$W$9,MATCH(ROUNDUP((H$1)/10,0)*10,[1]Hugst!$R$4:$W$4,0))))</f>
        <v>0</v>
      </c>
      <c r="I57" s="168">
        <f ca="1">IF($C57-I$1&lt;År1,0,H56*(1-VLOOKUP($A57,[1]Hugst!$R$5:$W$9,MATCH(ROUNDUP((I$1)/10,0)*10,[1]Hugst!$R$4:$W$4,0))))</f>
        <v>0</v>
      </c>
      <c r="J57" s="168">
        <f ca="1">IF($C57-J$1&lt;År1,0,I56*(1-VLOOKUP($A57,[1]Hugst!$R$5:$W$9,MATCH(ROUNDUP((J$1)/10,0)*10,[1]Hugst!$R$4:$W$4,0))))</f>
        <v>0</v>
      </c>
      <c r="K57" s="168">
        <f ca="1">IF($C57-K$1&lt;År1,0,J56*(1-VLOOKUP($A57,[1]Hugst!$R$5:$W$9,MATCH(ROUNDUP((K$1)/10,0)*10,[1]Hugst!$R$4:$W$4,0))))</f>
        <v>0</v>
      </c>
      <c r="L57" s="168">
        <f ca="1">IF($C57-L$1&lt;År1,0,K56*(1-VLOOKUP($A57,[1]Hugst!$R$5:$W$9,MATCH(ROUNDUP((L$1)/10,0)*10,[1]Hugst!$R$4:$W$4,0))))</f>
        <v>0</v>
      </c>
      <c r="M57" s="168">
        <f ca="1">IF($C57-M$1&lt;År1,0,L56*(1-VLOOKUP($A57,[1]Hugst!$R$5:$W$9,MATCH(ROUNDUP((M$1)/10,0)*10,[1]Hugst!$R$4:$W$4,0))))</f>
        <v>0</v>
      </c>
      <c r="N57" s="168">
        <f ca="1">IF($C57-N$1&lt;År1,0,M56*(1-VLOOKUP($A57,[1]Hugst!$R$5:$W$9,MATCH(ROUNDUP((N$1)/10,0)*10,[1]Hugst!$R$4:$W$4,0))))</f>
        <v>0</v>
      </c>
      <c r="O57" s="168">
        <f ca="1">IF($C57-O$1&lt;År1,0,N56*(1-VLOOKUP($A57,[1]Hugst!$R$5:$W$9,MATCH(ROUNDUP((O$1)/10,0)*10,[1]Hugst!$R$4:$W$4,0))))</f>
        <v>0</v>
      </c>
      <c r="P57" s="168">
        <f ca="1">IF($C57-P$1&lt;År1,0,O56*(1-VLOOKUP($A57,[1]Hugst!$R$5:$W$9,MATCH(ROUNDUP((P$1)/10,0)*10,[1]Hugst!$R$4:$W$4,0))))</f>
        <v>0</v>
      </c>
      <c r="Q57" s="168">
        <f ca="1">IF($C57-Q$1&lt;År1,0,P56*(1-VLOOKUP($A57,[1]Hugst!$R$5:$W$9,MATCH(ROUNDUP((Q$1)/10,0)*10,[1]Hugst!$R$4:$W$4,0))))</f>
        <v>0</v>
      </c>
      <c r="R57" s="168">
        <f ca="1">IF($C57-R$1&lt;År1,0,Q56*(1-VLOOKUP($A57,[1]Hugst!$R$5:$W$9,MATCH(ROUNDUP((R$1)/10,0)*10,[1]Hugst!$R$4:$W$4,0))))</f>
        <v>0</v>
      </c>
      <c r="S57" s="168">
        <f ca="1">IF($C57-S$1&lt;År1,0,R56*(1-VLOOKUP($A57,[1]Hugst!$R$5:$W$9,MATCH(ROUNDUP((S$1)/10,0)*10,[1]Hugst!$R$4:$W$4,0))))</f>
        <v>0</v>
      </c>
      <c r="T57" s="168">
        <f ca="1">IF($C57-T$1&lt;År1,0,S56*(1-VLOOKUP($A57,[1]Hugst!$R$5:$W$9,MATCH(ROUNDUP((T$1)/10,0)*10,[1]Hugst!$R$4:$W$4,0))))</f>
        <v>0</v>
      </c>
      <c r="U57" s="168">
        <f ca="1">IF($C57-U$1&lt;År1,0,T56*(1-VLOOKUP($A57,[1]Hugst!$R$5:$W$9,MATCH(ROUNDUP((U$1)/10,0)*10,[1]Hugst!$R$4:$W$4,0))))</f>
        <v>0</v>
      </c>
      <c r="V57" s="168">
        <f ca="1">IF($C57-V$1&lt;År1,0,U56*(1-VLOOKUP($A57,[1]Hugst!$R$5:$W$9,MATCH(ROUNDUP((V$1)/10,0)*10,[1]Hugst!$R$4:$W$4,0))))</f>
        <v>0</v>
      </c>
      <c r="W57" s="168">
        <f ca="1">IF($C57-W$1&lt;År1,0,V56*(1-VLOOKUP($A57,[1]Hugst!$R$5:$W$9,MATCH(ROUNDUP((W$1)/10,0)*10,[1]Hugst!$R$4:$W$4,0))))</f>
        <v>0</v>
      </c>
      <c r="X57" s="168">
        <f ca="1">IF($C57-X$1&lt;År1,0,W56*(1-VLOOKUP($A57,[1]Hugst!$R$5:$W$9,MATCH(ROUNDUP((X$1)/10,0)*10,[1]Hugst!$R$4:$W$4,0))))</f>
        <v>0</v>
      </c>
      <c r="Y57" s="168">
        <f ca="1">IF($C57-Y$1&lt;År1,0,X56*(1-VLOOKUP($A57,[1]Hugst!$R$5:$W$9,MATCH(ROUNDUP((Y$1)/10,0)*10,[1]Hugst!$R$4:$W$4,0))))</f>
        <v>0</v>
      </c>
      <c r="Z57" s="168">
        <f ca="1">IF($C57-Z$1&lt;År1,0,Y56*(1-VLOOKUP($A57,[1]Hugst!$R$5:$W$9,MATCH(ROUNDUP((Z$1)/10,0)*10,[1]Hugst!$R$4:$W$4,0))))</f>
        <v>0</v>
      </c>
      <c r="AA57" s="168">
        <f ca="1">IF($C57-AA$1&lt;År1,0,Z56*(1-VLOOKUP($A57,[1]Hugst!$R$5:$W$9,MATCH(ROUNDUP((AA$1)/10,0)*10,[1]Hugst!$R$4:$W$4,0))))</f>
        <v>0</v>
      </c>
      <c r="AB57" s="168">
        <f ca="1">IF($C57-AB$1&lt;År1,0,AA56*(1-VLOOKUP($A57,[1]Hugst!$R$5:$W$9,MATCH(ROUNDUP((AB$1)/10,0)*10,[1]Hugst!$R$4:$W$4,0))))</f>
        <v>0</v>
      </c>
      <c r="AC57" s="168">
        <f ca="1">IF($C57-AC$1&lt;År1,0,AB56*(1-VLOOKUP($A57,[1]Hugst!$R$5:$W$9,MATCH(ROUNDUP((AC$1)/10,0)*10,[1]Hugst!$R$4:$W$4,0))))</f>
        <v>0</v>
      </c>
      <c r="AD57" s="168">
        <f ca="1">IF($C57-AD$1&lt;År1,0,AC56*(1-VLOOKUP($A57,[1]Hugst!$R$5:$W$9,MATCH(ROUNDUP((AD$1)/10,0)*10,[1]Hugst!$R$4:$W$4,0))))</f>
        <v>0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*VLOOKUP(A58,Skovbrug!$A$13:$D$17,IF('Skovbrug-alder'!C58&lt;=År2,3,4),FALSE)-IF(C58&gt;2020,SUM(INDEX($C$1:$D$311,MATCH(1,(2020=$C$1:$C$311)*(B58=$B$1:$B$311)*(A58=$A$1:$A$311),0),2):D57),0))</f>
        <v>0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0</v>
      </c>
      <c r="G58" s="168">
        <f ca="1">IF($C58-G$1&lt;År1,0,F57*(1-VLOOKUP($A58,[1]Hugst!$R$5:$W$9,MATCH(ROUNDUP((G$1)/10,0)*10,[1]Hugst!$R$4:$W$4,0))))</f>
        <v>0</v>
      </c>
      <c r="H58" s="168">
        <f ca="1">IF($C58-H$1&lt;År1,0,G57*(1-VLOOKUP($A58,[1]Hugst!$R$5:$W$9,MATCH(ROUNDUP((H$1)/10,0)*10,[1]Hugst!$R$4:$W$4,0))))</f>
        <v>0</v>
      </c>
      <c r="I58" s="168">
        <f ca="1">IF($C58-I$1&lt;År1,0,H57*(1-VLOOKUP($A58,[1]Hugst!$R$5:$W$9,MATCH(ROUNDUP((I$1)/10,0)*10,[1]Hugst!$R$4:$W$4,0))))</f>
        <v>0</v>
      </c>
      <c r="J58" s="168">
        <f ca="1">IF($C58-J$1&lt;År1,0,I57*(1-VLOOKUP($A58,[1]Hugst!$R$5:$W$9,MATCH(ROUNDUP((J$1)/10,0)*10,[1]Hugst!$R$4:$W$4,0))))</f>
        <v>0</v>
      </c>
      <c r="K58" s="168">
        <f ca="1">IF($C58-K$1&lt;År1,0,J57*(1-VLOOKUP($A58,[1]Hugst!$R$5:$W$9,MATCH(ROUNDUP((K$1)/10,0)*10,[1]Hugst!$R$4:$W$4,0))))</f>
        <v>0</v>
      </c>
      <c r="L58" s="168">
        <f ca="1">IF($C58-L$1&lt;År1,0,K57*(1-VLOOKUP($A58,[1]Hugst!$R$5:$W$9,MATCH(ROUNDUP((L$1)/10,0)*10,[1]Hugst!$R$4:$W$4,0))))</f>
        <v>0</v>
      </c>
      <c r="M58" s="168">
        <f ca="1">IF($C58-M$1&lt;År1,0,L57*(1-VLOOKUP($A58,[1]Hugst!$R$5:$W$9,MATCH(ROUNDUP((M$1)/10,0)*10,[1]Hugst!$R$4:$W$4,0))))</f>
        <v>0</v>
      </c>
      <c r="N58" s="168">
        <f ca="1">IF($C58-N$1&lt;År1,0,M57*(1-VLOOKUP($A58,[1]Hugst!$R$5:$W$9,MATCH(ROUNDUP((N$1)/10,0)*10,[1]Hugst!$R$4:$W$4,0))))</f>
        <v>0</v>
      </c>
      <c r="O58" s="168">
        <f ca="1">IF($C58-O$1&lt;År1,0,N57*(1-VLOOKUP($A58,[1]Hugst!$R$5:$W$9,MATCH(ROUNDUP((O$1)/10,0)*10,[1]Hugst!$R$4:$W$4,0))))</f>
        <v>0</v>
      </c>
      <c r="P58" s="168">
        <f ca="1">IF($C58-P$1&lt;År1,0,O57*(1-VLOOKUP($A58,[1]Hugst!$R$5:$W$9,MATCH(ROUNDUP((P$1)/10,0)*10,[1]Hugst!$R$4:$W$4,0))))</f>
        <v>0</v>
      </c>
      <c r="Q58" s="168">
        <f ca="1">IF($C58-Q$1&lt;År1,0,P57*(1-VLOOKUP($A58,[1]Hugst!$R$5:$W$9,MATCH(ROUNDUP((Q$1)/10,0)*10,[1]Hugst!$R$4:$W$4,0))))</f>
        <v>0</v>
      </c>
      <c r="R58" s="168">
        <f ca="1">IF($C58-R$1&lt;År1,0,Q57*(1-VLOOKUP($A58,[1]Hugst!$R$5:$W$9,MATCH(ROUNDUP((R$1)/10,0)*10,[1]Hugst!$R$4:$W$4,0))))</f>
        <v>0</v>
      </c>
      <c r="S58" s="168">
        <f ca="1">IF($C58-S$1&lt;År1,0,R57*(1-VLOOKUP($A58,[1]Hugst!$R$5:$W$9,MATCH(ROUNDUP((S$1)/10,0)*10,[1]Hugst!$R$4:$W$4,0))))</f>
        <v>0</v>
      </c>
      <c r="T58" s="168">
        <f ca="1">IF($C58-T$1&lt;År1,0,S57*(1-VLOOKUP($A58,[1]Hugst!$R$5:$W$9,MATCH(ROUNDUP((T$1)/10,0)*10,[1]Hugst!$R$4:$W$4,0))))</f>
        <v>0</v>
      </c>
      <c r="U58" s="168">
        <f ca="1">IF($C58-U$1&lt;År1,0,T57*(1-VLOOKUP($A58,[1]Hugst!$R$5:$W$9,MATCH(ROUNDUP((U$1)/10,0)*10,[1]Hugst!$R$4:$W$4,0))))</f>
        <v>0</v>
      </c>
      <c r="V58" s="168">
        <f ca="1">IF($C58-V$1&lt;År1,0,U57*(1-VLOOKUP($A58,[1]Hugst!$R$5:$W$9,MATCH(ROUNDUP((V$1)/10,0)*10,[1]Hugst!$R$4:$W$4,0))))</f>
        <v>0</v>
      </c>
      <c r="W58" s="168">
        <f ca="1">IF($C58-W$1&lt;År1,0,V57*(1-VLOOKUP($A58,[1]Hugst!$R$5:$W$9,MATCH(ROUNDUP((W$1)/10,0)*10,[1]Hugst!$R$4:$W$4,0))))</f>
        <v>0</v>
      </c>
      <c r="X58" s="168">
        <f ca="1">IF($C58-X$1&lt;År1,0,W57*(1-VLOOKUP($A58,[1]Hugst!$R$5:$W$9,MATCH(ROUNDUP((X$1)/10,0)*10,[1]Hugst!$R$4:$W$4,0))))</f>
        <v>0</v>
      </c>
      <c r="Y58" s="168">
        <f ca="1">IF($C58-Y$1&lt;År1,0,X57*(1-VLOOKUP($A58,[1]Hugst!$R$5:$W$9,MATCH(ROUNDUP((Y$1)/10,0)*10,[1]Hugst!$R$4:$W$4,0))))</f>
        <v>0</v>
      </c>
      <c r="Z58" s="168">
        <f ca="1">IF($C58-Z$1&lt;År1,0,Y57*(1-VLOOKUP($A58,[1]Hugst!$R$5:$W$9,MATCH(ROUNDUP((Z$1)/10,0)*10,[1]Hugst!$R$4:$W$4,0))))</f>
        <v>0</v>
      </c>
      <c r="AA58" s="168">
        <f ca="1">IF($C58-AA$1&lt;År1,0,Z57*(1-VLOOKUP($A58,[1]Hugst!$R$5:$W$9,MATCH(ROUNDUP((AA$1)/10,0)*10,[1]Hugst!$R$4:$W$4,0))))</f>
        <v>0</v>
      </c>
      <c r="AB58" s="168">
        <f ca="1">IF($C58-AB$1&lt;År1,0,AA57*(1-VLOOKUP($A58,[1]Hugst!$R$5:$W$9,MATCH(ROUNDUP((AB$1)/10,0)*10,[1]Hugst!$R$4:$W$4,0))))</f>
        <v>0</v>
      </c>
      <c r="AC58" s="168">
        <f ca="1">IF($C58-AC$1&lt;År1,0,AB57*(1-VLOOKUP($A58,[1]Hugst!$R$5:$W$9,MATCH(ROUNDUP((AC$1)/10,0)*10,[1]Hugst!$R$4:$W$4,0))))</f>
        <v>0</v>
      </c>
      <c r="AD58" s="168">
        <f ca="1">IF($C58-AD$1&lt;År1,0,AC57*(1-VLOOKUP($A58,[1]Hugst!$R$5:$W$9,MATCH(ROUNDUP((AD$1)/10,0)*10,[1]Hugst!$R$4:$W$4,0))))</f>
        <v>0</v>
      </c>
      <c r="AE58" s="168">
        <f ca="1">IF($C58-AE$1&lt;År1,0,AD57*(1-VLOOKUP($A58,[1]Hugst!$R$5:$W$9,MATCH(ROUNDUP((AE$1)/10,0)*10,[1]Hugst!$R$4:$W$4,0))))</f>
        <v>0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*VLOOKUP(A59,Skovbrug!$A$13:$D$17,IF('Skovbrug-alder'!C59&lt;=År2,3,4),FALSE)-IF(C59&gt;2020,SUM(INDEX($C$1:$D$311,MATCH(1,(2020=$C$1:$C$311)*(B59=$B$1:$B$311)*(A59=$A$1:$A$311),0),2):D58),0))</f>
        <v>0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0</v>
      </c>
      <c r="G59" s="168">
        <f ca="1">IF($C59-G$1&lt;År1,0,F58*(1-VLOOKUP($A59,[1]Hugst!$R$5:$W$9,MATCH(ROUNDUP((G$1)/10,0)*10,[1]Hugst!$R$4:$W$4,0))))</f>
        <v>0</v>
      </c>
      <c r="H59" s="168">
        <f ca="1">IF($C59-H$1&lt;År1,0,G58*(1-VLOOKUP($A59,[1]Hugst!$R$5:$W$9,MATCH(ROUNDUP((H$1)/10,0)*10,[1]Hugst!$R$4:$W$4,0))))</f>
        <v>0</v>
      </c>
      <c r="I59" s="168">
        <f ca="1">IF($C59-I$1&lt;År1,0,H58*(1-VLOOKUP($A59,[1]Hugst!$R$5:$W$9,MATCH(ROUNDUP((I$1)/10,0)*10,[1]Hugst!$R$4:$W$4,0))))</f>
        <v>0</v>
      </c>
      <c r="J59" s="168">
        <f ca="1">IF($C59-J$1&lt;År1,0,I58*(1-VLOOKUP($A59,[1]Hugst!$R$5:$W$9,MATCH(ROUNDUP((J$1)/10,0)*10,[1]Hugst!$R$4:$W$4,0))))</f>
        <v>0</v>
      </c>
      <c r="K59" s="168">
        <f ca="1">IF($C59-K$1&lt;År1,0,J58*(1-VLOOKUP($A59,[1]Hugst!$R$5:$W$9,MATCH(ROUNDUP((K$1)/10,0)*10,[1]Hugst!$R$4:$W$4,0))))</f>
        <v>0</v>
      </c>
      <c r="L59" s="168">
        <f ca="1">IF($C59-L$1&lt;År1,0,K58*(1-VLOOKUP($A59,[1]Hugst!$R$5:$W$9,MATCH(ROUNDUP((L$1)/10,0)*10,[1]Hugst!$R$4:$W$4,0))))</f>
        <v>0</v>
      </c>
      <c r="M59" s="168">
        <f ca="1">IF($C59-M$1&lt;År1,0,L58*(1-VLOOKUP($A59,[1]Hugst!$R$5:$W$9,MATCH(ROUNDUP((M$1)/10,0)*10,[1]Hugst!$R$4:$W$4,0))))</f>
        <v>0</v>
      </c>
      <c r="N59" s="168">
        <f ca="1">IF($C59-N$1&lt;År1,0,M58*(1-VLOOKUP($A59,[1]Hugst!$R$5:$W$9,MATCH(ROUNDUP((N$1)/10,0)*10,[1]Hugst!$R$4:$W$4,0))))</f>
        <v>0</v>
      </c>
      <c r="O59" s="168">
        <f ca="1">IF($C59-O$1&lt;År1,0,N58*(1-VLOOKUP($A59,[1]Hugst!$R$5:$W$9,MATCH(ROUNDUP((O$1)/10,0)*10,[1]Hugst!$R$4:$W$4,0))))</f>
        <v>0</v>
      </c>
      <c r="P59" s="168">
        <f ca="1">IF($C59-P$1&lt;År1,0,O58*(1-VLOOKUP($A59,[1]Hugst!$R$5:$W$9,MATCH(ROUNDUP((P$1)/10,0)*10,[1]Hugst!$R$4:$W$4,0))))</f>
        <v>0</v>
      </c>
      <c r="Q59" s="168">
        <f ca="1">IF($C59-Q$1&lt;År1,0,P58*(1-VLOOKUP($A59,[1]Hugst!$R$5:$W$9,MATCH(ROUNDUP((Q$1)/10,0)*10,[1]Hugst!$R$4:$W$4,0))))</f>
        <v>0</v>
      </c>
      <c r="R59" s="168">
        <f ca="1">IF($C59-R$1&lt;År1,0,Q58*(1-VLOOKUP($A59,[1]Hugst!$R$5:$W$9,MATCH(ROUNDUP((R$1)/10,0)*10,[1]Hugst!$R$4:$W$4,0))))</f>
        <v>0</v>
      </c>
      <c r="S59" s="168">
        <f ca="1">IF($C59-S$1&lt;År1,0,R58*(1-VLOOKUP($A59,[1]Hugst!$R$5:$W$9,MATCH(ROUNDUP((S$1)/10,0)*10,[1]Hugst!$R$4:$W$4,0))))</f>
        <v>0</v>
      </c>
      <c r="T59" s="168">
        <f ca="1">IF($C59-T$1&lt;År1,0,S58*(1-VLOOKUP($A59,[1]Hugst!$R$5:$W$9,MATCH(ROUNDUP((T$1)/10,0)*10,[1]Hugst!$R$4:$W$4,0))))</f>
        <v>0</v>
      </c>
      <c r="U59" s="168">
        <f ca="1">IF($C59-U$1&lt;År1,0,T58*(1-VLOOKUP($A59,[1]Hugst!$R$5:$W$9,MATCH(ROUNDUP((U$1)/10,0)*10,[1]Hugst!$R$4:$W$4,0))))</f>
        <v>0</v>
      </c>
      <c r="V59" s="168">
        <f ca="1">IF($C59-V$1&lt;År1,0,U58*(1-VLOOKUP($A59,[1]Hugst!$R$5:$W$9,MATCH(ROUNDUP((V$1)/10,0)*10,[1]Hugst!$R$4:$W$4,0))))</f>
        <v>0</v>
      </c>
      <c r="W59" s="168">
        <f ca="1">IF($C59-W$1&lt;År1,0,V58*(1-VLOOKUP($A59,[1]Hugst!$R$5:$W$9,MATCH(ROUNDUP((W$1)/10,0)*10,[1]Hugst!$R$4:$W$4,0))))</f>
        <v>0</v>
      </c>
      <c r="X59" s="168">
        <f ca="1">IF($C59-X$1&lt;År1,0,W58*(1-VLOOKUP($A59,[1]Hugst!$R$5:$W$9,MATCH(ROUNDUP((X$1)/10,0)*10,[1]Hugst!$R$4:$W$4,0))))</f>
        <v>0</v>
      </c>
      <c r="Y59" s="168">
        <f ca="1">IF($C59-Y$1&lt;År1,0,X58*(1-VLOOKUP($A59,[1]Hugst!$R$5:$W$9,MATCH(ROUNDUP((Y$1)/10,0)*10,[1]Hugst!$R$4:$W$4,0))))</f>
        <v>0</v>
      </c>
      <c r="Z59" s="168">
        <f ca="1">IF($C59-Z$1&lt;År1,0,Y58*(1-VLOOKUP($A59,[1]Hugst!$R$5:$W$9,MATCH(ROUNDUP((Z$1)/10,0)*10,[1]Hugst!$R$4:$W$4,0))))</f>
        <v>0</v>
      </c>
      <c r="AA59" s="168">
        <f ca="1">IF($C59-AA$1&lt;År1,0,Z58*(1-VLOOKUP($A59,[1]Hugst!$R$5:$W$9,MATCH(ROUNDUP((AA$1)/10,0)*10,[1]Hugst!$R$4:$W$4,0))))</f>
        <v>0</v>
      </c>
      <c r="AB59" s="168">
        <f ca="1">IF($C59-AB$1&lt;År1,0,AA58*(1-VLOOKUP($A59,[1]Hugst!$R$5:$W$9,MATCH(ROUNDUP((AB$1)/10,0)*10,[1]Hugst!$R$4:$W$4,0))))</f>
        <v>0</v>
      </c>
      <c r="AC59" s="168">
        <f ca="1">IF($C59-AC$1&lt;År1,0,AB58*(1-VLOOKUP($A59,[1]Hugst!$R$5:$W$9,MATCH(ROUNDUP((AC$1)/10,0)*10,[1]Hugst!$R$4:$W$4,0))))</f>
        <v>0</v>
      </c>
      <c r="AD59" s="168">
        <f ca="1">IF($C59-AD$1&lt;År1,0,AC58*(1-VLOOKUP($A59,[1]Hugst!$R$5:$W$9,MATCH(ROUNDUP((AD$1)/10,0)*10,[1]Hugst!$R$4:$W$4,0))))</f>
        <v>0</v>
      </c>
      <c r="AE59" s="168">
        <f ca="1">IF($C59-AE$1&lt;År1,0,AD58*(1-VLOOKUP($A59,[1]Hugst!$R$5:$W$9,MATCH(ROUNDUP((AE$1)/10,0)*10,[1]Hugst!$R$4:$W$4,0))))</f>
        <v>0</v>
      </c>
      <c r="AF59" s="168">
        <f ca="1">IF($C59-AF$1&lt;År1,0,AE58*(1-VLOOKUP($A59,[1]Hugst!$R$5:$W$9,MATCH(ROUNDUP((AF$1)/10,0)*10,[1]Hugst!$R$4:$W$4,0))))</f>
        <v>0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*VLOOKUP(A60,Skovbrug!$A$13:$D$17,IF('Skovbrug-alder'!C60&lt;=År2,3,4),FALSE)-IF(C60&gt;2020,SUM(INDEX($C$1:$D$311,MATCH(1,(2020=$C$1:$C$311)*(B60=$B$1:$B$311)*(A60=$A$1:$A$311),0),2):D59),0))</f>
        <v>0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0</v>
      </c>
      <c r="G60" s="168">
        <f ca="1">IF($C60-G$1&lt;År1,0,F59*(1-VLOOKUP($A60,[1]Hugst!$R$5:$W$9,MATCH(ROUNDUP((G$1)/10,0)*10,[1]Hugst!$R$4:$W$4,0))))</f>
        <v>0</v>
      </c>
      <c r="H60" s="168">
        <f ca="1">IF($C60-H$1&lt;År1,0,G59*(1-VLOOKUP($A60,[1]Hugst!$R$5:$W$9,MATCH(ROUNDUP((H$1)/10,0)*10,[1]Hugst!$R$4:$W$4,0))))</f>
        <v>0</v>
      </c>
      <c r="I60" s="168">
        <f ca="1">IF($C60-I$1&lt;År1,0,H59*(1-VLOOKUP($A60,[1]Hugst!$R$5:$W$9,MATCH(ROUNDUP((I$1)/10,0)*10,[1]Hugst!$R$4:$W$4,0))))</f>
        <v>0</v>
      </c>
      <c r="J60" s="168">
        <f ca="1">IF($C60-J$1&lt;År1,0,I59*(1-VLOOKUP($A60,[1]Hugst!$R$5:$W$9,MATCH(ROUNDUP((J$1)/10,0)*10,[1]Hugst!$R$4:$W$4,0))))</f>
        <v>0</v>
      </c>
      <c r="K60" s="168">
        <f ca="1">IF($C60-K$1&lt;År1,0,J59*(1-VLOOKUP($A60,[1]Hugst!$R$5:$W$9,MATCH(ROUNDUP((K$1)/10,0)*10,[1]Hugst!$R$4:$W$4,0))))</f>
        <v>0</v>
      </c>
      <c r="L60" s="168">
        <f ca="1">IF($C60-L$1&lt;År1,0,K59*(1-VLOOKUP($A60,[1]Hugst!$R$5:$W$9,MATCH(ROUNDUP((L$1)/10,0)*10,[1]Hugst!$R$4:$W$4,0))))</f>
        <v>0</v>
      </c>
      <c r="M60" s="168">
        <f ca="1">IF($C60-M$1&lt;År1,0,L59*(1-VLOOKUP($A60,[1]Hugst!$R$5:$W$9,MATCH(ROUNDUP((M$1)/10,0)*10,[1]Hugst!$R$4:$W$4,0))))</f>
        <v>0</v>
      </c>
      <c r="N60" s="168">
        <f ca="1">IF($C60-N$1&lt;År1,0,M59*(1-VLOOKUP($A60,[1]Hugst!$R$5:$W$9,MATCH(ROUNDUP((N$1)/10,0)*10,[1]Hugst!$R$4:$W$4,0))))</f>
        <v>0</v>
      </c>
      <c r="O60" s="168">
        <f ca="1">IF($C60-O$1&lt;År1,0,N59*(1-VLOOKUP($A60,[1]Hugst!$R$5:$W$9,MATCH(ROUNDUP((O$1)/10,0)*10,[1]Hugst!$R$4:$W$4,0))))</f>
        <v>0</v>
      </c>
      <c r="P60" s="168">
        <f ca="1">IF($C60-P$1&lt;År1,0,O59*(1-VLOOKUP($A60,[1]Hugst!$R$5:$W$9,MATCH(ROUNDUP((P$1)/10,0)*10,[1]Hugst!$R$4:$W$4,0))))</f>
        <v>0</v>
      </c>
      <c r="Q60" s="168">
        <f ca="1">IF($C60-Q$1&lt;År1,0,P59*(1-VLOOKUP($A60,[1]Hugst!$R$5:$W$9,MATCH(ROUNDUP((Q$1)/10,0)*10,[1]Hugst!$R$4:$W$4,0))))</f>
        <v>0</v>
      </c>
      <c r="R60" s="168">
        <f ca="1">IF($C60-R$1&lt;År1,0,Q59*(1-VLOOKUP($A60,[1]Hugst!$R$5:$W$9,MATCH(ROUNDUP((R$1)/10,0)*10,[1]Hugst!$R$4:$W$4,0))))</f>
        <v>0</v>
      </c>
      <c r="S60" s="168">
        <f ca="1">IF($C60-S$1&lt;År1,0,R59*(1-VLOOKUP($A60,[1]Hugst!$R$5:$W$9,MATCH(ROUNDUP((S$1)/10,0)*10,[1]Hugst!$R$4:$W$4,0))))</f>
        <v>0</v>
      </c>
      <c r="T60" s="168">
        <f ca="1">IF($C60-T$1&lt;År1,0,S59*(1-VLOOKUP($A60,[1]Hugst!$R$5:$W$9,MATCH(ROUNDUP((T$1)/10,0)*10,[1]Hugst!$R$4:$W$4,0))))</f>
        <v>0</v>
      </c>
      <c r="U60" s="168">
        <f ca="1">IF($C60-U$1&lt;År1,0,T59*(1-VLOOKUP($A60,[1]Hugst!$R$5:$W$9,MATCH(ROUNDUP((U$1)/10,0)*10,[1]Hugst!$R$4:$W$4,0))))</f>
        <v>0</v>
      </c>
      <c r="V60" s="168">
        <f ca="1">IF($C60-V$1&lt;År1,0,U59*(1-VLOOKUP($A60,[1]Hugst!$R$5:$W$9,MATCH(ROUNDUP((V$1)/10,0)*10,[1]Hugst!$R$4:$W$4,0))))</f>
        <v>0</v>
      </c>
      <c r="W60" s="168">
        <f ca="1">IF($C60-W$1&lt;År1,0,V59*(1-VLOOKUP($A60,[1]Hugst!$R$5:$W$9,MATCH(ROUNDUP((W$1)/10,0)*10,[1]Hugst!$R$4:$W$4,0))))</f>
        <v>0</v>
      </c>
      <c r="X60" s="168">
        <f ca="1">IF($C60-X$1&lt;År1,0,W59*(1-VLOOKUP($A60,[1]Hugst!$R$5:$W$9,MATCH(ROUNDUP((X$1)/10,0)*10,[1]Hugst!$R$4:$W$4,0))))</f>
        <v>0</v>
      </c>
      <c r="Y60" s="168">
        <f ca="1">IF($C60-Y$1&lt;År1,0,X59*(1-VLOOKUP($A60,[1]Hugst!$R$5:$W$9,MATCH(ROUNDUP((Y$1)/10,0)*10,[1]Hugst!$R$4:$W$4,0))))</f>
        <v>0</v>
      </c>
      <c r="Z60" s="168">
        <f ca="1">IF($C60-Z$1&lt;År1,0,Y59*(1-VLOOKUP($A60,[1]Hugst!$R$5:$W$9,MATCH(ROUNDUP((Z$1)/10,0)*10,[1]Hugst!$R$4:$W$4,0))))</f>
        <v>0</v>
      </c>
      <c r="AA60" s="168">
        <f ca="1">IF($C60-AA$1&lt;År1,0,Z59*(1-VLOOKUP($A60,[1]Hugst!$R$5:$W$9,MATCH(ROUNDUP((AA$1)/10,0)*10,[1]Hugst!$R$4:$W$4,0))))</f>
        <v>0</v>
      </c>
      <c r="AB60" s="168">
        <f ca="1">IF($C60-AB$1&lt;År1,0,AA59*(1-VLOOKUP($A60,[1]Hugst!$R$5:$W$9,MATCH(ROUNDUP((AB$1)/10,0)*10,[1]Hugst!$R$4:$W$4,0))))</f>
        <v>0</v>
      </c>
      <c r="AC60" s="168">
        <f ca="1">IF($C60-AC$1&lt;År1,0,AB59*(1-VLOOKUP($A60,[1]Hugst!$R$5:$W$9,MATCH(ROUNDUP((AC$1)/10,0)*10,[1]Hugst!$R$4:$W$4,0))))</f>
        <v>0</v>
      </c>
      <c r="AD60" s="168">
        <f ca="1">IF($C60-AD$1&lt;År1,0,AC59*(1-VLOOKUP($A60,[1]Hugst!$R$5:$W$9,MATCH(ROUNDUP((AD$1)/10,0)*10,[1]Hugst!$R$4:$W$4,0))))</f>
        <v>0</v>
      </c>
      <c r="AE60" s="168">
        <f ca="1">IF($C60-AE$1&lt;År1,0,AD59*(1-VLOOKUP($A60,[1]Hugst!$R$5:$W$9,MATCH(ROUNDUP((AE$1)/10,0)*10,[1]Hugst!$R$4:$W$4,0))))</f>
        <v>0</v>
      </c>
      <c r="AF60" s="168">
        <f ca="1">IF($C60-AF$1&lt;År1,0,AE59*(1-VLOOKUP($A60,[1]Hugst!$R$5:$W$9,MATCH(ROUNDUP((AF$1)/10,0)*10,[1]Hugst!$R$4:$W$4,0))))</f>
        <v>0</v>
      </c>
      <c r="AG60" s="168">
        <f ca="1">IF($C60-AG$1&lt;År1,0,AF59*(1-VLOOKUP($A60,[1]Hugst!$R$5:$W$9,MATCH(ROUNDUP((AG$1)/10,0)*10,[1]Hugst!$R$4:$W$4,0))))</f>
        <v>0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*VLOOKUP(A61,Skovbrug!$A$13:$D$17,IF('Skovbrug-alder'!C61&lt;=År2,3,4),FALSE)-IF(C61&gt;2020,SUM(INDEX($C$1:$D$311,MATCH(1,(2020=$C$1:$C$311)*(B61=$B$1:$B$311)*(A61=$A$1:$A$311),0),2):D60),0))</f>
        <v>0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0</v>
      </c>
      <c r="G61" s="168">
        <f ca="1">IF($C61-G$1&lt;År1,0,F60*(1-VLOOKUP($A61,[1]Hugst!$R$5:$W$9,MATCH(ROUNDUP((G$1)/10,0)*10,[1]Hugst!$R$4:$W$4,0))))</f>
        <v>0</v>
      </c>
      <c r="H61" s="168">
        <f ca="1">IF($C61-H$1&lt;År1,0,G60*(1-VLOOKUP($A61,[1]Hugst!$R$5:$W$9,MATCH(ROUNDUP((H$1)/10,0)*10,[1]Hugst!$R$4:$W$4,0))))</f>
        <v>0</v>
      </c>
      <c r="I61" s="168">
        <f ca="1">IF($C61-I$1&lt;År1,0,H60*(1-VLOOKUP($A61,[1]Hugst!$R$5:$W$9,MATCH(ROUNDUP((I$1)/10,0)*10,[1]Hugst!$R$4:$W$4,0))))</f>
        <v>0</v>
      </c>
      <c r="J61" s="168">
        <f ca="1">IF($C61-J$1&lt;År1,0,I60*(1-VLOOKUP($A61,[1]Hugst!$R$5:$W$9,MATCH(ROUNDUP((J$1)/10,0)*10,[1]Hugst!$R$4:$W$4,0))))</f>
        <v>0</v>
      </c>
      <c r="K61" s="168">
        <f ca="1">IF($C61-K$1&lt;År1,0,J60*(1-VLOOKUP($A61,[1]Hugst!$R$5:$W$9,MATCH(ROUNDUP((K$1)/10,0)*10,[1]Hugst!$R$4:$W$4,0))))</f>
        <v>0</v>
      </c>
      <c r="L61" s="168">
        <f ca="1">IF($C61-L$1&lt;År1,0,K60*(1-VLOOKUP($A61,[1]Hugst!$R$5:$W$9,MATCH(ROUNDUP((L$1)/10,0)*10,[1]Hugst!$R$4:$W$4,0))))</f>
        <v>0</v>
      </c>
      <c r="M61" s="168">
        <f ca="1">IF($C61-M$1&lt;År1,0,L60*(1-VLOOKUP($A61,[1]Hugst!$R$5:$W$9,MATCH(ROUNDUP((M$1)/10,0)*10,[1]Hugst!$R$4:$W$4,0))))</f>
        <v>0</v>
      </c>
      <c r="N61" s="168">
        <f ca="1">IF($C61-N$1&lt;År1,0,M60*(1-VLOOKUP($A61,[1]Hugst!$R$5:$W$9,MATCH(ROUNDUP((N$1)/10,0)*10,[1]Hugst!$R$4:$W$4,0))))</f>
        <v>0</v>
      </c>
      <c r="O61" s="168">
        <f ca="1">IF($C61-O$1&lt;År1,0,N60*(1-VLOOKUP($A61,[1]Hugst!$R$5:$W$9,MATCH(ROUNDUP((O$1)/10,0)*10,[1]Hugst!$R$4:$W$4,0))))</f>
        <v>0</v>
      </c>
      <c r="P61" s="168">
        <f ca="1">IF($C61-P$1&lt;År1,0,O60*(1-VLOOKUP($A61,[1]Hugst!$R$5:$W$9,MATCH(ROUNDUP((P$1)/10,0)*10,[1]Hugst!$R$4:$W$4,0))))</f>
        <v>0</v>
      </c>
      <c r="Q61" s="168">
        <f ca="1">IF($C61-Q$1&lt;År1,0,P60*(1-VLOOKUP($A61,[1]Hugst!$R$5:$W$9,MATCH(ROUNDUP((Q$1)/10,0)*10,[1]Hugst!$R$4:$W$4,0))))</f>
        <v>0</v>
      </c>
      <c r="R61" s="168">
        <f ca="1">IF($C61-R$1&lt;År1,0,Q60*(1-VLOOKUP($A61,[1]Hugst!$R$5:$W$9,MATCH(ROUNDUP((R$1)/10,0)*10,[1]Hugst!$R$4:$W$4,0))))</f>
        <v>0</v>
      </c>
      <c r="S61" s="168">
        <f ca="1">IF($C61-S$1&lt;År1,0,R60*(1-VLOOKUP($A61,[1]Hugst!$R$5:$W$9,MATCH(ROUNDUP((S$1)/10,0)*10,[1]Hugst!$R$4:$W$4,0))))</f>
        <v>0</v>
      </c>
      <c r="T61" s="168">
        <f ca="1">IF($C61-T$1&lt;År1,0,S60*(1-VLOOKUP($A61,[1]Hugst!$R$5:$W$9,MATCH(ROUNDUP((T$1)/10,0)*10,[1]Hugst!$R$4:$W$4,0))))</f>
        <v>0</v>
      </c>
      <c r="U61" s="168">
        <f ca="1">IF($C61-U$1&lt;År1,0,T60*(1-VLOOKUP($A61,[1]Hugst!$R$5:$W$9,MATCH(ROUNDUP((U$1)/10,0)*10,[1]Hugst!$R$4:$W$4,0))))</f>
        <v>0</v>
      </c>
      <c r="V61" s="168">
        <f ca="1">IF($C61-V$1&lt;År1,0,U60*(1-VLOOKUP($A61,[1]Hugst!$R$5:$W$9,MATCH(ROUNDUP((V$1)/10,0)*10,[1]Hugst!$R$4:$W$4,0))))</f>
        <v>0</v>
      </c>
      <c r="W61" s="168">
        <f ca="1">IF($C61-W$1&lt;År1,0,V60*(1-VLOOKUP($A61,[1]Hugst!$R$5:$W$9,MATCH(ROUNDUP((W$1)/10,0)*10,[1]Hugst!$R$4:$W$4,0))))</f>
        <v>0</v>
      </c>
      <c r="X61" s="168">
        <f ca="1">IF($C61-X$1&lt;År1,0,W60*(1-VLOOKUP($A61,[1]Hugst!$R$5:$W$9,MATCH(ROUNDUP((X$1)/10,0)*10,[1]Hugst!$R$4:$W$4,0))))</f>
        <v>0</v>
      </c>
      <c r="Y61" s="168">
        <f ca="1">IF($C61-Y$1&lt;År1,0,X60*(1-VLOOKUP($A61,[1]Hugst!$R$5:$W$9,MATCH(ROUNDUP((Y$1)/10,0)*10,[1]Hugst!$R$4:$W$4,0))))</f>
        <v>0</v>
      </c>
      <c r="Z61" s="168">
        <f ca="1">IF($C61-Z$1&lt;År1,0,Y60*(1-VLOOKUP($A61,[1]Hugst!$R$5:$W$9,MATCH(ROUNDUP((Z$1)/10,0)*10,[1]Hugst!$R$4:$W$4,0))))</f>
        <v>0</v>
      </c>
      <c r="AA61" s="168">
        <f ca="1">IF($C61-AA$1&lt;År1,0,Z60*(1-VLOOKUP($A61,[1]Hugst!$R$5:$W$9,MATCH(ROUNDUP((AA$1)/10,0)*10,[1]Hugst!$R$4:$W$4,0))))</f>
        <v>0</v>
      </c>
      <c r="AB61" s="168">
        <f ca="1">IF($C61-AB$1&lt;År1,0,AA60*(1-VLOOKUP($A61,[1]Hugst!$R$5:$W$9,MATCH(ROUNDUP((AB$1)/10,0)*10,[1]Hugst!$R$4:$W$4,0))))</f>
        <v>0</v>
      </c>
      <c r="AC61" s="168">
        <f ca="1">IF($C61-AC$1&lt;År1,0,AB60*(1-VLOOKUP($A61,[1]Hugst!$R$5:$W$9,MATCH(ROUNDUP((AC$1)/10,0)*10,[1]Hugst!$R$4:$W$4,0))))</f>
        <v>0</v>
      </c>
      <c r="AD61" s="168">
        <f ca="1">IF($C61-AD$1&lt;År1,0,AC60*(1-VLOOKUP($A61,[1]Hugst!$R$5:$W$9,MATCH(ROUNDUP((AD$1)/10,0)*10,[1]Hugst!$R$4:$W$4,0))))</f>
        <v>0</v>
      </c>
      <c r="AE61" s="168">
        <f ca="1">IF($C61-AE$1&lt;År1,0,AD60*(1-VLOOKUP($A61,[1]Hugst!$R$5:$W$9,MATCH(ROUNDUP((AE$1)/10,0)*10,[1]Hugst!$R$4:$W$4,0))))</f>
        <v>0</v>
      </c>
      <c r="AF61" s="168">
        <f ca="1">IF($C61-AF$1&lt;År1,0,AE60*(1-VLOOKUP($A61,[1]Hugst!$R$5:$W$9,MATCH(ROUNDUP((AF$1)/10,0)*10,[1]Hugst!$R$4:$W$4,0))))</f>
        <v>0</v>
      </c>
      <c r="AG61" s="168">
        <f ca="1">IF($C61-AG$1&lt;År1,0,AF60*(1-VLOOKUP($A61,[1]Hugst!$R$5:$W$9,MATCH(ROUNDUP((AG$1)/10,0)*10,[1]Hugst!$R$4:$W$4,0))))</f>
        <v>0</v>
      </c>
      <c r="AH61" s="168">
        <f ca="1">IF($C61-AH$1&lt;År1,0,AG60*(1-VLOOKUP($A61,[1]Hugst!$R$5:$W$9,MATCH(ROUNDUP((AH$1)/10,0)*10,[1]Hugst!$R$4:$W$4,0))))</f>
        <v>0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*VLOOKUP(A62,Skovbrug!$A$13:$D$17,IF('Skovbrug-alder'!C62&lt;=År2,3,4),FALSE)-IF(C62&gt;2020,SUM(INDEX($C$1:$D$311,MATCH(1,(2020=$C$1:$C$311)*(B62=$B$1:$B$311)*(A62=$A$1:$A$311),0),2):D61),0))</f>
        <v>0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0</v>
      </c>
      <c r="G62" s="168">
        <f ca="1">IF($C62-G$1&lt;År1,0,F61*(1-VLOOKUP($A62,[1]Hugst!$R$5:$W$9,MATCH(ROUNDUP((G$1)/10,0)*10,[1]Hugst!$R$4:$W$4,0))))</f>
        <v>0</v>
      </c>
      <c r="H62" s="168">
        <f ca="1">IF($C62-H$1&lt;År1,0,G61*(1-VLOOKUP($A62,[1]Hugst!$R$5:$W$9,MATCH(ROUNDUP((H$1)/10,0)*10,[1]Hugst!$R$4:$W$4,0))))</f>
        <v>0</v>
      </c>
      <c r="I62" s="168">
        <f ca="1">IF($C62-I$1&lt;År1,0,H61*(1-VLOOKUP($A62,[1]Hugst!$R$5:$W$9,MATCH(ROUNDUP((I$1)/10,0)*10,[1]Hugst!$R$4:$W$4,0))))</f>
        <v>0</v>
      </c>
      <c r="J62" s="168">
        <f ca="1">IF($C62-J$1&lt;År1,0,I61*(1-VLOOKUP($A62,[1]Hugst!$R$5:$W$9,MATCH(ROUNDUP((J$1)/10,0)*10,[1]Hugst!$R$4:$W$4,0))))</f>
        <v>0</v>
      </c>
      <c r="K62" s="168">
        <f ca="1">IF($C62-K$1&lt;År1,0,J61*(1-VLOOKUP($A62,[1]Hugst!$R$5:$W$9,MATCH(ROUNDUP((K$1)/10,0)*10,[1]Hugst!$R$4:$W$4,0))))</f>
        <v>0</v>
      </c>
      <c r="L62" s="168">
        <f ca="1">IF($C62-L$1&lt;År1,0,K61*(1-VLOOKUP($A62,[1]Hugst!$R$5:$W$9,MATCH(ROUNDUP((L$1)/10,0)*10,[1]Hugst!$R$4:$W$4,0))))</f>
        <v>0</v>
      </c>
      <c r="M62" s="168">
        <f ca="1">IF($C62-M$1&lt;År1,0,L61*(1-VLOOKUP($A62,[1]Hugst!$R$5:$W$9,MATCH(ROUNDUP((M$1)/10,0)*10,[1]Hugst!$R$4:$W$4,0))))</f>
        <v>0</v>
      </c>
      <c r="N62" s="168">
        <f ca="1">IF($C62-N$1&lt;År1,0,M61*(1-VLOOKUP($A62,[1]Hugst!$R$5:$W$9,MATCH(ROUNDUP((N$1)/10,0)*10,[1]Hugst!$R$4:$W$4,0))))</f>
        <v>0</v>
      </c>
      <c r="O62" s="168">
        <f ca="1">IF($C62-O$1&lt;År1,0,N61*(1-VLOOKUP($A62,[1]Hugst!$R$5:$W$9,MATCH(ROUNDUP((O$1)/10,0)*10,[1]Hugst!$R$4:$W$4,0))))</f>
        <v>0</v>
      </c>
      <c r="P62" s="168">
        <f ca="1">IF($C62-P$1&lt;År1,0,O61*(1-VLOOKUP($A62,[1]Hugst!$R$5:$W$9,MATCH(ROUNDUP((P$1)/10,0)*10,[1]Hugst!$R$4:$W$4,0))))</f>
        <v>0</v>
      </c>
      <c r="Q62" s="168">
        <f ca="1">IF($C62-Q$1&lt;År1,0,P61*(1-VLOOKUP($A62,[1]Hugst!$R$5:$W$9,MATCH(ROUNDUP((Q$1)/10,0)*10,[1]Hugst!$R$4:$W$4,0))))</f>
        <v>0</v>
      </c>
      <c r="R62" s="168">
        <f ca="1">IF($C62-R$1&lt;År1,0,Q61*(1-VLOOKUP($A62,[1]Hugst!$R$5:$W$9,MATCH(ROUNDUP((R$1)/10,0)*10,[1]Hugst!$R$4:$W$4,0))))</f>
        <v>0</v>
      </c>
      <c r="S62" s="168">
        <f ca="1">IF($C62-S$1&lt;År1,0,R61*(1-VLOOKUP($A62,[1]Hugst!$R$5:$W$9,MATCH(ROUNDUP((S$1)/10,0)*10,[1]Hugst!$R$4:$W$4,0))))</f>
        <v>0</v>
      </c>
      <c r="T62" s="168">
        <f ca="1">IF($C62-T$1&lt;År1,0,S61*(1-VLOOKUP($A62,[1]Hugst!$R$5:$W$9,MATCH(ROUNDUP((T$1)/10,0)*10,[1]Hugst!$R$4:$W$4,0))))</f>
        <v>0</v>
      </c>
      <c r="U62" s="168">
        <f ca="1">IF($C62-U$1&lt;År1,0,T61*(1-VLOOKUP($A62,[1]Hugst!$R$5:$W$9,MATCH(ROUNDUP((U$1)/10,0)*10,[1]Hugst!$R$4:$W$4,0))))</f>
        <v>0</v>
      </c>
      <c r="V62" s="168">
        <f ca="1">IF($C62-V$1&lt;År1,0,U61*(1-VLOOKUP($A62,[1]Hugst!$R$5:$W$9,MATCH(ROUNDUP((V$1)/10,0)*10,[1]Hugst!$R$4:$W$4,0))))</f>
        <v>0</v>
      </c>
      <c r="W62" s="168">
        <f ca="1">IF($C62-W$1&lt;År1,0,V61*(1-VLOOKUP($A62,[1]Hugst!$R$5:$W$9,MATCH(ROUNDUP((W$1)/10,0)*10,[1]Hugst!$R$4:$W$4,0))))</f>
        <v>0</v>
      </c>
      <c r="X62" s="168">
        <f ca="1">IF($C62-X$1&lt;År1,0,W61*(1-VLOOKUP($A62,[1]Hugst!$R$5:$W$9,MATCH(ROUNDUP((X$1)/10,0)*10,[1]Hugst!$R$4:$W$4,0))))</f>
        <v>0</v>
      </c>
      <c r="Y62" s="168">
        <f ca="1">IF($C62-Y$1&lt;År1,0,X61*(1-VLOOKUP($A62,[1]Hugst!$R$5:$W$9,MATCH(ROUNDUP((Y$1)/10,0)*10,[1]Hugst!$R$4:$W$4,0))))</f>
        <v>0</v>
      </c>
      <c r="Z62" s="168">
        <f ca="1">IF($C62-Z$1&lt;År1,0,Y61*(1-VLOOKUP($A62,[1]Hugst!$R$5:$W$9,MATCH(ROUNDUP((Z$1)/10,0)*10,[1]Hugst!$R$4:$W$4,0))))</f>
        <v>0</v>
      </c>
      <c r="AA62" s="168">
        <f ca="1">IF($C62-AA$1&lt;År1,0,Z61*(1-VLOOKUP($A62,[1]Hugst!$R$5:$W$9,MATCH(ROUNDUP((AA$1)/10,0)*10,[1]Hugst!$R$4:$W$4,0))))</f>
        <v>0</v>
      </c>
      <c r="AB62" s="168">
        <f ca="1">IF($C62-AB$1&lt;År1,0,AA61*(1-VLOOKUP($A62,[1]Hugst!$R$5:$W$9,MATCH(ROUNDUP((AB$1)/10,0)*10,[1]Hugst!$R$4:$W$4,0))))</f>
        <v>0</v>
      </c>
      <c r="AC62" s="168">
        <f ca="1">IF($C62-AC$1&lt;År1,0,AB61*(1-VLOOKUP($A62,[1]Hugst!$R$5:$W$9,MATCH(ROUNDUP((AC$1)/10,0)*10,[1]Hugst!$R$4:$W$4,0))))</f>
        <v>0</v>
      </c>
      <c r="AD62" s="168">
        <f ca="1">IF($C62-AD$1&lt;År1,0,AC61*(1-VLOOKUP($A62,[1]Hugst!$R$5:$W$9,MATCH(ROUNDUP((AD$1)/10,0)*10,[1]Hugst!$R$4:$W$4,0))))</f>
        <v>0</v>
      </c>
      <c r="AE62" s="168">
        <f ca="1">IF($C62-AE$1&lt;År1,0,AD61*(1-VLOOKUP($A62,[1]Hugst!$R$5:$W$9,MATCH(ROUNDUP((AE$1)/10,0)*10,[1]Hugst!$R$4:$W$4,0))))</f>
        <v>0</v>
      </c>
      <c r="AF62" s="168">
        <f ca="1">IF($C62-AF$1&lt;År1,0,AE61*(1-VLOOKUP($A62,[1]Hugst!$R$5:$W$9,MATCH(ROUNDUP((AF$1)/10,0)*10,[1]Hugst!$R$4:$W$4,0))))</f>
        <v>0</v>
      </c>
      <c r="AG62" s="168">
        <f ca="1">IF($C62-AG$1&lt;År1,0,AF61*(1-VLOOKUP($A62,[1]Hugst!$R$5:$W$9,MATCH(ROUNDUP((AG$1)/10,0)*10,[1]Hugst!$R$4:$W$4,0))))</f>
        <v>0</v>
      </c>
      <c r="AH62" s="168">
        <f ca="1">IF($C62-AH$1&lt;År1,0,AG61*(1-VLOOKUP($A62,[1]Hugst!$R$5:$W$9,MATCH(ROUNDUP((AH$1)/10,0)*10,[1]Hugst!$R$4:$W$4,0))))</f>
        <v>0</v>
      </c>
      <c r="AI62" s="168">
        <f ca="1">IF($C62-AI$1&lt;År1,0,AH61*(1-VLOOKUP($A62,[1]Hugst!$R$5:$W$9,MATCH(ROUNDUP((AI$1)/10,0)*10,[1]Hugst!$R$4:$W$4,0))))</f>
        <v>0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*VLOOKUP(A63,Skovbrug!$A$13:$D$17,IF('Skovbrug-alder'!C63&lt;=År2,3,4),FALSE)-IF(C63&gt;2020,SUM(INDEX($C$1:$D$311,MATCH(1,(2020=$C$1:$C$311)*(B63=$B$1:$B$311)*(A63=$A$1:$A$311),0),2):D62),0))</f>
        <v>0</v>
      </c>
      <c r="E63" s="168">
        <f t="shared" ca="1" si="0"/>
        <v>0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0</v>
      </c>
      <c r="G63" s="168">
        <f ca="1">IF($C63-G$1&lt;År1,0,F62*(1-VLOOKUP($A63,[1]Hugst!$R$5:$W$9,MATCH(ROUNDUP((G$1)/10,0)*10,[1]Hugst!$R$4:$W$4,0))))</f>
        <v>0</v>
      </c>
      <c r="H63" s="168">
        <f ca="1">IF($C63-H$1&lt;År1,0,G62*(1-VLOOKUP($A63,[1]Hugst!$R$5:$W$9,MATCH(ROUNDUP((H$1)/10,0)*10,[1]Hugst!$R$4:$W$4,0))))</f>
        <v>0</v>
      </c>
      <c r="I63" s="168">
        <f ca="1">IF($C63-I$1&lt;År1,0,H62*(1-VLOOKUP($A63,[1]Hugst!$R$5:$W$9,MATCH(ROUNDUP((I$1)/10,0)*10,[1]Hugst!$R$4:$W$4,0))))</f>
        <v>0</v>
      </c>
      <c r="J63" s="168">
        <f ca="1">IF($C63-J$1&lt;År1,0,I62*(1-VLOOKUP($A63,[1]Hugst!$R$5:$W$9,MATCH(ROUNDUP((J$1)/10,0)*10,[1]Hugst!$R$4:$W$4,0))))</f>
        <v>0</v>
      </c>
      <c r="K63" s="168">
        <f ca="1">IF($C63-K$1&lt;År1,0,J62*(1-VLOOKUP($A63,[1]Hugst!$R$5:$W$9,MATCH(ROUNDUP((K$1)/10,0)*10,[1]Hugst!$R$4:$W$4,0))))</f>
        <v>0</v>
      </c>
      <c r="L63" s="168">
        <f ca="1">IF($C63-L$1&lt;År1,0,K62*(1-VLOOKUP($A63,[1]Hugst!$R$5:$W$9,MATCH(ROUNDUP((L$1)/10,0)*10,[1]Hugst!$R$4:$W$4,0))))</f>
        <v>0</v>
      </c>
      <c r="M63" s="168">
        <f ca="1">IF($C63-M$1&lt;År1,0,L62*(1-VLOOKUP($A63,[1]Hugst!$R$5:$W$9,MATCH(ROUNDUP((M$1)/10,0)*10,[1]Hugst!$R$4:$W$4,0))))</f>
        <v>0</v>
      </c>
      <c r="N63" s="168">
        <f ca="1">IF($C63-N$1&lt;År1,0,M62*(1-VLOOKUP($A63,[1]Hugst!$R$5:$W$9,MATCH(ROUNDUP((N$1)/10,0)*10,[1]Hugst!$R$4:$W$4,0))))</f>
        <v>0</v>
      </c>
      <c r="O63" s="168">
        <f ca="1">IF($C63-O$1&lt;År1,0,N62*(1-VLOOKUP($A63,[1]Hugst!$R$5:$W$9,MATCH(ROUNDUP((O$1)/10,0)*10,[1]Hugst!$R$4:$W$4,0))))</f>
        <v>0</v>
      </c>
      <c r="P63" s="168">
        <f ca="1">IF($C63-P$1&lt;År1,0,O62*(1-VLOOKUP($A63,[1]Hugst!$R$5:$W$9,MATCH(ROUNDUP((P$1)/10,0)*10,[1]Hugst!$R$4:$W$4,0))))</f>
        <v>0</v>
      </c>
      <c r="Q63" s="168">
        <f ca="1">IF($C63-Q$1&lt;År1,0,P62*(1-VLOOKUP($A63,[1]Hugst!$R$5:$W$9,MATCH(ROUNDUP((Q$1)/10,0)*10,[1]Hugst!$R$4:$W$4,0))))</f>
        <v>0</v>
      </c>
      <c r="R63" s="168">
        <f ca="1">IF($C63-R$1&lt;År1,0,Q62*(1-VLOOKUP($A63,[1]Hugst!$R$5:$W$9,MATCH(ROUNDUP((R$1)/10,0)*10,[1]Hugst!$R$4:$W$4,0))))</f>
        <v>0</v>
      </c>
      <c r="S63" s="168">
        <f ca="1">IF($C63-S$1&lt;År1,0,R62*(1-VLOOKUP($A63,[1]Hugst!$R$5:$W$9,MATCH(ROUNDUP((S$1)/10,0)*10,[1]Hugst!$R$4:$W$4,0))))</f>
        <v>0</v>
      </c>
      <c r="T63" s="168">
        <f ca="1">IF($C63-T$1&lt;År1,0,S62*(1-VLOOKUP($A63,[1]Hugst!$R$5:$W$9,MATCH(ROUNDUP((T$1)/10,0)*10,[1]Hugst!$R$4:$W$4,0))))</f>
        <v>0</v>
      </c>
      <c r="U63" s="168">
        <f ca="1">IF($C63-U$1&lt;År1,0,T62*(1-VLOOKUP($A63,[1]Hugst!$R$5:$W$9,MATCH(ROUNDUP((U$1)/10,0)*10,[1]Hugst!$R$4:$W$4,0))))</f>
        <v>0</v>
      </c>
      <c r="V63" s="168">
        <f ca="1">IF($C63-V$1&lt;År1,0,U62*(1-VLOOKUP($A63,[1]Hugst!$R$5:$W$9,MATCH(ROUNDUP((V$1)/10,0)*10,[1]Hugst!$R$4:$W$4,0))))</f>
        <v>0</v>
      </c>
      <c r="W63" s="168">
        <f ca="1">IF($C63-W$1&lt;År1,0,V62*(1-VLOOKUP($A63,[1]Hugst!$R$5:$W$9,MATCH(ROUNDUP((W$1)/10,0)*10,[1]Hugst!$R$4:$W$4,0))))</f>
        <v>0</v>
      </c>
      <c r="X63" s="168">
        <f ca="1">IF($C63-X$1&lt;År1,0,W62*(1-VLOOKUP($A63,[1]Hugst!$R$5:$W$9,MATCH(ROUNDUP((X$1)/10,0)*10,[1]Hugst!$R$4:$W$4,0))))</f>
        <v>0</v>
      </c>
      <c r="Y63" s="168">
        <f ca="1">IF($C63-Y$1&lt;År1,0,X62*(1-VLOOKUP($A63,[1]Hugst!$R$5:$W$9,MATCH(ROUNDUP((Y$1)/10,0)*10,[1]Hugst!$R$4:$W$4,0))))</f>
        <v>0</v>
      </c>
      <c r="Z63" s="168">
        <f ca="1">IF($C63-Z$1&lt;År1,0,Y62*(1-VLOOKUP($A63,[1]Hugst!$R$5:$W$9,MATCH(ROUNDUP((Z$1)/10,0)*10,[1]Hugst!$R$4:$W$4,0))))</f>
        <v>0</v>
      </c>
      <c r="AA63" s="168">
        <f ca="1">IF($C63-AA$1&lt;År1,0,Z62*(1-VLOOKUP($A63,[1]Hugst!$R$5:$W$9,MATCH(ROUNDUP((AA$1)/10,0)*10,[1]Hugst!$R$4:$W$4,0))))</f>
        <v>0</v>
      </c>
      <c r="AB63" s="168">
        <f ca="1">IF($C63-AB$1&lt;År1,0,AA62*(1-VLOOKUP($A63,[1]Hugst!$R$5:$W$9,MATCH(ROUNDUP((AB$1)/10,0)*10,[1]Hugst!$R$4:$W$4,0))))</f>
        <v>0</v>
      </c>
      <c r="AC63" s="168">
        <f ca="1">IF($C63-AC$1&lt;År1,0,AB62*(1-VLOOKUP($A63,[1]Hugst!$R$5:$W$9,MATCH(ROUNDUP((AC$1)/10,0)*10,[1]Hugst!$R$4:$W$4,0))))</f>
        <v>0</v>
      </c>
      <c r="AD63" s="168">
        <f ca="1">IF($C63-AD$1&lt;År1,0,AC62*(1-VLOOKUP($A63,[1]Hugst!$R$5:$W$9,MATCH(ROUNDUP((AD$1)/10,0)*10,[1]Hugst!$R$4:$W$4,0))))</f>
        <v>0</v>
      </c>
      <c r="AE63" s="168">
        <f ca="1">IF($C63-AE$1&lt;År1,0,AD62*(1-VLOOKUP($A63,[1]Hugst!$R$5:$W$9,MATCH(ROUNDUP((AE$1)/10,0)*10,[1]Hugst!$R$4:$W$4,0))))</f>
        <v>0</v>
      </c>
      <c r="AF63" s="168">
        <f ca="1">IF($C63-AF$1&lt;År1,0,AE62*(1-VLOOKUP($A63,[1]Hugst!$R$5:$W$9,MATCH(ROUNDUP((AF$1)/10,0)*10,[1]Hugst!$R$4:$W$4,0))))</f>
        <v>0</v>
      </c>
      <c r="AG63" s="168">
        <f ca="1">IF($C63-AG$1&lt;År1,0,AF62*(1-VLOOKUP($A63,[1]Hugst!$R$5:$W$9,MATCH(ROUNDUP((AG$1)/10,0)*10,[1]Hugst!$R$4:$W$4,0))))</f>
        <v>0</v>
      </c>
      <c r="AH63" s="168">
        <f ca="1">IF($C63-AH$1&lt;År1,0,AG62*(1-VLOOKUP($A63,[1]Hugst!$R$5:$W$9,MATCH(ROUNDUP((AH$1)/10,0)*10,[1]Hugst!$R$4:$W$4,0))))</f>
        <v>0</v>
      </c>
      <c r="AI63" s="168">
        <f ca="1">IF($C63-AI$1&lt;År1,0,AH62*(1-VLOOKUP($A63,[1]Hugst!$R$5:$W$9,MATCH(ROUNDUP((AI$1)/10,0)*10,[1]Hugst!$R$4:$W$4,0))))</f>
        <v>0</v>
      </c>
      <c r="AJ63" s="168">
        <f ca="1">IF($C63-AJ$1&lt;År1,0,AI62*(1-VLOOKUP($A63,[1]Hugst!$R$5:$W$9,MATCH(ROUNDUP((AJ$1)/10,0)*10,[1]Hugst!$R$4:$W$4,0))))</f>
        <v>0</v>
      </c>
      <c r="AL63" s="168">
        <f ca="1">SUM(F63:AJ63)</f>
        <v>0</v>
      </c>
    </row>
    <row r="64" spans="1:39" x14ac:dyDescent="0.25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*VLOOKUP(A64,Skovbrug!$A$13:$D$17,IF('Skovbrug-alder'!C64&lt;=År2,3,4),FALSE)-IF(C64&gt;2020,SUM(INDEX($C$1:$D$311,MATCH(1,(2020=$C$1:$C$311)*(B64=$B$1:$B$311)*(A64=$A$1:$A$311),0),2):D63),0))</f>
        <v>0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*VLOOKUP(A65,Skovbrug!$A$13:$D$17,IF('Skovbrug-alder'!C65&lt;=År2,3,4),FALSE)-IF(C65&gt;2020,SUM(INDEX($C$1:$D$311,MATCH(1,(2020=$C$1:$C$311)*(B65=$B$1:$B$311)*(A65=$A$1:$A$311),0),2):D64),0))</f>
        <v>0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8">
        <f ca="1">IF($C65-G$1&lt;År1,0,F64*(1-VLOOKUP($A65,[1]Hugst!$R$5:$W$9,MATCH(ROUNDUP((G$1)/10,0)*10,[1]Hugst!$R$4:$W$4,0))))</f>
        <v>0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*VLOOKUP(A66,Skovbrug!$A$13:$D$17,IF('Skovbrug-alder'!C66&lt;=År2,3,4),FALSE)-IF(C66&gt;2020,SUM(INDEX($C$1:$D$311,MATCH(1,(2020=$C$1:$C$311)*(B66=$B$1:$B$311)*(A66=$A$1:$A$311),0),2):D65),0))</f>
        <v>0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8">
        <f ca="1">IF($C66-G$1&lt;År1,0,F65*(1-VLOOKUP($A66,[1]Hugst!$R$5:$W$9,MATCH(ROUNDUP((G$1)/10,0)*10,[1]Hugst!$R$4:$W$4,0))))</f>
        <v>0</v>
      </c>
      <c r="H66" s="168">
        <f ca="1">IF($C66-H$1&lt;År1,0,G65*(1-VLOOKUP($A66,[1]Hugst!$R$5:$W$9,MATCH(ROUNDUP((H$1)/10,0)*10,[1]Hugst!$R$4:$W$4,0))))</f>
        <v>0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*VLOOKUP(A67,Skovbrug!$A$13:$D$17,IF('Skovbrug-alder'!C67&lt;=År2,3,4),FALSE)-IF(C67&gt;2020,SUM(INDEX($C$1:$D$311,MATCH(1,(2020=$C$1:$C$311)*(B67=$B$1:$B$311)*(A67=$A$1:$A$311),0),2):D66),0))</f>
        <v>0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8">
        <f ca="1">IF($C67-G$1&lt;År1,0,F66*(1-VLOOKUP($A67,[1]Hugst!$R$5:$W$9,MATCH(ROUNDUP((G$1)/10,0)*10,[1]Hugst!$R$4:$W$4,0))))</f>
        <v>0</v>
      </c>
      <c r="H67" s="168">
        <f ca="1">IF($C67-H$1&lt;År1,0,G66*(1-VLOOKUP($A67,[1]Hugst!$R$5:$W$9,MATCH(ROUNDUP((H$1)/10,0)*10,[1]Hugst!$R$4:$W$4,0))))</f>
        <v>0</v>
      </c>
      <c r="I67" s="168">
        <f ca="1">IF($C67-I$1&lt;År1,0,H66*(1-VLOOKUP($A67,[1]Hugst!$R$5:$W$9,MATCH(ROUNDUP((I$1)/10,0)*10,[1]Hugst!$R$4:$W$4,0))))</f>
        <v>0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*VLOOKUP(A68,Skovbrug!$A$13:$D$17,IF('Skovbrug-alder'!C68&lt;=År2,3,4),FALSE)-IF(C68&gt;2020,SUM(INDEX($C$1:$D$311,MATCH(1,(2020=$C$1:$C$311)*(B68=$B$1:$B$311)*(A68=$A$1:$A$311),0),2):D67),0))</f>
        <v>0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8">
        <f ca="1">IF($C68-G$1&lt;År1,0,F67*(1-VLOOKUP($A68,[1]Hugst!$R$5:$W$9,MATCH(ROUNDUP((G$1)/10,0)*10,[1]Hugst!$R$4:$W$4,0))))</f>
        <v>0</v>
      </c>
      <c r="H68" s="168">
        <f ca="1">IF($C68-H$1&lt;År1,0,G67*(1-VLOOKUP($A68,[1]Hugst!$R$5:$W$9,MATCH(ROUNDUP((H$1)/10,0)*10,[1]Hugst!$R$4:$W$4,0))))</f>
        <v>0</v>
      </c>
      <c r="I68" s="168">
        <f ca="1">IF($C68-I$1&lt;År1,0,H67*(1-VLOOKUP($A68,[1]Hugst!$R$5:$W$9,MATCH(ROUNDUP((I$1)/10,0)*10,[1]Hugst!$R$4:$W$4,0))))</f>
        <v>0</v>
      </c>
      <c r="J68" s="168">
        <f ca="1">IF($C68-J$1&lt;År1,0,I67*(1-VLOOKUP($A68,[1]Hugst!$R$5:$W$9,MATCH(ROUNDUP((J$1)/10,0)*10,[1]Hugst!$R$4:$W$4,0))))</f>
        <v>0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*VLOOKUP(A69,Skovbrug!$A$13:$D$17,IF('Skovbrug-alder'!C69&lt;=År2,3,4),FALSE)-IF(C69&gt;2020,SUM(INDEX($C$1:$D$311,MATCH(1,(2020=$C$1:$C$311)*(B69=$B$1:$B$311)*(A69=$A$1:$A$311),0),2):D68),0))</f>
        <v>0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8">
        <f ca="1">IF($C69-G$1&lt;År1,0,F68*(1-VLOOKUP($A69,[1]Hugst!$R$5:$W$9,MATCH(ROUNDUP((G$1)/10,0)*10,[1]Hugst!$R$4:$W$4,0))))</f>
        <v>0</v>
      </c>
      <c r="H69" s="168">
        <f ca="1">IF($C69-H$1&lt;År1,0,G68*(1-VLOOKUP($A69,[1]Hugst!$R$5:$W$9,MATCH(ROUNDUP((H$1)/10,0)*10,[1]Hugst!$R$4:$W$4,0))))</f>
        <v>0</v>
      </c>
      <c r="I69" s="168">
        <f ca="1">IF($C69-I$1&lt;År1,0,H68*(1-VLOOKUP($A69,[1]Hugst!$R$5:$W$9,MATCH(ROUNDUP((I$1)/10,0)*10,[1]Hugst!$R$4:$W$4,0))))</f>
        <v>0</v>
      </c>
      <c r="J69" s="168">
        <f ca="1">IF($C69-J$1&lt;År1,0,I68*(1-VLOOKUP($A69,[1]Hugst!$R$5:$W$9,MATCH(ROUNDUP((J$1)/10,0)*10,[1]Hugst!$R$4:$W$4,0))))</f>
        <v>0</v>
      </c>
      <c r="K69" s="168">
        <f ca="1">IF($C69-K$1&lt;År1,0,J68*(1-VLOOKUP($A69,[1]Hugst!$R$5:$W$9,MATCH(ROUNDUP((K$1)/10,0)*10,[1]Hugst!$R$4:$W$4,0))))</f>
        <v>0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*VLOOKUP(A70,Skovbrug!$A$13:$D$17,IF('Skovbrug-alder'!C70&lt;=År2,3,4),FALSE)-IF(C70&gt;2020,SUM(INDEX($C$1:$D$311,MATCH(1,(2020=$C$1:$C$311)*(B70=$B$1:$B$311)*(A70=$A$1:$A$311),0),2):D69),0))</f>
        <v>0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8">
        <f ca="1">IF($C70-G$1&lt;År1,0,F69*(1-VLOOKUP($A70,[1]Hugst!$R$5:$W$9,MATCH(ROUNDUP((G$1)/10,0)*10,[1]Hugst!$R$4:$W$4,0))))</f>
        <v>0</v>
      </c>
      <c r="H70" s="168">
        <f ca="1">IF($C70-H$1&lt;År1,0,G69*(1-VLOOKUP($A70,[1]Hugst!$R$5:$W$9,MATCH(ROUNDUP((H$1)/10,0)*10,[1]Hugst!$R$4:$W$4,0))))</f>
        <v>0</v>
      </c>
      <c r="I70" s="168">
        <f ca="1">IF($C70-I$1&lt;År1,0,H69*(1-VLOOKUP($A70,[1]Hugst!$R$5:$W$9,MATCH(ROUNDUP((I$1)/10,0)*10,[1]Hugst!$R$4:$W$4,0))))</f>
        <v>0</v>
      </c>
      <c r="J70" s="168">
        <f ca="1">IF($C70-J$1&lt;År1,0,I69*(1-VLOOKUP($A70,[1]Hugst!$R$5:$W$9,MATCH(ROUNDUP((J$1)/10,0)*10,[1]Hugst!$R$4:$W$4,0))))</f>
        <v>0</v>
      </c>
      <c r="K70" s="168">
        <f ca="1">IF($C70-K$1&lt;År1,0,J69*(1-VLOOKUP($A70,[1]Hugst!$R$5:$W$9,MATCH(ROUNDUP((K$1)/10,0)*10,[1]Hugst!$R$4:$W$4,0))))</f>
        <v>0</v>
      </c>
      <c r="L70" s="168">
        <f ca="1">IF($C70-L$1&lt;År1,0,K69*(1-VLOOKUP($A70,[1]Hugst!$R$5:$W$9,MATCH(ROUNDUP((L$1)/10,0)*10,[1]Hugst!$R$4:$W$4,0))))</f>
        <v>0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*VLOOKUP(A71,Skovbrug!$A$13:$D$17,IF('Skovbrug-alder'!C71&lt;=År2,3,4),FALSE)-IF(C71&gt;2020,SUM(INDEX($C$1:$D$311,MATCH(1,(2020=$C$1:$C$311)*(B71=$B$1:$B$311)*(A71=$A$1:$A$311),0),2):D70),0))</f>
        <v>0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8">
        <f ca="1">IF($C71-G$1&lt;År1,0,F70*(1-VLOOKUP($A71,[1]Hugst!$R$5:$W$9,MATCH(ROUNDUP((G$1)/10,0)*10,[1]Hugst!$R$4:$W$4,0))))</f>
        <v>0</v>
      </c>
      <c r="H71" s="168">
        <f ca="1">IF($C71-H$1&lt;År1,0,G70*(1-VLOOKUP($A71,[1]Hugst!$R$5:$W$9,MATCH(ROUNDUP((H$1)/10,0)*10,[1]Hugst!$R$4:$W$4,0))))</f>
        <v>0</v>
      </c>
      <c r="I71" s="168">
        <f ca="1">IF($C71-I$1&lt;År1,0,H70*(1-VLOOKUP($A71,[1]Hugst!$R$5:$W$9,MATCH(ROUNDUP((I$1)/10,0)*10,[1]Hugst!$R$4:$W$4,0))))</f>
        <v>0</v>
      </c>
      <c r="J71" s="168">
        <f ca="1">IF($C71-J$1&lt;År1,0,I70*(1-VLOOKUP($A71,[1]Hugst!$R$5:$W$9,MATCH(ROUNDUP((J$1)/10,0)*10,[1]Hugst!$R$4:$W$4,0))))</f>
        <v>0</v>
      </c>
      <c r="K71" s="168">
        <f ca="1">IF($C71-K$1&lt;År1,0,J70*(1-VLOOKUP($A71,[1]Hugst!$R$5:$W$9,MATCH(ROUNDUP((K$1)/10,0)*10,[1]Hugst!$R$4:$W$4,0))))</f>
        <v>0</v>
      </c>
      <c r="L71" s="168">
        <f ca="1">IF($C71-L$1&lt;År1,0,K70*(1-VLOOKUP($A71,[1]Hugst!$R$5:$W$9,MATCH(ROUNDUP((L$1)/10,0)*10,[1]Hugst!$R$4:$W$4,0))))</f>
        <v>0</v>
      </c>
      <c r="M71" s="168">
        <f ca="1">IF($C71-M$1&lt;År1,0,L70*(1-VLOOKUP($A71,[1]Hugst!$R$5:$W$9,MATCH(ROUNDUP((M$1)/10,0)*10,[1]Hugst!$R$4:$W$4,0))))</f>
        <v>0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*VLOOKUP(A72,Skovbrug!$A$13:$D$17,IF('Skovbrug-alder'!C72&lt;=År2,3,4),FALSE)-IF(C72&gt;2020,SUM(INDEX($C$1:$D$311,MATCH(1,(2020=$C$1:$C$311)*(B72=$B$1:$B$311)*(A72=$A$1:$A$311),0),2):D71),0))</f>
        <v>0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8">
        <f ca="1">IF($C72-G$1&lt;År1,0,F71*(1-VLOOKUP($A72,[1]Hugst!$R$5:$W$9,MATCH(ROUNDUP((G$1)/10,0)*10,[1]Hugst!$R$4:$W$4,0))))</f>
        <v>0</v>
      </c>
      <c r="H72" s="168">
        <f ca="1">IF($C72-H$1&lt;År1,0,G71*(1-VLOOKUP($A72,[1]Hugst!$R$5:$W$9,MATCH(ROUNDUP((H$1)/10,0)*10,[1]Hugst!$R$4:$W$4,0))))</f>
        <v>0</v>
      </c>
      <c r="I72" s="168">
        <f ca="1">IF($C72-I$1&lt;År1,0,H71*(1-VLOOKUP($A72,[1]Hugst!$R$5:$W$9,MATCH(ROUNDUP((I$1)/10,0)*10,[1]Hugst!$R$4:$W$4,0))))</f>
        <v>0</v>
      </c>
      <c r="J72" s="168">
        <f ca="1">IF($C72-J$1&lt;År1,0,I71*(1-VLOOKUP($A72,[1]Hugst!$R$5:$W$9,MATCH(ROUNDUP((J$1)/10,0)*10,[1]Hugst!$R$4:$W$4,0))))</f>
        <v>0</v>
      </c>
      <c r="K72" s="168">
        <f ca="1">IF($C72-K$1&lt;År1,0,J71*(1-VLOOKUP($A72,[1]Hugst!$R$5:$W$9,MATCH(ROUNDUP((K$1)/10,0)*10,[1]Hugst!$R$4:$W$4,0))))</f>
        <v>0</v>
      </c>
      <c r="L72" s="168">
        <f ca="1">IF($C72-L$1&lt;År1,0,K71*(1-VLOOKUP($A72,[1]Hugst!$R$5:$W$9,MATCH(ROUNDUP((L$1)/10,0)*10,[1]Hugst!$R$4:$W$4,0))))</f>
        <v>0</v>
      </c>
      <c r="M72" s="168">
        <f ca="1">IF($C72-M$1&lt;År1,0,L71*(1-VLOOKUP($A72,[1]Hugst!$R$5:$W$9,MATCH(ROUNDUP((M$1)/10,0)*10,[1]Hugst!$R$4:$W$4,0))))</f>
        <v>0</v>
      </c>
      <c r="N72" s="168">
        <f ca="1">IF($C72-N$1&lt;År1,0,M71*(1-VLOOKUP($A72,[1]Hugst!$R$5:$W$9,MATCH(ROUNDUP((N$1)/10,0)*10,[1]Hugst!$R$4:$W$4,0))))</f>
        <v>0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*VLOOKUP(A73,Skovbrug!$A$13:$D$17,IF('Skovbrug-alder'!C73&lt;=År2,3,4),FALSE)-IF(C73&gt;2020,SUM(INDEX($C$1:$D$311,MATCH(1,(2020=$C$1:$C$311)*(B73=$B$1:$B$311)*(A73=$A$1:$A$311),0),2):D72),0))</f>
        <v>0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8">
        <f ca="1">IF($C73-G$1&lt;År1,0,F72*(1-VLOOKUP($A73,[1]Hugst!$R$5:$W$9,MATCH(ROUNDUP((G$1)/10,0)*10,[1]Hugst!$R$4:$W$4,0))))</f>
        <v>0</v>
      </c>
      <c r="H73" s="168">
        <f ca="1">IF($C73-H$1&lt;År1,0,G72*(1-VLOOKUP($A73,[1]Hugst!$R$5:$W$9,MATCH(ROUNDUP((H$1)/10,0)*10,[1]Hugst!$R$4:$W$4,0))))</f>
        <v>0</v>
      </c>
      <c r="I73" s="168">
        <f ca="1">IF($C73-I$1&lt;År1,0,H72*(1-VLOOKUP($A73,[1]Hugst!$R$5:$W$9,MATCH(ROUNDUP((I$1)/10,0)*10,[1]Hugst!$R$4:$W$4,0))))</f>
        <v>0</v>
      </c>
      <c r="J73" s="168">
        <f ca="1">IF($C73-J$1&lt;År1,0,I72*(1-VLOOKUP($A73,[1]Hugst!$R$5:$W$9,MATCH(ROUNDUP((J$1)/10,0)*10,[1]Hugst!$R$4:$W$4,0))))</f>
        <v>0</v>
      </c>
      <c r="K73" s="168">
        <f ca="1">IF($C73-K$1&lt;År1,0,J72*(1-VLOOKUP($A73,[1]Hugst!$R$5:$W$9,MATCH(ROUNDUP((K$1)/10,0)*10,[1]Hugst!$R$4:$W$4,0))))</f>
        <v>0</v>
      </c>
      <c r="L73" s="168">
        <f ca="1">IF($C73-L$1&lt;År1,0,K72*(1-VLOOKUP($A73,[1]Hugst!$R$5:$W$9,MATCH(ROUNDUP((L$1)/10,0)*10,[1]Hugst!$R$4:$W$4,0))))</f>
        <v>0</v>
      </c>
      <c r="M73" s="168">
        <f ca="1">IF($C73-M$1&lt;År1,0,L72*(1-VLOOKUP($A73,[1]Hugst!$R$5:$W$9,MATCH(ROUNDUP((M$1)/10,0)*10,[1]Hugst!$R$4:$W$4,0))))</f>
        <v>0</v>
      </c>
      <c r="N73" s="168">
        <f ca="1">IF($C73-N$1&lt;År1,0,M72*(1-VLOOKUP($A73,[1]Hugst!$R$5:$W$9,MATCH(ROUNDUP((N$1)/10,0)*10,[1]Hugst!$R$4:$W$4,0))))</f>
        <v>0</v>
      </c>
      <c r="O73" s="168">
        <f ca="1">IF($C73-O$1&lt;År1,0,N72*(1-VLOOKUP($A73,[1]Hugst!$R$5:$W$9,MATCH(ROUNDUP((O$1)/10,0)*10,[1]Hugst!$R$4:$W$4,0))))</f>
        <v>0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*VLOOKUP(A74,Skovbrug!$A$13:$D$17,IF('Skovbrug-alder'!C74&lt;=År2,3,4),FALSE)-IF(C74&gt;2020,SUM(INDEX($C$1:$D$311,MATCH(1,(2020=$C$1:$C$311)*(B74=$B$1:$B$311)*(A74=$A$1:$A$311),0),2):D73),0))</f>
        <v>0</v>
      </c>
      <c r="E74" s="168">
        <f t="shared" ca="1" si="1"/>
        <v>0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8">
        <f ca="1">IF($C74-G$1&lt;År1,0,F73*(1-VLOOKUP($A74,[1]Hugst!$R$5:$W$9,MATCH(ROUNDUP((G$1)/10,0)*10,[1]Hugst!$R$4:$W$4,0))))</f>
        <v>0</v>
      </c>
      <c r="H74" s="168">
        <f ca="1">IF($C74-H$1&lt;År1,0,G73*(1-VLOOKUP($A74,[1]Hugst!$R$5:$W$9,MATCH(ROUNDUP((H$1)/10,0)*10,[1]Hugst!$R$4:$W$4,0))))</f>
        <v>0</v>
      </c>
      <c r="I74" s="168">
        <f ca="1">IF($C74-I$1&lt;År1,0,H73*(1-VLOOKUP($A74,[1]Hugst!$R$5:$W$9,MATCH(ROUNDUP((I$1)/10,0)*10,[1]Hugst!$R$4:$W$4,0))))</f>
        <v>0</v>
      </c>
      <c r="J74" s="168">
        <f ca="1">IF($C74-J$1&lt;År1,0,I73*(1-VLOOKUP($A74,[1]Hugst!$R$5:$W$9,MATCH(ROUNDUP((J$1)/10,0)*10,[1]Hugst!$R$4:$W$4,0))))</f>
        <v>0</v>
      </c>
      <c r="K74" s="168">
        <f ca="1">IF($C74-K$1&lt;År1,0,J73*(1-VLOOKUP($A74,[1]Hugst!$R$5:$W$9,MATCH(ROUNDUP((K$1)/10,0)*10,[1]Hugst!$R$4:$W$4,0))))</f>
        <v>0</v>
      </c>
      <c r="L74" s="168">
        <f ca="1">IF($C74-L$1&lt;År1,0,K73*(1-VLOOKUP($A74,[1]Hugst!$R$5:$W$9,MATCH(ROUNDUP((L$1)/10,0)*10,[1]Hugst!$R$4:$W$4,0))))</f>
        <v>0</v>
      </c>
      <c r="M74" s="168">
        <f ca="1">IF($C74-M$1&lt;År1,0,L73*(1-VLOOKUP($A74,[1]Hugst!$R$5:$W$9,MATCH(ROUNDUP((M$1)/10,0)*10,[1]Hugst!$R$4:$W$4,0))))</f>
        <v>0</v>
      </c>
      <c r="N74" s="168">
        <f ca="1">IF($C74-N$1&lt;År1,0,M73*(1-VLOOKUP($A74,[1]Hugst!$R$5:$W$9,MATCH(ROUNDUP((N$1)/10,0)*10,[1]Hugst!$R$4:$W$4,0))))</f>
        <v>0</v>
      </c>
      <c r="O74" s="168">
        <f ca="1">IF($C74-O$1&lt;År1,0,N73*(1-VLOOKUP($A74,[1]Hugst!$R$5:$W$9,MATCH(ROUNDUP((O$1)/10,0)*10,[1]Hugst!$R$4:$W$4,0))))</f>
        <v>0</v>
      </c>
      <c r="P74" s="168">
        <f ca="1">IF($C74-P$1&lt;År1,0,O73*(1-VLOOKUP($A74,[1]Hugst!$R$5:$W$9,MATCH(ROUNDUP((P$1)/10,0)*10,[1]Hugst!$R$4:$W$4,0))))</f>
        <v>0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*VLOOKUP(A75,Skovbrug!$A$13:$D$17,IF('Skovbrug-alder'!C75&lt;=År2,3,4),FALSE)-IF(C75&gt;2020,SUM(INDEX($C$1:$D$311,MATCH(1,(2020=$C$1:$C$311)*(B75=$B$1:$B$311)*(A75=$A$1:$A$311),0),2):D74),0))</f>
        <v>0</v>
      </c>
      <c r="E75" s="168">
        <f t="shared" ca="1" si="1"/>
        <v>0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8">
        <f ca="1">IF($C75-G$1&lt;År1,0,F74*(1-VLOOKUP($A75,[1]Hugst!$R$5:$W$9,MATCH(ROUNDUP((G$1)/10,0)*10,[1]Hugst!$R$4:$W$4,0))))</f>
        <v>0</v>
      </c>
      <c r="H75" s="168">
        <f ca="1">IF($C75-H$1&lt;År1,0,G74*(1-VLOOKUP($A75,[1]Hugst!$R$5:$W$9,MATCH(ROUNDUP((H$1)/10,0)*10,[1]Hugst!$R$4:$W$4,0))))</f>
        <v>0</v>
      </c>
      <c r="I75" s="168">
        <f ca="1">IF($C75-I$1&lt;År1,0,H74*(1-VLOOKUP($A75,[1]Hugst!$R$5:$W$9,MATCH(ROUNDUP((I$1)/10,0)*10,[1]Hugst!$R$4:$W$4,0))))</f>
        <v>0</v>
      </c>
      <c r="J75" s="168">
        <f ca="1">IF($C75-J$1&lt;År1,0,I74*(1-VLOOKUP($A75,[1]Hugst!$R$5:$W$9,MATCH(ROUNDUP((J$1)/10,0)*10,[1]Hugst!$R$4:$W$4,0))))</f>
        <v>0</v>
      </c>
      <c r="K75" s="168">
        <f ca="1">IF($C75-K$1&lt;År1,0,J74*(1-VLOOKUP($A75,[1]Hugst!$R$5:$W$9,MATCH(ROUNDUP((K$1)/10,0)*10,[1]Hugst!$R$4:$W$4,0))))</f>
        <v>0</v>
      </c>
      <c r="L75" s="168">
        <f ca="1">IF($C75-L$1&lt;År1,0,K74*(1-VLOOKUP($A75,[1]Hugst!$R$5:$W$9,MATCH(ROUNDUP((L$1)/10,0)*10,[1]Hugst!$R$4:$W$4,0))))</f>
        <v>0</v>
      </c>
      <c r="M75" s="168">
        <f ca="1">IF($C75-M$1&lt;År1,0,L74*(1-VLOOKUP($A75,[1]Hugst!$R$5:$W$9,MATCH(ROUNDUP((M$1)/10,0)*10,[1]Hugst!$R$4:$W$4,0))))</f>
        <v>0</v>
      </c>
      <c r="N75" s="168">
        <f ca="1">IF($C75-N$1&lt;År1,0,M74*(1-VLOOKUP($A75,[1]Hugst!$R$5:$W$9,MATCH(ROUNDUP((N$1)/10,0)*10,[1]Hugst!$R$4:$W$4,0))))</f>
        <v>0</v>
      </c>
      <c r="O75" s="168">
        <f ca="1">IF($C75-O$1&lt;År1,0,N74*(1-VLOOKUP($A75,[1]Hugst!$R$5:$W$9,MATCH(ROUNDUP((O$1)/10,0)*10,[1]Hugst!$R$4:$W$4,0))))</f>
        <v>0</v>
      </c>
      <c r="P75" s="168">
        <f ca="1">IF($C75-P$1&lt;År1,0,O74*(1-VLOOKUP($A75,[1]Hugst!$R$5:$W$9,MATCH(ROUNDUP((P$1)/10,0)*10,[1]Hugst!$R$4:$W$4,0))))</f>
        <v>0</v>
      </c>
      <c r="Q75" s="168">
        <f ca="1">IF($C75-Q$1&lt;År1,0,P74*(1-VLOOKUP($A75,[1]Hugst!$R$5:$W$9,MATCH(ROUNDUP((Q$1)/10,0)*10,[1]Hugst!$R$4:$W$4,0))))</f>
        <v>0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*VLOOKUP(A76,Skovbrug!$A$13:$D$17,IF('Skovbrug-alder'!C76&lt;=År2,3,4),FALSE)-IF(C76&gt;2020,SUM(INDEX($C$1:$D$311,MATCH(1,(2020=$C$1:$C$311)*(B76=$B$1:$B$311)*(A76=$A$1:$A$311),0),2):D75),0))</f>
        <v>0</v>
      </c>
      <c r="E76" s="168">
        <f t="shared" ca="1" si="1"/>
        <v>0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8">
        <f ca="1">IF($C76-G$1&lt;År1,0,F75*(1-VLOOKUP($A76,[1]Hugst!$R$5:$W$9,MATCH(ROUNDUP((G$1)/10,0)*10,[1]Hugst!$R$4:$W$4,0))))</f>
        <v>0</v>
      </c>
      <c r="H76" s="168">
        <f ca="1">IF($C76-H$1&lt;År1,0,G75*(1-VLOOKUP($A76,[1]Hugst!$R$5:$W$9,MATCH(ROUNDUP((H$1)/10,0)*10,[1]Hugst!$R$4:$W$4,0))))</f>
        <v>0</v>
      </c>
      <c r="I76" s="168">
        <f ca="1">IF($C76-I$1&lt;År1,0,H75*(1-VLOOKUP($A76,[1]Hugst!$R$5:$W$9,MATCH(ROUNDUP((I$1)/10,0)*10,[1]Hugst!$R$4:$W$4,0))))</f>
        <v>0</v>
      </c>
      <c r="J76" s="168">
        <f ca="1">IF($C76-J$1&lt;År1,0,I75*(1-VLOOKUP($A76,[1]Hugst!$R$5:$W$9,MATCH(ROUNDUP((J$1)/10,0)*10,[1]Hugst!$R$4:$W$4,0))))</f>
        <v>0</v>
      </c>
      <c r="K76" s="168">
        <f ca="1">IF($C76-K$1&lt;År1,0,J75*(1-VLOOKUP($A76,[1]Hugst!$R$5:$W$9,MATCH(ROUNDUP((K$1)/10,0)*10,[1]Hugst!$R$4:$W$4,0))))</f>
        <v>0</v>
      </c>
      <c r="L76" s="168">
        <f ca="1">IF($C76-L$1&lt;År1,0,K75*(1-VLOOKUP($A76,[1]Hugst!$R$5:$W$9,MATCH(ROUNDUP((L$1)/10,0)*10,[1]Hugst!$R$4:$W$4,0))))</f>
        <v>0</v>
      </c>
      <c r="M76" s="168">
        <f ca="1">IF($C76-M$1&lt;År1,0,L75*(1-VLOOKUP($A76,[1]Hugst!$R$5:$W$9,MATCH(ROUNDUP((M$1)/10,0)*10,[1]Hugst!$R$4:$W$4,0))))</f>
        <v>0</v>
      </c>
      <c r="N76" s="168">
        <f ca="1">IF($C76-N$1&lt;År1,0,M75*(1-VLOOKUP($A76,[1]Hugst!$R$5:$W$9,MATCH(ROUNDUP((N$1)/10,0)*10,[1]Hugst!$R$4:$W$4,0))))</f>
        <v>0</v>
      </c>
      <c r="O76" s="168">
        <f ca="1">IF($C76-O$1&lt;År1,0,N75*(1-VLOOKUP($A76,[1]Hugst!$R$5:$W$9,MATCH(ROUNDUP((O$1)/10,0)*10,[1]Hugst!$R$4:$W$4,0))))</f>
        <v>0</v>
      </c>
      <c r="P76" s="168">
        <f ca="1">IF($C76-P$1&lt;År1,0,O75*(1-VLOOKUP($A76,[1]Hugst!$R$5:$W$9,MATCH(ROUNDUP((P$1)/10,0)*10,[1]Hugst!$R$4:$W$4,0))))</f>
        <v>0</v>
      </c>
      <c r="Q76" s="168">
        <f ca="1">IF($C76-Q$1&lt;År1,0,P75*(1-VLOOKUP($A76,[1]Hugst!$R$5:$W$9,MATCH(ROUNDUP((Q$1)/10,0)*10,[1]Hugst!$R$4:$W$4,0))))</f>
        <v>0</v>
      </c>
      <c r="R76" s="168">
        <f ca="1">IF($C76-R$1&lt;År1,0,Q75*(1-VLOOKUP($A76,[1]Hugst!$R$5:$W$9,MATCH(ROUNDUP((R$1)/10,0)*10,[1]Hugst!$R$4:$W$4,0))))</f>
        <v>0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*VLOOKUP(A77,Skovbrug!$A$13:$D$17,IF('Skovbrug-alder'!C77&lt;=År2,3,4),FALSE)-IF(C77&gt;2020,SUM(INDEX($C$1:$D$311,MATCH(1,(2020=$C$1:$C$311)*(B77=$B$1:$B$311)*(A77=$A$1:$A$311),0),2):D76),0))</f>
        <v>0</v>
      </c>
      <c r="E77" s="168">
        <f t="shared" ca="1" si="1"/>
        <v>0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8">
        <f ca="1">IF($C77-G$1&lt;År1,0,F76*(1-VLOOKUP($A77,[1]Hugst!$R$5:$W$9,MATCH(ROUNDUP((G$1)/10,0)*10,[1]Hugst!$R$4:$W$4,0))))</f>
        <v>0</v>
      </c>
      <c r="H77" s="168">
        <f ca="1">IF($C77-H$1&lt;År1,0,G76*(1-VLOOKUP($A77,[1]Hugst!$R$5:$W$9,MATCH(ROUNDUP((H$1)/10,0)*10,[1]Hugst!$R$4:$W$4,0))))</f>
        <v>0</v>
      </c>
      <c r="I77" s="168">
        <f ca="1">IF($C77-I$1&lt;År1,0,H76*(1-VLOOKUP($A77,[1]Hugst!$R$5:$W$9,MATCH(ROUNDUP((I$1)/10,0)*10,[1]Hugst!$R$4:$W$4,0))))</f>
        <v>0</v>
      </c>
      <c r="J77" s="168">
        <f ca="1">IF($C77-J$1&lt;År1,0,I76*(1-VLOOKUP($A77,[1]Hugst!$R$5:$W$9,MATCH(ROUNDUP((J$1)/10,0)*10,[1]Hugst!$R$4:$W$4,0))))</f>
        <v>0</v>
      </c>
      <c r="K77" s="168">
        <f ca="1">IF($C77-K$1&lt;År1,0,J76*(1-VLOOKUP($A77,[1]Hugst!$R$5:$W$9,MATCH(ROUNDUP((K$1)/10,0)*10,[1]Hugst!$R$4:$W$4,0))))</f>
        <v>0</v>
      </c>
      <c r="L77" s="168">
        <f ca="1">IF($C77-L$1&lt;År1,0,K76*(1-VLOOKUP($A77,[1]Hugst!$R$5:$W$9,MATCH(ROUNDUP((L$1)/10,0)*10,[1]Hugst!$R$4:$W$4,0))))</f>
        <v>0</v>
      </c>
      <c r="M77" s="168">
        <f ca="1">IF($C77-M$1&lt;År1,0,L76*(1-VLOOKUP($A77,[1]Hugst!$R$5:$W$9,MATCH(ROUNDUP((M$1)/10,0)*10,[1]Hugst!$R$4:$W$4,0))))</f>
        <v>0</v>
      </c>
      <c r="N77" s="168">
        <f ca="1">IF($C77-N$1&lt;År1,0,M76*(1-VLOOKUP($A77,[1]Hugst!$R$5:$W$9,MATCH(ROUNDUP((N$1)/10,0)*10,[1]Hugst!$R$4:$W$4,0))))</f>
        <v>0</v>
      </c>
      <c r="O77" s="168">
        <f ca="1">IF($C77-O$1&lt;År1,0,N76*(1-VLOOKUP($A77,[1]Hugst!$R$5:$W$9,MATCH(ROUNDUP((O$1)/10,0)*10,[1]Hugst!$R$4:$W$4,0))))</f>
        <v>0</v>
      </c>
      <c r="P77" s="168">
        <f ca="1">IF($C77-P$1&lt;År1,0,O76*(1-VLOOKUP($A77,[1]Hugst!$R$5:$W$9,MATCH(ROUNDUP((P$1)/10,0)*10,[1]Hugst!$R$4:$W$4,0))))</f>
        <v>0</v>
      </c>
      <c r="Q77" s="168">
        <f ca="1">IF($C77-Q$1&lt;År1,0,P76*(1-VLOOKUP($A77,[1]Hugst!$R$5:$W$9,MATCH(ROUNDUP((Q$1)/10,0)*10,[1]Hugst!$R$4:$W$4,0))))</f>
        <v>0</v>
      </c>
      <c r="R77" s="168">
        <f ca="1">IF($C77-R$1&lt;År1,0,Q76*(1-VLOOKUP($A77,[1]Hugst!$R$5:$W$9,MATCH(ROUNDUP((R$1)/10,0)*10,[1]Hugst!$R$4:$W$4,0))))</f>
        <v>0</v>
      </c>
      <c r="S77" s="168">
        <f ca="1">IF($C77-S$1&lt;År1,0,R76*(1-VLOOKUP($A77,[1]Hugst!$R$5:$W$9,MATCH(ROUNDUP((S$1)/10,0)*10,[1]Hugst!$R$4:$W$4,0))))</f>
        <v>0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*VLOOKUP(A78,Skovbrug!$A$13:$D$17,IF('Skovbrug-alder'!C78&lt;=År2,3,4),FALSE)-IF(C78&gt;2020,SUM(INDEX($C$1:$D$311,MATCH(1,(2020=$C$1:$C$311)*(B78=$B$1:$B$311)*(A78=$A$1:$A$311),0),2):D77),0))</f>
        <v>0</v>
      </c>
      <c r="E78" s="168">
        <f t="shared" ca="1" si="1"/>
        <v>0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8">
        <f ca="1">IF($C78-G$1&lt;År1,0,F77*(1-VLOOKUP($A78,[1]Hugst!$R$5:$W$9,MATCH(ROUNDUP((G$1)/10,0)*10,[1]Hugst!$R$4:$W$4,0))))</f>
        <v>0</v>
      </c>
      <c r="H78" s="168">
        <f ca="1">IF($C78-H$1&lt;År1,0,G77*(1-VLOOKUP($A78,[1]Hugst!$R$5:$W$9,MATCH(ROUNDUP((H$1)/10,0)*10,[1]Hugst!$R$4:$W$4,0))))</f>
        <v>0</v>
      </c>
      <c r="I78" s="168">
        <f ca="1">IF($C78-I$1&lt;År1,0,H77*(1-VLOOKUP($A78,[1]Hugst!$R$5:$W$9,MATCH(ROUNDUP((I$1)/10,0)*10,[1]Hugst!$R$4:$W$4,0))))</f>
        <v>0</v>
      </c>
      <c r="J78" s="168">
        <f ca="1">IF($C78-J$1&lt;År1,0,I77*(1-VLOOKUP($A78,[1]Hugst!$R$5:$W$9,MATCH(ROUNDUP((J$1)/10,0)*10,[1]Hugst!$R$4:$W$4,0))))</f>
        <v>0</v>
      </c>
      <c r="K78" s="168">
        <f ca="1">IF($C78-K$1&lt;År1,0,J77*(1-VLOOKUP($A78,[1]Hugst!$R$5:$W$9,MATCH(ROUNDUP((K$1)/10,0)*10,[1]Hugst!$R$4:$W$4,0))))</f>
        <v>0</v>
      </c>
      <c r="L78" s="168">
        <f ca="1">IF($C78-L$1&lt;År1,0,K77*(1-VLOOKUP($A78,[1]Hugst!$R$5:$W$9,MATCH(ROUNDUP((L$1)/10,0)*10,[1]Hugst!$R$4:$W$4,0))))</f>
        <v>0</v>
      </c>
      <c r="M78" s="168">
        <f ca="1">IF($C78-M$1&lt;År1,0,L77*(1-VLOOKUP($A78,[1]Hugst!$R$5:$W$9,MATCH(ROUNDUP((M$1)/10,0)*10,[1]Hugst!$R$4:$W$4,0))))</f>
        <v>0</v>
      </c>
      <c r="N78" s="168">
        <f ca="1">IF($C78-N$1&lt;År1,0,M77*(1-VLOOKUP($A78,[1]Hugst!$R$5:$W$9,MATCH(ROUNDUP((N$1)/10,0)*10,[1]Hugst!$R$4:$W$4,0))))</f>
        <v>0</v>
      </c>
      <c r="O78" s="168">
        <f ca="1">IF($C78-O$1&lt;År1,0,N77*(1-VLOOKUP($A78,[1]Hugst!$R$5:$W$9,MATCH(ROUNDUP((O$1)/10,0)*10,[1]Hugst!$R$4:$W$4,0))))</f>
        <v>0</v>
      </c>
      <c r="P78" s="168">
        <f ca="1">IF($C78-P$1&lt;År1,0,O77*(1-VLOOKUP($A78,[1]Hugst!$R$5:$W$9,MATCH(ROUNDUP((P$1)/10,0)*10,[1]Hugst!$R$4:$W$4,0))))</f>
        <v>0</v>
      </c>
      <c r="Q78" s="168">
        <f ca="1">IF($C78-Q$1&lt;År1,0,P77*(1-VLOOKUP($A78,[1]Hugst!$R$5:$W$9,MATCH(ROUNDUP((Q$1)/10,0)*10,[1]Hugst!$R$4:$W$4,0))))</f>
        <v>0</v>
      </c>
      <c r="R78" s="168">
        <f ca="1">IF($C78-R$1&lt;År1,0,Q77*(1-VLOOKUP($A78,[1]Hugst!$R$5:$W$9,MATCH(ROUNDUP((R$1)/10,0)*10,[1]Hugst!$R$4:$W$4,0))))</f>
        <v>0</v>
      </c>
      <c r="S78" s="168">
        <f ca="1">IF($C78-S$1&lt;År1,0,R77*(1-VLOOKUP($A78,[1]Hugst!$R$5:$W$9,MATCH(ROUNDUP((S$1)/10,0)*10,[1]Hugst!$R$4:$W$4,0))))</f>
        <v>0</v>
      </c>
      <c r="T78" s="168">
        <f ca="1">IF($C78-T$1&lt;År1,0,S77*(1-VLOOKUP($A78,[1]Hugst!$R$5:$W$9,MATCH(ROUNDUP((T$1)/10,0)*10,[1]Hugst!$R$4:$W$4,0))))</f>
        <v>0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*VLOOKUP(A79,Skovbrug!$A$13:$D$17,IF('Skovbrug-alder'!C79&lt;=År2,3,4),FALSE)-IF(C79&gt;2020,SUM(INDEX($C$1:$D$311,MATCH(1,(2020=$C$1:$C$311)*(B79=$B$1:$B$311)*(A79=$A$1:$A$311),0),2):D78),0))</f>
        <v>0</v>
      </c>
      <c r="E79" s="168">
        <f t="shared" ca="1" si="1"/>
        <v>0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8">
        <f ca="1">IF($C79-G$1&lt;År1,0,F78*(1-VLOOKUP($A79,[1]Hugst!$R$5:$W$9,MATCH(ROUNDUP((G$1)/10,0)*10,[1]Hugst!$R$4:$W$4,0))))</f>
        <v>0</v>
      </c>
      <c r="H79" s="168">
        <f ca="1">IF($C79-H$1&lt;År1,0,G78*(1-VLOOKUP($A79,[1]Hugst!$R$5:$W$9,MATCH(ROUNDUP((H$1)/10,0)*10,[1]Hugst!$R$4:$W$4,0))))</f>
        <v>0</v>
      </c>
      <c r="I79" s="168">
        <f ca="1">IF($C79-I$1&lt;År1,0,H78*(1-VLOOKUP($A79,[1]Hugst!$R$5:$W$9,MATCH(ROUNDUP((I$1)/10,0)*10,[1]Hugst!$R$4:$W$4,0))))</f>
        <v>0</v>
      </c>
      <c r="J79" s="168">
        <f ca="1">IF($C79-J$1&lt;År1,0,I78*(1-VLOOKUP($A79,[1]Hugst!$R$5:$W$9,MATCH(ROUNDUP((J$1)/10,0)*10,[1]Hugst!$R$4:$W$4,0))))</f>
        <v>0</v>
      </c>
      <c r="K79" s="168">
        <f ca="1">IF($C79-K$1&lt;År1,0,J78*(1-VLOOKUP($A79,[1]Hugst!$R$5:$W$9,MATCH(ROUNDUP((K$1)/10,0)*10,[1]Hugst!$R$4:$W$4,0))))</f>
        <v>0</v>
      </c>
      <c r="L79" s="168">
        <f ca="1">IF($C79-L$1&lt;År1,0,K78*(1-VLOOKUP($A79,[1]Hugst!$R$5:$W$9,MATCH(ROUNDUP((L$1)/10,0)*10,[1]Hugst!$R$4:$W$4,0))))</f>
        <v>0</v>
      </c>
      <c r="M79" s="168">
        <f ca="1">IF($C79-M$1&lt;År1,0,L78*(1-VLOOKUP($A79,[1]Hugst!$R$5:$W$9,MATCH(ROUNDUP((M$1)/10,0)*10,[1]Hugst!$R$4:$W$4,0))))</f>
        <v>0</v>
      </c>
      <c r="N79" s="168">
        <f ca="1">IF($C79-N$1&lt;År1,0,M78*(1-VLOOKUP($A79,[1]Hugst!$R$5:$W$9,MATCH(ROUNDUP((N$1)/10,0)*10,[1]Hugst!$R$4:$W$4,0))))</f>
        <v>0</v>
      </c>
      <c r="O79" s="168">
        <f ca="1">IF($C79-O$1&lt;År1,0,N78*(1-VLOOKUP($A79,[1]Hugst!$R$5:$W$9,MATCH(ROUNDUP((O$1)/10,0)*10,[1]Hugst!$R$4:$W$4,0))))</f>
        <v>0</v>
      </c>
      <c r="P79" s="168">
        <f ca="1">IF($C79-P$1&lt;År1,0,O78*(1-VLOOKUP($A79,[1]Hugst!$R$5:$W$9,MATCH(ROUNDUP((P$1)/10,0)*10,[1]Hugst!$R$4:$W$4,0))))</f>
        <v>0</v>
      </c>
      <c r="Q79" s="168">
        <f ca="1">IF($C79-Q$1&lt;År1,0,P78*(1-VLOOKUP($A79,[1]Hugst!$R$5:$W$9,MATCH(ROUNDUP((Q$1)/10,0)*10,[1]Hugst!$R$4:$W$4,0))))</f>
        <v>0</v>
      </c>
      <c r="R79" s="168">
        <f ca="1">IF($C79-R$1&lt;År1,0,Q78*(1-VLOOKUP($A79,[1]Hugst!$R$5:$W$9,MATCH(ROUNDUP((R$1)/10,0)*10,[1]Hugst!$R$4:$W$4,0))))</f>
        <v>0</v>
      </c>
      <c r="S79" s="168">
        <f ca="1">IF($C79-S$1&lt;År1,0,R78*(1-VLOOKUP($A79,[1]Hugst!$R$5:$W$9,MATCH(ROUNDUP((S$1)/10,0)*10,[1]Hugst!$R$4:$W$4,0))))</f>
        <v>0</v>
      </c>
      <c r="T79" s="168">
        <f ca="1">IF($C79-T$1&lt;År1,0,S78*(1-VLOOKUP($A79,[1]Hugst!$R$5:$W$9,MATCH(ROUNDUP((T$1)/10,0)*10,[1]Hugst!$R$4:$W$4,0))))</f>
        <v>0</v>
      </c>
      <c r="U79" s="168">
        <f ca="1">IF($C79-U$1&lt;År1,0,T78*(1-VLOOKUP($A79,[1]Hugst!$R$5:$W$9,MATCH(ROUNDUP((U$1)/10,0)*10,[1]Hugst!$R$4:$W$4,0))))</f>
        <v>0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*VLOOKUP(A80,Skovbrug!$A$13:$D$17,IF('Skovbrug-alder'!C80&lt;=År2,3,4),FALSE)-IF(C80&gt;2020,SUM(INDEX($C$1:$D$311,MATCH(1,(2020=$C$1:$C$311)*(B80=$B$1:$B$311)*(A80=$A$1:$A$311),0),2):D79),0))</f>
        <v>0</v>
      </c>
      <c r="E80" s="168">
        <f t="shared" ca="1" si="1"/>
        <v>0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8">
        <f ca="1">IF($C80-G$1&lt;År1,0,F79*(1-VLOOKUP($A80,[1]Hugst!$R$5:$W$9,MATCH(ROUNDUP((G$1)/10,0)*10,[1]Hugst!$R$4:$W$4,0))))</f>
        <v>0</v>
      </c>
      <c r="H80" s="168">
        <f ca="1">IF($C80-H$1&lt;År1,0,G79*(1-VLOOKUP($A80,[1]Hugst!$R$5:$W$9,MATCH(ROUNDUP((H$1)/10,0)*10,[1]Hugst!$R$4:$W$4,0))))</f>
        <v>0</v>
      </c>
      <c r="I80" s="168">
        <f ca="1">IF($C80-I$1&lt;År1,0,H79*(1-VLOOKUP($A80,[1]Hugst!$R$5:$W$9,MATCH(ROUNDUP((I$1)/10,0)*10,[1]Hugst!$R$4:$W$4,0))))</f>
        <v>0</v>
      </c>
      <c r="J80" s="168">
        <f ca="1">IF($C80-J$1&lt;År1,0,I79*(1-VLOOKUP($A80,[1]Hugst!$R$5:$W$9,MATCH(ROUNDUP((J$1)/10,0)*10,[1]Hugst!$R$4:$W$4,0))))</f>
        <v>0</v>
      </c>
      <c r="K80" s="168">
        <f ca="1">IF($C80-K$1&lt;År1,0,J79*(1-VLOOKUP($A80,[1]Hugst!$R$5:$W$9,MATCH(ROUNDUP((K$1)/10,0)*10,[1]Hugst!$R$4:$W$4,0))))</f>
        <v>0</v>
      </c>
      <c r="L80" s="168">
        <f ca="1">IF($C80-L$1&lt;År1,0,K79*(1-VLOOKUP($A80,[1]Hugst!$R$5:$W$9,MATCH(ROUNDUP((L$1)/10,0)*10,[1]Hugst!$R$4:$W$4,0))))</f>
        <v>0</v>
      </c>
      <c r="M80" s="168">
        <f ca="1">IF($C80-M$1&lt;År1,0,L79*(1-VLOOKUP($A80,[1]Hugst!$R$5:$W$9,MATCH(ROUNDUP((M$1)/10,0)*10,[1]Hugst!$R$4:$W$4,0))))</f>
        <v>0</v>
      </c>
      <c r="N80" s="168">
        <f ca="1">IF($C80-N$1&lt;År1,0,M79*(1-VLOOKUP($A80,[1]Hugst!$R$5:$W$9,MATCH(ROUNDUP((N$1)/10,0)*10,[1]Hugst!$R$4:$W$4,0))))</f>
        <v>0</v>
      </c>
      <c r="O80" s="168">
        <f ca="1">IF($C80-O$1&lt;År1,0,N79*(1-VLOOKUP($A80,[1]Hugst!$R$5:$W$9,MATCH(ROUNDUP((O$1)/10,0)*10,[1]Hugst!$R$4:$W$4,0))))</f>
        <v>0</v>
      </c>
      <c r="P80" s="168">
        <f ca="1">IF($C80-P$1&lt;År1,0,O79*(1-VLOOKUP($A80,[1]Hugst!$R$5:$W$9,MATCH(ROUNDUP((P$1)/10,0)*10,[1]Hugst!$R$4:$W$4,0))))</f>
        <v>0</v>
      </c>
      <c r="Q80" s="168">
        <f ca="1">IF($C80-Q$1&lt;År1,0,P79*(1-VLOOKUP($A80,[1]Hugst!$R$5:$W$9,MATCH(ROUNDUP((Q$1)/10,0)*10,[1]Hugst!$R$4:$W$4,0))))</f>
        <v>0</v>
      </c>
      <c r="R80" s="168">
        <f ca="1">IF($C80-R$1&lt;År1,0,Q79*(1-VLOOKUP($A80,[1]Hugst!$R$5:$W$9,MATCH(ROUNDUP((R$1)/10,0)*10,[1]Hugst!$R$4:$W$4,0))))</f>
        <v>0</v>
      </c>
      <c r="S80" s="168">
        <f ca="1">IF($C80-S$1&lt;År1,0,R79*(1-VLOOKUP($A80,[1]Hugst!$R$5:$W$9,MATCH(ROUNDUP((S$1)/10,0)*10,[1]Hugst!$R$4:$W$4,0))))</f>
        <v>0</v>
      </c>
      <c r="T80" s="168">
        <f ca="1">IF($C80-T$1&lt;År1,0,S79*(1-VLOOKUP($A80,[1]Hugst!$R$5:$W$9,MATCH(ROUNDUP((T$1)/10,0)*10,[1]Hugst!$R$4:$W$4,0))))</f>
        <v>0</v>
      </c>
      <c r="U80" s="168">
        <f ca="1">IF($C80-U$1&lt;År1,0,T79*(1-VLOOKUP($A80,[1]Hugst!$R$5:$W$9,MATCH(ROUNDUP((U$1)/10,0)*10,[1]Hugst!$R$4:$W$4,0))))</f>
        <v>0</v>
      </c>
      <c r="V80" s="168">
        <f ca="1">IF($C80-V$1&lt;År1,0,U79*(1-VLOOKUP($A80,[1]Hugst!$R$5:$W$9,MATCH(ROUNDUP((V$1)/10,0)*10,[1]Hugst!$R$4:$W$4,0))))</f>
        <v>0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*VLOOKUP(A81,Skovbrug!$A$13:$D$17,IF('Skovbrug-alder'!C81&lt;=År2,3,4),FALSE)-IF(C81&gt;2020,SUM(INDEX($C$1:$D$311,MATCH(1,(2020=$C$1:$C$311)*(B81=$B$1:$B$311)*(A81=$A$1:$A$311),0),2):D80),0))</f>
        <v>0</v>
      </c>
      <c r="E81" s="168">
        <f t="shared" ca="1" si="1"/>
        <v>0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8">
        <f ca="1">IF($C81-G$1&lt;År1,0,F80*(1-VLOOKUP($A81,[1]Hugst!$R$5:$W$9,MATCH(ROUNDUP((G$1)/10,0)*10,[1]Hugst!$R$4:$W$4,0))))</f>
        <v>0</v>
      </c>
      <c r="H81" s="168">
        <f ca="1">IF($C81-H$1&lt;År1,0,G80*(1-VLOOKUP($A81,[1]Hugst!$R$5:$W$9,MATCH(ROUNDUP((H$1)/10,0)*10,[1]Hugst!$R$4:$W$4,0))))</f>
        <v>0</v>
      </c>
      <c r="I81" s="168">
        <f ca="1">IF($C81-I$1&lt;År1,0,H80*(1-VLOOKUP($A81,[1]Hugst!$R$5:$W$9,MATCH(ROUNDUP((I$1)/10,0)*10,[1]Hugst!$R$4:$W$4,0))))</f>
        <v>0</v>
      </c>
      <c r="J81" s="168">
        <f ca="1">IF($C81-J$1&lt;År1,0,I80*(1-VLOOKUP($A81,[1]Hugst!$R$5:$W$9,MATCH(ROUNDUP((J$1)/10,0)*10,[1]Hugst!$R$4:$W$4,0))))</f>
        <v>0</v>
      </c>
      <c r="K81" s="168">
        <f ca="1">IF($C81-K$1&lt;År1,0,J80*(1-VLOOKUP($A81,[1]Hugst!$R$5:$W$9,MATCH(ROUNDUP((K$1)/10,0)*10,[1]Hugst!$R$4:$W$4,0))))</f>
        <v>0</v>
      </c>
      <c r="L81" s="168">
        <f ca="1">IF($C81-L$1&lt;År1,0,K80*(1-VLOOKUP($A81,[1]Hugst!$R$5:$W$9,MATCH(ROUNDUP((L$1)/10,0)*10,[1]Hugst!$R$4:$W$4,0))))</f>
        <v>0</v>
      </c>
      <c r="M81" s="168">
        <f ca="1">IF($C81-M$1&lt;År1,0,L80*(1-VLOOKUP($A81,[1]Hugst!$R$5:$W$9,MATCH(ROUNDUP((M$1)/10,0)*10,[1]Hugst!$R$4:$W$4,0))))</f>
        <v>0</v>
      </c>
      <c r="N81" s="168">
        <f ca="1">IF($C81-N$1&lt;År1,0,M80*(1-VLOOKUP($A81,[1]Hugst!$R$5:$W$9,MATCH(ROUNDUP((N$1)/10,0)*10,[1]Hugst!$R$4:$W$4,0))))</f>
        <v>0</v>
      </c>
      <c r="O81" s="168">
        <f ca="1">IF($C81-O$1&lt;År1,0,N80*(1-VLOOKUP($A81,[1]Hugst!$R$5:$W$9,MATCH(ROUNDUP((O$1)/10,0)*10,[1]Hugst!$R$4:$W$4,0))))</f>
        <v>0</v>
      </c>
      <c r="P81" s="168">
        <f ca="1">IF($C81-P$1&lt;År1,0,O80*(1-VLOOKUP($A81,[1]Hugst!$R$5:$W$9,MATCH(ROUNDUP((P$1)/10,0)*10,[1]Hugst!$R$4:$W$4,0))))</f>
        <v>0</v>
      </c>
      <c r="Q81" s="168">
        <f ca="1">IF($C81-Q$1&lt;År1,0,P80*(1-VLOOKUP($A81,[1]Hugst!$R$5:$W$9,MATCH(ROUNDUP((Q$1)/10,0)*10,[1]Hugst!$R$4:$W$4,0))))</f>
        <v>0</v>
      </c>
      <c r="R81" s="168">
        <f ca="1">IF($C81-R$1&lt;År1,0,Q80*(1-VLOOKUP($A81,[1]Hugst!$R$5:$W$9,MATCH(ROUNDUP((R$1)/10,0)*10,[1]Hugst!$R$4:$W$4,0))))</f>
        <v>0</v>
      </c>
      <c r="S81" s="168">
        <f ca="1">IF($C81-S$1&lt;År1,0,R80*(1-VLOOKUP($A81,[1]Hugst!$R$5:$W$9,MATCH(ROUNDUP((S$1)/10,0)*10,[1]Hugst!$R$4:$W$4,0))))</f>
        <v>0</v>
      </c>
      <c r="T81" s="168">
        <f ca="1">IF($C81-T$1&lt;År1,0,S80*(1-VLOOKUP($A81,[1]Hugst!$R$5:$W$9,MATCH(ROUNDUP((T$1)/10,0)*10,[1]Hugst!$R$4:$W$4,0))))</f>
        <v>0</v>
      </c>
      <c r="U81" s="168">
        <f ca="1">IF($C81-U$1&lt;År1,0,T80*(1-VLOOKUP($A81,[1]Hugst!$R$5:$W$9,MATCH(ROUNDUP((U$1)/10,0)*10,[1]Hugst!$R$4:$W$4,0))))</f>
        <v>0</v>
      </c>
      <c r="V81" s="168">
        <f ca="1">IF($C81-V$1&lt;År1,0,U80*(1-VLOOKUP($A81,[1]Hugst!$R$5:$W$9,MATCH(ROUNDUP((V$1)/10,0)*10,[1]Hugst!$R$4:$W$4,0))))</f>
        <v>0</v>
      </c>
      <c r="W81" s="168">
        <f ca="1">IF($C81-W$1&lt;År1,0,V80*(1-VLOOKUP($A81,[1]Hugst!$R$5:$W$9,MATCH(ROUNDUP((W$1)/10,0)*10,[1]Hugst!$R$4:$W$4,0))))</f>
        <v>0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*VLOOKUP(A82,Skovbrug!$A$13:$D$17,IF('Skovbrug-alder'!C82&lt;=År2,3,4),FALSE)-IF(C82&gt;2020,SUM(INDEX($C$1:$D$311,MATCH(1,(2020=$C$1:$C$311)*(B82=$B$1:$B$311)*(A82=$A$1:$A$311),0),2):D81),0))</f>
        <v>0</v>
      </c>
      <c r="E82" s="168">
        <f t="shared" ca="1" si="1"/>
        <v>0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8">
        <f ca="1">IF($C82-G$1&lt;År1,0,F81*(1-VLOOKUP($A82,[1]Hugst!$R$5:$W$9,MATCH(ROUNDUP((G$1)/10,0)*10,[1]Hugst!$R$4:$W$4,0))))</f>
        <v>0</v>
      </c>
      <c r="H82" s="168">
        <f ca="1">IF($C82-H$1&lt;År1,0,G81*(1-VLOOKUP($A82,[1]Hugst!$R$5:$W$9,MATCH(ROUNDUP((H$1)/10,0)*10,[1]Hugst!$R$4:$W$4,0))))</f>
        <v>0</v>
      </c>
      <c r="I82" s="168">
        <f ca="1">IF($C82-I$1&lt;År1,0,H81*(1-VLOOKUP($A82,[1]Hugst!$R$5:$W$9,MATCH(ROUNDUP((I$1)/10,0)*10,[1]Hugst!$R$4:$W$4,0))))</f>
        <v>0</v>
      </c>
      <c r="J82" s="168">
        <f ca="1">IF($C82-J$1&lt;År1,0,I81*(1-VLOOKUP($A82,[1]Hugst!$R$5:$W$9,MATCH(ROUNDUP((J$1)/10,0)*10,[1]Hugst!$R$4:$W$4,0))))</f>
        <v>0</v>
      </c>
      <c r="K82" s="168">
        <f ca="1">IF($C82-K$1&lt;År1,0,J81*(1-VLOOKUP($A82,[1]Hugst!$R$5:$W$9,MATCH(ROUNDUP((K$1)/10,0)*10,[1]Hugst!$R$4:$W$4,0))))</f>
        <v>0</v>
      </c>
      <c r="L82" s="168">
        <f ca="1">IF($C82-L$1&lt;År1,0,K81*(1-VLOOKUP($A82,[1]Hugst!$R$5:$W$9,MATCH(ROUNDUP((L$1)/10,0)*10,[1]Hugst!$R$4:$W$4,0))))</f>
        <v>0</v>
      </c>
      <c r="M82" s="168">
        <f ca="1">IF($C82-M$1&lt;År1,0,L81*(1-VLOOKUP($A82,[1]Hugst!$R$5:$W$9,MATCH(ROUNDUP((M$1)/10,0)*10,[1]Hugst!$R$4:$W$4,0))))</f>
        <v>0</v>
      </c>
      <c r="N82" s="168">
        <f ca="1">IF($C82-N$1&lt;År1,0,M81*(1-VLOOKUP($A82,[1]Hugst!$R$5:$W$9,MATCH(ROUNDUP((N$1)/10,0)*10,[1]Hugst!$R$4:$W$4,0))))</f>
        <v>0</v>
      </c>
      <c r="O82" s="168">
        <f ca="1">IF($C82-O$1&lt;År1,0,N81*(1-VLOOKUP($A82,[1]Hugst!$R$5:$W$9,MATCH(ROUNDUP((O$1)/10,0)*10,[1]Hugst!$R$4:$W$4,0))))</f>
        <v>0</v>
      </c>
      <c r="P82" s="168">
        <f ca="1">IF($C82-P$1&lt;År1,0,O81*(1-VLOOKUP($A82,[1]Hugst!$R$5:$W$9,MATCH(ROUNDUP((P$1)/10,0)*10,[1]Hugst!$R$4:$W$4,0))))</f>
        <v>0</v>
      </c>
      <c r="Q82" s="168">
        <f ca="1">IF($C82-Q$1&lt;År1,0,P81*(1-VLOOKUP($A82,[1]Hugst!$R$5:$W$9,MATCH(ROUNDUP((Q$1)/10,0)*10,[1]Hugst!$R$4:$W$4,0))))</f>
        <v>0</v>
      </c>
      <c r="R82" s="168">
        <f ca="1">IF($C82-R$1&lt;År1,0,Q81*(1-VLOOKUP($A82,[1]Hugst!$R$5:$W$9,MATCH(ROUNDUP((R$1)/10,0)*10,[1]Hugst!$R$4:$W$4,0))))</f>
        <v>0</v>
      </c>
      <c r="S82" s="168">
        <f ca="1">IF($C82-S$1&lt;År1,0,R81*(1-VLOOKUP($A82,[1]Hugst!$R$5:$W$9,MATCH(ROUNDUP((S$1)/10,0)*10,[1]Hugst!$R$4:$W$4,0))))</f>
        <v>0</v>
      </c>
      <c r="T82" s="168">
        <f ca="1">IF($C82-T$1&lt;År1,0,S81*(1-VLOOKUP($A82,[1]Hugst!$R$5:$W$9,MATCH(ROUNDUP((T$1)/10,0)*10,[1]Hugst!$R$4:$W$4,0))))</f>
        <v>0</v>
      </c>
      <c r="U82" s="168">
        <f ca="1">IF($C82-U$1&lt;År1,0,T81*(1-VLOOKUP($A82,[1]Hugst!$R$5:$W$9,MATCH(ROUNDUP((U$1)/10,0)*10,[1]Hugst!$R$4:$W$4,0))))</f>
        <v>0</v>
      </c>
      <c r="V82" s="168">
        <f ca="1">IF($C82-V$1&lt;År1,0,U81*(1-VLOOKUP($A82,[1]Hugst!$R$5:$W$9,MATCH(ROUNDUP((V$1)/10,0)*10,[1]Hugst!$R$4:$W$4,0))))</f>
        <v>0</v>
      </c>
      <c r="W82" s="168">
        <f ca="1">IF($C82-W$1&lt;År1,0,V81*(1-VLOOKUP($A82,[1]Hugst!$R$5:$W$9,MATCH(ROUNDUP((W$1)/10,0)*10,[1]Hugst!$R$4:$W$4,0))))</f>
        <v>0</v>
      </c>
      <c r="X82" s="168">
        <f ca="1">IF($C82-X$1&lt;År1,0,W81*(1-VLOOKUP($A82,[1]Hugst!$R$5:$W$9,MATCH(ROUNDUP((X$1)/10,0)*10,[1]Hugst!$R$4:$W$4,0))))</f>
        <v>0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*VLOOKUP(A83,Skovbrug!$A$13:$D$17,IF('Skovbrug-alder'!C83&lt;=År2,3,4),FALSE)-IF(C83&gt;2020,SUM(INDEX($C$1:$D$311,MATCH(1,(2020=$C$1:$C$311)*(B83=$B$1:$B$311)*(A83=$A$1:$A$311),0),2):D82),0))</f>
        <v>0</v>
      </c>
      <c r="E83" s="168">
        <f t="shared" ca="1" si="1"/>
        <v>0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8">
        <f ca="1">IF($C83-G$1&lt;År1,0,F82*(1-VLOOKUP($A83,[1]Hugst!$R$5:$W$9,MATCH(ROUNDUP((G$1)/10,0)*10,[1]Hugst!$R$4:$W$4,0))))</f>
        <v>0</v>
      </c>
      <c r="H83" s="168">
        <f ca="1">IF($C83-H$1&lt;År1,0,G82*(1-VLOOKUP($A83,[1]Hugst!$R$5:$W$9,MATCH(ROUNDUP((H$1)/10,0)*10,[1]Hugst!$R$4:$W$4,0))))</f>
        <v>0</v>
      </c>
      <c r="I83" s="168">
        <f ca="1">IF($C83-I$1&lt;År1,0,H82*(1-VLOOKUP($A83,[1]Hugst!$R$5:$W$9,MATCH(ROUNDUP((I$1)/10,0)*10,[1]Hugst!$R$4:$W$4,0))))</f>
        <v>0</v>
      </c>
      <c r="J83" s="168">
        <f ca="1">IF($C83-J$1&lt;År1,0,I82*(1-VLOOKUP($A83,[1]Hugst!$R$5:$W$9,MATCH(ROUNDUP((J$1)/10,0)*10,[1]Hugst!$R$4:$W$4,0))))</f>
        <v>0</v>
      </c>
      <c r="K83" s="168">
        <f ca="1">IF($C83-K$1&lt;År1,0,J82*(1-VLOOKUP($A83,[1]Hugst!$R$5:$W$9,MATCH(ROUNDUP((K$1)/10,0)*10,[1]Hugst!$R$4:$W$4,0))))</f>
        <v>0</v>
      </c>
      <c r="L83" s="168">
        <f ca="1">IF($C83-L$1&lt;År1,0,K82*(1-VLOOKUP($A83,[1]Hugst!$R$5:$W$9,MATCH(ROUNDUP((L$1)/10,0)*10,[1]Hugst!$R$4:$W$4,0))))</f>
        <v>0</v>
      </c>
      <c r="M83" s="168">
        <f ca="1">IF($C83-M$1&lt;År1,0,L82*(1-VLOOKUP($A83,[1]Hugst!$R$5:$W$9,MATCH(ROUNDUP((M$1)/10,0)*10,[1]Hugst!$R$4:$W$4,0))))</f>
        <v>0</v>
      </c>
      <c r="N83" s="168">
        <f ca="1">IF($C83-N$1&lt;År1,0,M82*(1-VLOOKUP($A83,[1]Hugst!$R$5:$W$9,MATCH(ROUNDUP((N$1)/10,0)*10,[1]Hugst!$R$4:$W$4,0))))</f>
        <v>0</v>
      </c>
      <c r="O83" s="168">
        <f ca="1">IF($C83-O$1&lt;År1,0,N82*(1-VLOOKUP($A83,[1]Hugst!$R$5:$W$9,MATCH(ROUNDUP((O$1)/10,0)*10,[1]Hugst!$R$4:$W$4,0))))</f>
        <v>0</v>
      </c>
      <c r="P83" s="168">
        <f ca="1">IF($C83-P$1&lt;År1,0,O82*(1-VLOOKUP($A83,[1]Hugst!$R$5:$W$9,MATCH(ROUNDUP((P$1)/10,0)*10,[1]Hugst!$R$4:$W$4,0))))</f>
        <v>0</v>
      </c>
      <c r="Q83" s="168">
        <f ca="1">IF($C83-Q$1&lt;År1,0,P82*(1-VLOOKUP($A83,[1]Hugst!$R$5:$W$9,MATCH(ROUNDUP((Q$1)/10,0)*10,[1]Hugst!$R$4:$W$4,0))))</f>
        <v>0</v>
      </c>
      <c r="R83" s="168">
        <f ca="1">IF($C83-R$1&lt;År1,0,Q82*(1-VLOOKUP($A83,[1]Hugst!$R$5:$W$9,MATCH(ROUNDUP((R$1)/10,0)*10,[1]Hugst!$R$4:$W$4,0))))</f>
        <v>0</v>
      </c>
      <c r="S83" s="168">
        <f ca="1">IF($C83-S$1&lt;År1,0,R82*(1-VLOOKUP($A83,[1]Hugst!$R$5:$W$9,MATCH(ROUNDUP((S$1)/10,0)*10,[1]Hugst!$R$4:$W$4,0))))</f>
        <v>0</v>
      </c>
      <c r="T83" s="168">
        <f ca="1">IF($C83-T$1&lt;År1,0,S82*(1-VLOOKUP($A83,[1]Hugst!$R$5:$W$9,MATCH(ROUNDUP((T$1)/10,0)*10,[1]Hugst!$R$4:$W$4,0))))</f>
        <v>0</v>
      </c>
      <c r="U83" s="168">
        <f ca="1">IF($C83-U$1&lt;År1,0,T82*(1-VLOOKUP($A83,[1]Hugst!$R$5:$W$9,MATCH(ROUNDUP((U$1)/10,0)*10,[1]Hugst!$R$4:$W$4,0))))</f>
        <v>0</v>
      </c>
      <c r="V83" s="168">
        <f ca="1">IF($C83-V$1&lt;År1,0,U82*(1-VLOOKUP($A83,[1]Hugst!$R$5:$W$9,MATCH(ROUNDUP((V$1)/10,0)*10,[1]Hugst!$R$4:$W$4,0))))</f>
        <v>0</v>
      </c>
      <c r="W83" s="168">
        <f ca="1">IF($C83-W$1&lt;År1,0,V82*(1-VLOOKUP($A83,[1]Hugst!$R$5:$W$9,MATCH(ROUNDUP((W$1)/10,0)*10,[1]Hugst!$R$4:$W$4,0))))</f>
        <v>0</v>
      </c>
      <c r="X83" s="168">
        <f ca="1">IF($C83-X$1&lt;År1,0,W82*(1-VLOOKUP($A83,[1]Hugst!$R$5:$W$9,MATCH(ROUNDUP((X$1)/10,0)*10,[1]Hugst!$R$4:$W$4,0))))</f>
        <v>0</v>
      </c>
      <c r="Y83" s="168">
        <f ca="1">IF($C83-Y$1&lt;År1,0,X82*(1-VLOOKUP($A83,[1]Hugst!$R$5:$W$9,MATCH(ROUNDUP((Y$1)/10,0)*10,[1]Hugst!$R$4:$W$4,0))))</f>
        <v>0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*VLOOKUP(A84,Skovbrug!$A$13:$D$17,IF('Skovbrug-alder'!C84&lt;=År2,3,4),FALSE)-IF(C84&gt;2020,SUM(INDEX($C$1:$D$311,MATCH(1,(2020=$C$1:$C$311)*(B84=$B$1:$B$311)*(A84=$A$1:$A$311),0),2):D83),0))</f>
        <v>0</v>
      </c>
      <c r="E84" s="168">
        <f t="shared" ca="1" si="1"/>
        <v>0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8">
        <f ca="1">IF($C84-G$1&lt;År1,0,F83*(1-VLOOKUP($A84,[1]Hugst!$R$5:$W$9,MATCH(ROUNDUP((G$1)/10,0)*10,[1]Hugst!$R$4:$W$4,0))))</f>
        <v>0</v>
      </c>
      <c r="H84" s="168">
        <f ca="1">IF($C84-H$1&lt;År1,0,G83*(1-VLOOKUP($A84,[1]Hugst!$R$5:$W$9,MATCH(ROUNDUP((H$1)/10,0)*10,[1]Hugst!$R$4:$W$4,0))))</f>
        <v>0</v>
      </c>
      <c r="I84" s="168">
        <f ca="1">IF($C84-I$1&lt;År1,0,H83*(1-VLOOKUP($A84,[1]Hugst!$R$5:$W$9,MATCH(ROUNDUP((I$1)/10,0)*10,[1]Hugst!$R$4:$W$4,0))))</f>
        <v>0</v>
      </c>
      <c r="J84" s="168">
        <f ca="1">IF($C84-J$1&lt;År1,0,I83*(1-VLOOKUP($A84,[1]Hugst!$R$5:$W$9,MATCH(ROUNDUP((J$1)/10,0)*10,[1]Hugst!$R$4:$W$4,0))))</f>
        <v>0</v>
      </c>
      <c r="K84" s="168">
        <f ca="1">IF($C84-K$1&lt;År1,0,J83*(1-VLOOKUP($A84,[1]Hugst!$R$5:$W$9,MATCH(ROUNDUP((K$1)/10,0)*10,[1]Hugst!$R$4:$W$4,0))))</f>
        <v>0</v>
      </c>
      <c r="L84" s="168">
        <f ca="1">IF($C84-L$1&lt;År1,0,K83*(1-VLOOKUP($A84,[1]Hugst!$R$5:$W$9,MATCH(ROUNDUP((L$1)/10,0)*10,[1]Hugst!$R$4:$W$4,0))))</f>
        <v>0</v>
      </c>
      <c r="M84" s="168">
        <f ca="1">IF($C84-M$1&lt;År1,0,L83*(1-VLOOKUP($A84,[1]Hugst!$R$5:$W$9,MATCH(ROUNDUP((M$1)/10,0)*10,[1]Hugst!$R$4:$W$4,0))))</f>
        <v>0</v>
      </c>
      <c r="N84" s="168">
        <f ca="1">IF($C84-N$1&lt;År1,0,M83*(1-VLOOKUP($A84,[1]Hugst!$R$5:$W$9,MATCH(ROUNDUP((N$1)/10,0)*10,[1]Hugst!$R$4:$W$4,0))))</f>
        <v>0</v>
      </c>
      <c r="O84" s="168">
        <f ca="1">IF($C84-O$1&lt;År1,0,N83*(1-VLOOKUP($A84,[1]Hugst!$R$5:$W$9,MATCH(ROUNDUP((O$1)/10,0)*10,[1]Hugst!$R$4:$W$4,0))))</f>
        <v>0</v>
      </c>
      <c r="P84" s="168">
        <f ca="1">IF($C84-P$1&lt;År1,0,O83*(1-VLOOKUP($A84,[1]Hugst!$R$5:$W$9,MATCH(ROUNDUP((P$1)/10,0)*10,[1]Hugst!$R$4:$W$4,0))))</f>
        <v>0</v>
      </c>
      <c r="Q84" s="168">
        <f ca="1">IF($C84-Q$1&lt;År1,0,P83*(1-VLOOKUP($A84,[1]Hugst!$R$5:$W$9,MATCH(ROUNDUP((Q$1)/10,0)*10,[1]Hugst!$R$4:$W$4,0))))</f>
        <v>0</v>
      </c>
      <c r="R84" s="168">
        <f ca="1">IF($C84-R$1&lt;År1,0,Q83*(1-VLOOKUP($A84,[1]Hugst!$R$5:$W$9,MATCH(ROUNDUP((R$1)/10,0)*10,[1]Hugst!$R$4:$W$4,0))))</f>
        <v>0</v>
      </c>
      <c r="S84" s="168">
        <f ca="1">IF($C84-S$1&lt;År1,0,R83*(1-VLOOKUP($A84,[1]Hugst!$R$5:$W$9,MATCH(ROUNDUP((S$1)/10,0)*10,[1]Hugst!$R$4:$W$4,0))))</f>
        <v>0</v>
      </c>
      <c r="T84" s="168">
        <f ca="1">IF($C84-T$1&lt;År1,0,S83*(1-VLOOKUP($A84,[1]Hugst!$R$5:$W$9,MATCH(ROUNDUP((T$1)/10,0)*10,[1]Hugst!$R$4:$W$4,0))))</f>
        <v>0</v>
      </c>
      <c r="U84" s="168">
        <f ca="1">IF($C84-U$1&lt;År1,0,T83*(1-VLOOKUP($A84,[1]Hugst!$R$5:$W$9,MATCH(ROUNDUP((U$1)/10,0)*10,[1]Hugst!$R$4:$W$4,0))))</f>
        <v>0</v>
      </c>
      <c r="V84" s="168">
        <f ca="1">IF($C84-V$1&lt;År1,0,U83*(1-VLOOKUP($A84,[1]Hugst!$R$5:$W$9,MATCH(ROUNDUP((V$1)/10,0)*10,[1]Hugst!$R$4:$W$4,0))))</f>
        <v>0</v>
      </c>
      <c r="W84" s="168">
        <f ca="1">IF($C84-W$1&lt;År1,0,V83*(1-VLOOKUP($A84,[1]Hugst!$R$5:$W$9,MATCH(ROUNDUP((W$1)/10,0)*10,[1]Hugst!$R$4:$W$4,0))))</f>
        <v>0</v>
      </c>
      <c r="X84" s="168">
        <f ca="1">IF($C84-X$1&lt;År1,0,W83*(1-VLOOKUP($A84,[1]Hugst!$R$5:$W$9,MATCH(ROUNDUP((X$1)/10,0)*10,[1]Hugst!$R$4:$W$4,0))))</f>
        <v>0</v>
      </c>
      <c r="Y84" s="168">
        <f ca="1">IF($C84-Y$1&lt;År1,0,X83*(1-VLOOKUP($A84,[1]Hugst!$R$5:$W$9,MATCH(ROUNDUP((Y$1)/10,0)*10,[1]Hugst!$R$4:$W$4,0))))</f>
        <v>0</v>
      </c>
      <c r="Z84" s="168">
        <f ca="1">IF($C84-Z$1&lt;År1,0,Y83*(1-VLOOKUP($A84,[1]Hugst!$R$5:$W$9,MATCH(ROUNDUP((Z$1)/10,0)*10,[1]Hugst!$R$4:$W$4,0))))</f>
        <v>0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*VLOOKUP(A85,Skovbrug!$A$13:$D$17,IF('Skovbrug-alder'!C85&lt;=År2,3,4),FALSE)-IF(C85&gt;2020,SUM(INDEX($C$1:$D$311,MATCH(1,(2020=$C$1:$C$311)*(B85=$B$1:$B$311)*(A85=$A$1:$A$311),0),2):D84),0))</f>
        <v>0</v>
      </c>
      <c r="E85" s="168">
        <f t="shared" ca="1" si="1"/>
        <v>0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8">
        <f ca="1">IF($C85-G$1&lt;År1,0,F84*(1-VLOOKUP($A85,[1]Hugst!$R$5:$W$9,MATCH(ROUNDUP((G$1)/10,0)*10,[1]Hugst!$R$4:$W$4,0))))</f>
        <v>0</v>
      </c>
      <c r="H85" s="168">
        <f ca="1">IF($C85-H$1&lt;År1,0,G84*(1-VLOOKUP($A85,[1]Hugst!$R$5:$W$9,MATCH(ROUNDUP((H$1)/10,0)*10,[1]Hugst!$R$4:$W$4,0))))</f>
        <v>0</v>
      </c>
      <c r="I85" s="168">
        <f ca="1">IF($C85-I$1&lt;År1,0,H84*(1-VLOOKUP($A85,[1]Hugst!$R$5:$W$9,MATCH(ROUNDUP((I$1)/10,0)*10,[1]Hugst!$R$4:$W$4,0))))</f>
        <v>0</v>
      </c>
      <c r="J85" s="168">
        <f ca="1">IF($C85-J$1&lt;År1,0,I84*(1-VLOOKUP($A85,[1]Hugst!$R$5:$W$9,MATCH(ROUNDUP((J$1)/10,0)*10,[1]Hugst!$R$4:$W$4,0))))</f>
        <v>0</v>
      </c>
      <c r="K85" s="168">
        <f ca="1">IF($C85-K$1&lt;År1,0,J84*(1-VLOOKUP($A85,[1]Hugst!$R$5:$W$9,MATCH(ROUNDUP((K$1)/10,0)*10,[1]Hugst!$R$4:$W$4,0))))</f>
        <v>0</v>
      </c>
      <c r="L85" s="168">
        <f ca="1">IF($C85-L$1&lt;År1,0,K84*(1-VLOOKUP($A85,[1]Hugst!$R$5:$W$9,MATCH(ROUNDUP((L$1)/10,0)*10,[1]Hugst!$R$4:$W$4,0))))</f>
        <v>0</v>
      </c>
      <c r="M85" s="168">
        <f ca="1">IF($C85-M$1&lt;År1,0,L84*(1-VLOOKUP($A85,[1]Hugst!$R$5:$W$9,MATCH(ROUNDUP((M$1)/10,0)*10,[1]Hugst!$R$4:$W$4,0))))</f>
        <v>0</v>
      </c>
      <c r="N85" s="168">
        <f ca="1">IF($C85-N$1&lt;År1,0,M84*(1-VLOOKUP($A85,[1]Hugst!$R$5:$W$9,MATCH(ROUNDUP((N$1)/10,0)*10,[1]Hugst!$R$4:$W$4,0))))</f>
        <v>0</v>
      </c>
      <c r="O85" s="168">
        <f ca="1">IF($C85-O$1&lt;År1,0,N84*(1-VLOOKUP($A85,[1]Hugst!$R$5:$W$9,MATCH(ROUNDUP((O$1)/10,0)*10,[1]Hugst!$R$4:$W$4,0))))</f>
        <v>0</v>
      </c>
      <c r="P85" s="168">
        <f ca="1">IF($C85-P$1&lt;År1,0,O84*(1-VLOOKUP($A85,[1]Hugst!$R$5:$W$9,MATCH(ROUNDUP((P$1)/10,0)*10,[1]Hugst!$R$4:$W$4,0))))</f>
        <v>0</v>
      </c>
      <c r="Q85" s="168">
        <f ca="1">IF($C85-Q$1&lt;År1,0,P84*(1-VLOOKUP($A85,[1]Hugst!$R$5:$W$9,MATCH(ROUNDUP((Q$1)/10,0)*10,[1]Hugst!$R$4:$W$4,0))))</f>
        <v>0</v>
      </c>
      <c r="R85" s="168">
        <f ca="1">IF($C85-R$1&lt;År1,0,Q84*(1-VLOOKUP($A85,[1]Hugst!$R$5:$W$9,MATCH(ROUNDUP((R$1)/10,0)*10,[1]Hugst!$R$4:$W$4,0))))</f>
        <v>0</v>
      </c>
      <c r="S85" s="168">
        <f ca="1">IF($C85-S$1&lt;År1,0,R84*(1-VLOOKUP($A85,[1]Hugst!$R$5:$W$9,MATCH(ROUNDUP((S$1)/10,0)*10,[1]Hugst!$R$4:$W$4,0))))</f>
        <v>0</v>
      </c>
      <c r="T85" s="168">
        <f ca="1">IF($C85-T$1&lt;År1,0,S84*(1-VLOOKUP($A85,[1]Hugst!$R$5:$W$9,MATCH(ROUNDUP((T$1)/10,0)*10,[1]Hugst!$R$4:$W$4,0))))</f>
        <v>0</v>
      </c>
      <c r="U85" s="168">
        <f ca="1">IF($C85-U$1&lt;År1,0,T84*(1-VLOOKUP($A85,[1]Hugst!$R$5:$W$9,MATCH(ROUNDUP((U$1)/10,0)*10,[1]Hugst!$R$4:$W$4,0))))</f>
        <v>0</v>
      </c>
      <c r="V85" s="168">
        <f ca="1">IF($C85-V$1&lt;År1,0,U84*(1-VLOOKUP($A85,[1]Hugst!$R$5:$W$9,MATCH(ROUNDUP((V$1)/10,0)*10,[1]Hugst!$R$4:$W$4,0))))</f>
        <v>0</v>
      </c>
      <c r="W85" s="168">
        <f ca="1">IF($C85-W$1&lt;År1,0,V84*(1-VLOOKUP($A85,[1]Hugst!$R$5:$W$9,MATCH(ROUNDUP((W$1)/10,0)*10,[1]Hugst!$R$4:$W$4,0))))</f>
        <v>0</v>
      </c>
      <c r="X85" s="168">
        <f ca="1">IF($C85-X$1&lt;År1,0,W84*(1-VLOOKUP($A85,[1]Hugst!$R$5:$W$9,MATCH(ROUNDUP((X$1)/10,0)*10,[1]Hugst!$R$4:$W$4,0))))</f>
        <v>0</v>
      </c>
      <c r="Y85" s="168">
        <f ca="1">IF($C85-Y$1&lt;År1,0,X84*(1-VLOOKUP($A85,[1]Hugst!$R$5:$W$9,MATCH(ROUNDUP((Y$1)/10,0)*10,[1]Hugst!$R$4:$W$4,0))))</f>
        <v>0</v>
      </c>
      <c r="Z85" s="168">
        <f ca="1">IF($C85-Z$1&lt;År1,0,Y84*(1-VLOOKUP($A85,[1]Hugst!$R$5:$W$9,MATCH(ROUNDUP((Z$1)/10,0)*10,[1]Hugst!$R$4:$W$4,0))))</f>
        <v>0</v>
      </c>
      <c r="AA85" s="168">
        <f ca="1">IF($C85-AA$1&lt;År1,0,Z84*(1-VLOOKUP($A85,[1]Hugst!$R$5:$W$9,MATCH(ROUNDUP((AA$1)/10,0)*10,[1]Hugst!$R$4:$W$4,0))))</f>
        <v>0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*VLOOKUP(A86,Skovbrug!$A$13:$D$17,IF('Skovbrug-alder'!C86&lt;=År2,3,4),FALSE)-IF(C86&gt;2020,SUM(INDEX($C$1:$D$311,MATCH(1,(2020=$C$1:$C$311)*(B86=$B$1:$B$311)*(A86=$A$1:$A$311),0),2):D85),0))</f>
        <v>0</v>
      </c>
      <c r="E86" s="168">
        <f t="shared" ca="1" si="1"/>
        <v>0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8">
        <f ca="1">IF($C86-G$1&lt;År1,0,F85*(1-VLOOKUP($A86,[1]Hugst!$R$5:$W$9,MATCH(ROUNDUP((G$1)/10,0)*10,[1]Hugst!$R$4:$W$4,0))))</f>
        <v>0</v>
      </c>
      <c r="H86" s="168">
        <f ca="1">IF($C86-H$1&lt;År1,0,G85*(1-VLOOKUP($A86,[1]Hugst!$R$5:$W$9,MATCH(ROUNDUP((H$1)/10,0)*10,[1]Hugst!$R$4:$W$4,0))))</f>
        <v>0</v>
      </c>
      <c r="I86" s="168">
        <f ca="1">IF($C86-I$1&lt;År1,0,H85*(1-VLOOKUP($A86,[1]Hugst!$R$5:$W$9,MATCH(ROUNDUP((I$1)/10,0)*10,[1]Hugst!$R$4:$W$4,0))))</f>
        <v>0</v>
      </c>
      <c r="J86" s="168">
        <f ca="1">IF($C86-J$1&lt;År1,0,I85*(1-VLOOKUP($A86,[1]Hugst!$R$5:$W$9,MATCH(ROUNDUP((J$1)/10,0)*10,[1]Hugst!$R$4:$W$4,0))))</f>
        <v>0</v>
      </c>
      <c r="K86" s="168">
        <f ca="1">IF($C86-K$1&lt;År1,0,J85*(1-VLOOKUP($A86,[1]Hugst!$R$5:$W$9,MATCH(ROUNDUP((K$1)/10,0)*10,[1]Hugst!$R$4:$W$4,0))))</f>
        <v>0</v>
      </c>
      <c r="L86" s="168">
        <f ca="1">IF($C86-L$1&lt;År1,0,K85*(1-VLOOKUP($A86,[1]Hugst!$R$5:$W$9,MATCH(ROUNDUP((L$1)/10,0)*10,[1]Hugst!$R$4:$W$4,0))))</f>
        <v>0</v>
      </c>
      <c r="M86" s="168">
        <f ca="1">IF($C86-M$1&lt;År1,0,L85*(1-VLOOKUP($A86,[1]Hugst!$R$5:$W$9,MATCH(ROUNDUP((M$1)/10,0)*10,[1]Hugst!$R$4:$W$4,0))))</f>
        <v>0</v>
      </c>
      <c r="N86" s="168">
        <f ca="1">IF($C86-N$1&lt;År1,0,M85*(1-VLOOKUP($A86,[1]Hugst!$R$5:$W$9,MATCH(ROUNDUP((N$1)/10,0)*10,[1]Hugst!$R$4:$W$4,0))))</f>
        <v>0</v>
      </c>
      <c r="O86" s="168">
        <f ca="1">IF($C86-O$1&lt;År1,0,N85*(1-VLOOKUP($A86,[1]Hugst!$R$5:$W$9,MATCH(ROUNDUP((O$1)/10,0)*10,[1]Hugst!$R$4:$W$4,0))))</f>
        <v>0</v>
      </c>
      <c r="P86" s="168">
        <f ca="1">IF($C86-P$1&lt;År1,0,O85*(1-VLOOKUP($A86,[1]Hugst!$R$5:$W$9,MATCH(ROUNDUP((P$1)/10,0)*10,[1]Hugst!$R$4:$W$4,0))))</f>
        <v>0</v>
      </c>
      <c r="Q86" s="168">
        <f ca="1">IF($C86-Q$1&lt;År1,0,P85*(1-VLOOKUP($A86,[1]Hugst!$R$5:$W$9,MATCH(ROUNDUP((Q$1)/10,0)*10,[1]Hugst!$R$4:$W$4,0))))</f>
        <v>0</v>
      </c>
      <c r="R86" s="168">
        <f ca="1">IF($C86-R$1&lt;År1,0,Q85*(1-VLOOKUP($A86,[1]Hugst!$R$5:$W$9,MATCH(ROUNDUP((R$1)/10,0)*10,[1]Hugst!$R$4:$W$4,0))))</f>
        <v>0</v>
      </c>
      <c r="S86" s="168">
        <f ca="1">IF($C86-S$1&lt;År1,0,R85*(1-VLOOKUP($A86,[1]Hugst!$R$5:$W$9,MATCH(ROUNDUP((S$1)/10,0)*10,[1]Hugst!$R$4:$W$4,0))))</f>
        <v>0</v>
      </c>
      <c r="T86" s="168">
        <f ca="1">IF($C86-T$1&lt;År1,0,S85*(1-VLOOKUP($A86,[1]Hugst!$R$5:$W$9,MATCH(ROUNDUP((T$1)/10,0)*10,[1]Hugst!$R$4:$W$4,0))))</f>
        <v>0</v>
      </c>
      <c r="U86" s="168">
        <f ca="1">IF($C86-U$1&lt;År1,0,T85*(1-VLOOKUP($A86,[1]Hugst!$R$5:$W$9,MATCH(ROUNDUP((U$1)/10,0)*10,[1]Hugst!$R$4:$W$4,0))))</f>
        <v>0</v>
      </c>
      <c r="V86" s="168">
        <f ca="1">IF($C86-V$1&lt;År1,0,U85*(1-VLOOKUP($A86,[1]Hugst!$R$5:$W$9,MATCH(ROUNDUP((V$1)/10,0)*10,[1]Hugst!$R$4:$W$4,0))))</f>
        <v>0</v>
      </c>
      <c r="W86" s="168">
        <f ca="1">IF($C86-W$1&lt;År1,0,V85*(1-VLOOKUP($A86,[1]Hugst!$R$5:$W$9,MATCH(ROUNDUP((W$1)/10,0)*10,[1]Hugst!$R$4:$W$4,0))))</f>
        <v>0</v>
      </c>
      <c r="X86" s="168">
        <f ca="1">IF($C86-X$1&lt;År1,0,W85*(1-VLOOKUP($A86,[1]Hugst!$R$5:$W$9,MATCH(ROUNDUP((X$1)/10,0)*10,[1]Hugst!$R$4:$W$4,0))))</f>
        <v>0</v>
      </c>
      <c r="Y86" s="168">
        <f ca="1">IF($C86-Y$1&lt;År1,0,X85*(1-VLOOKUP($A86,[1]Hugst!$R$5:$W$9,MATCH(ROUNDUP((Y$1)/10,0)*10,[1]Hugst!$R$4:$W$4,0))))</f>
        <v>0</v>
      </c>
      <c r="Z86" s="168">
        <f ca="1">IF($C86-Z$1&lt;År1,0,Y85*(1-VLOOKUP($A86,[1]Hugst!$R$5:$W$9,MATCH(ROUNDUP((Z$1)/10,0)*10,[1]Hugst!$R$4:$W$4,0))))</f>
        <v>0</v>
      </c>
      <c r="AA86" s="168">
        <f ca="1">IF($C86-AA$1&lt;År1,0,Z85*(1-VLOOKUP($A86,[1]Hugst!$R$5:$W$9,MATCH(ROUNDUP((AA$1)/10,0)*10,[1]Hugst!$R$4:$W$4,0))))</f>
        <v>0</v>
      </c>
      <c r="AB86" s="168">
        <f ca="1">IF($C86-AB$1&lt;År1,0,AA85*(1-VLOOKUP($A86,[1]Hugst!$R$5:$W$9,MATCH(ROUNDUP((AB$1)/10,0)*10,[1]Hugst!$R$4:$W$4,0))))</f>
        <v>0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*VLOOKUP(A87,Skovbrug!$A$13:$D$17,IF('Skovbrug-alder'!C87&lt;=År2,3,4),FALSE)-IF(C87&gt;2020,SUM(INDEX($C$1:$D$311,MATCH(1,(2020=$C$1:$C$311)*(B87=$B$1:$B$311)*(A87=$A$1:$A$311),0),2):D86),0))</f>
        <v>0</v>
      </c>
      <c r="E87" s="168">
        <f t="shared" ca="1" si="1"/>
        <v>0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8">
        <f ca="1">IF($C87-G$1&lt;År1,0,F86*(1-VLOOKUP($A87,[1]Hugst!$R$5:$W$9,MATCH(ROUNDUP((G$1)/10,0)*10,[1]Hugst!$R$4:$W$4,0))))</f>
        <v>0</v>
      </c>
      <c r="H87" s="168">
        <f ca="1">IF($C87-H$1&lt;År1,0,G86*(1-VLOOKUP($A87,[1]Hugst!$R$5:$W$9,MATCH(ROUNDUP((H$1)/10,0)*10,[1]Hugst!$R$4:$W$4,0))))</f>
        <v>0</v>
      </c>
      <c r="I87" s="168">
        <f ca="1">IF($C87-I$1&lt;År1,0,H86*(1-VLOOKUP($A87,[1]Hugst!$R$5:$W$9,MATCH(ROUNDUP((I$1)/10,0)*10,[1]Hugst!$R$4:$W$4,0))))</f>
        <v>0</v>
      </c>
      <c r="J87" s="168">
        <f ca="1">IF($C87-J$1&lt;År1,0,I86*(1-VLOOKUP($A87,[1]Hugst!$R$5:$W$9,MATCH(ROUNDUP((J$1)/10,0)*10,[1]Hugst!$R$4:$W$4,0))))</f>
        <v>0</v>
      </c>
      <c r="K87" s="168">
        <f ca="1">IF($C87-K$1&lt;År1,0,J86*(1-VLOOKUP($A87,[1]Hugst!$R$5:$W$9,MATCH(ROUNDUP((K$1)/10,0)*10,[1]Hugst!$R$4:$W$4,0))))</f>
        <v>0</v>
      </c>
      <c r="L87" s="168">
        <f ca="1">IF($C87-L$1&lt;År1,0,K86*(1-VLOOKUP($A87,[1]Hugst!$R$5:$W$9,MATCH(ROUNDUP((L$1)/10,0)*10,[1]Hugst!$R$4:$W$4,0))))</f>
        <v>0</v>
      </c>
      <c r="M87" s="168">
        <f ca="1">IF($C87-M$1&lt;År1,0,L86*(1-VLOOKUP($A87,[1]Hugst!$R$5:$W$9,MATCH(ROUNDUP((M$1)/10,0)*10,[1]Hugst!$R$4:$W$4,0))))</f>
        <v>0</v>
      </c>
      <c r="N87" s="168">
        <f ca="1">IF($C87-N$1&lt;År1,0,M86*(1-VLOOKUP($A87,[1]Hugst!$R$5:$W$9,MATCH(ROUNDUP((N$1)/10,0)*10,[1]Hugst!$R$4:$W$4,0))))</f>
        <v>0</v>
      </c>
      <c r="O87" s="168">
        <f ca="1">IF($C87-O$1&lt;År1,0,N86*(1-VLOOKUP($A87,[1]Hugst!$R$5:$W$9,MATCH(ROUNDUP((O$1)/10,0)*10,[1]Hugst!$R$4:$W$4,0))))</f>
        <v>0</v>
      </c>
      <c r="P87" s="168">
        <f ca="1">IF($C87-P$1&lt;År1,0,O86*(1-VLOOKUP($A87,[1]Hugst!$R$5:$W$9,MATCH(ROUNDUP((P$1)/10,0)*10,[1]Hugst!$R$4:$W$4,0))))</f>
        <v>0</v>
      </c>
      <c r="Q87" s="168">
        <f ca="1">IF($C87-Q$1&lt;År1,0,P86*(1-VLOOKUP($A87,[1]Hugst!$R$5:$W$9,MATCH(ROUNDUP((Q$1)/10,0)*10,[1]Hugst!$R$4:$W$4,0))))</f>
        <v>0</v>
      </c>
      <c r="R87" s="168">
        <f ca="1">IF($C87-R$1&lt;År1,0,Q86*(1-VLOOKUP($A87,[1]Hugst!$R$5:$W$9,MATCH(ROUNDUP((R$1)/10,0)*10,[1]Hugst!$R$4:$W$4,0))))</f>
        <v>0</v>
      </c>
      <c r="S87" s="168">
        <f ca="1">IF($C87-S$1&lt;År1,0,R86*(1-VLOOKUP($A87,[1]Hugst!$R$5:$W$9,MATCH(ROUNDUP((S$1)/10,0)*10,[1]Hugst!$R$4:$W$4,0))))</f>
        <v>0</v>
      </c>
      <c r="T87" s="168">
        <f ca="1">IF($C87-T$1&lt;År1,0,S86*(1-VLOOKUP($A87,[1]Hugst!$R$5:$W$9,MATCH(ROUNDUP((T$1)/10,0)*10,[1]Hugst!$R$4:$W$4,0))))</f>
        <v>0</v>
      </c>
      <c r="U87" s="168">
        <f ca="1">IF($C87-U$1&lt;År1,0,T86*(1-VLOOKUP($A87,[1]Hugst!$R$5:$W$9,MATCH(ROUNDUP((U$1)/10,0)*10,[1]Hugst!$R$4:$W$4,0))))</f>
        <v>0</v>
      </c>
      <c r="V87" s="168">
        <f ca="1">IF($C87-V$1&lt;År1,0,U86*(1-VLOOKUP($A87,[1]Hugst!$R$5:$W$9,MATCH(ROUNDUP((V$1)/10,0)*10,[1]Hugst!$R$4:$W$4,0))))</f>
        <v>0</v>
      </c>
      <c r="W87" s="168">
        <f ca="1">IF($C87-W$1&lt;År1,0,V86*(1-VLOOKUP($A87,[1]Hugst!$R$5:$W$9,MATCH(ROUNDUP((W$1)/10,0)*10,[1]Hugst!$R$4:$W$4,0))))</f>
        <v>0</v>
      </c>
      <c r="X87" s="168">
        <f ca="1">IF($C87-X$1&lt;År1,0,W86*(1-VLOOKUP($A87,[1]Hugst!$R$5:$W$9,MATCH(ROUNDUP((X$1)/10,0)*10,[1]Hugst!$R$4:$W$4,0))))</f>
        <v>0</v>
      </c>
      <c r="Y87" s="168">
        <f ca="1">IF($C87-Y$1&lt;År1,0,X86*(1-VLOOKUP($A87,[1]Hugst!$R$5:$W$9,MATCH(ROUNDUP((Y$1)/10,0)*10,[1]Hugst!$R$4:$W$4,0))))</f>
        <v>0</v>
      </c>
      <c r="Z87" s="168">
        <f ca="1">IF($C87-Z$1&lt;År1,0,Y86*(1-VLOOKUP($A87,[1]Hugst!$R$5:$W$9,MATCH(ROUNDUP((Z$1)/10,0)*10,[1]Hugst!$R$4:$W$4,0))))</f>
        <v>0</v>
      </c>
      <c r="AA87" s="168">
        <f ca="1">IF($C87-AA$1&lt;År1,0,Z86*(1-VLOOKUP($A87,[1]Hugst!$R$5:$W$9,MATCH(ROUNDUP((AA$1)/10,0)*10,[1]Hugst!$R$4:$W$4,0))))</f>
        <v>0</v>
      </c>
      <c r="AB87" s="168">
        <f ca="1">IF($C87-AB$1&lt;År1,0,AA86*(1-VLOOKUP($A87,[1]Hugst!$R$5:$W$9,MATCH(ROUNDUP((AB$1)/10,0)*10,[1]Hugst!$R$4:$W$4,0))))</f>
        <v>0</v>
      </c>
      <c r="AC87" s="168">
        <f ca="1">IF($C87-AC$1&lt;År1,0,AB86*(1-VLOOKUP($A87,[1]Hugst!$R$5:$W$9,MATCH(ROUNDUP((AC$1)/10,0)*10,[1]Hugst!$R$4:$W$4,0))))</f>
        <v>0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*VLOOKUP(A88,Skovbrug!$A$13:$D$17,IF('Skovbrug-alder'!C88&lt;=År2,3,4),FALSE)-IF(C88&gt;2020,SUM(INDEX($C$1:$D$311,MATCH(1,(2020=$C$1:$C$311)*(B88=$B$1:$B$311)*(A88=$A$1:$A$311),0),2):D87),0))</f>
        <v>0</v>
      </c>
      <c r="E88" s="168">
        <f t="shared" ca="1" si="1"/>
        <v>0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8">
        <f ca="1">IF($C88-G$1&lt;År1,0,F87*(1-VLOOKUP($A88,[1]Hugst!$R$5:$W$9,MATCH(ROUNDUP((G$1)/10,0)*10,[1]Hugst!$R$4:$W$4,0))))</f>
        <v>0</v>
      </c>
      <c r="H88" s="168">
        <f ca="1">IF($C88-H$1&lt;År1,0,G87*(1-VLOOKUP($A88,[1]Hugst!$R$5:$W$9,MATCH(ROUNDUP((H$1)/10,0)*10,[1]Hugst!$R$4:$W$4,0))))</f>
        <v>0</v>
      </c>
      <c r="I88" s="168">
        <f ca="1">IF($C88-I$1&lt;År1,0,H87*(1-VLOOKUP($A88,[1]Hugst!$R$5:$W$9,MATCH(ROUNDUP((I$1)/10,0)*10,[1]Hugst!$R$4:$W$4,0))))</f>
        <v>0</v>
      </c>
      <c r="J88" s="168">
        <f ca="1">IF($C88-J$1&lt;År1,0,I87*(1-VLOOKUP($A88,[1]Hugst!$R$5:$W$9,MATCH(ROUNDUP((J$1)/10,0)*10,[1]Hugst!$R$4:$W$4,0))))</f>
        <v>0</v>
      </c>
      <c r="K88" s="168">
        <f ca="1">IF($C88-K$1&lt;År1,0,J87*(1-VLOOKUP($A88,[1]Hugst!$R$5:$W$9,MATCH(ROUNDUP((K$1)/10,0)*10,[1]Hugst!$R$4:$W$4,0))))</f>
        <v>0</v>
      </c>
      <c r="L88" s="168">
        <f ca="1">IF($C88-L$1&lt;År1,0,K87*(1-VLOOKUP($A88,[1]Hugst!$R$5:$W$9,MATCH(ROUNDUP((L$1)/10,0)*10,[1]Hugst!$R$4:$W$4,0))))</f>
        <v>0</v>
      </c>
      <c r="M88" s="168">
        <f ca="1">IF($C88-M$1&lt;År1,0,L87*(1-VLOOKUP($A88,[1]Hugst!$R$5:$W$9,MATCH(ROUNDUP((M$1)/10,0)*10,[1]Hugst!$R$4:$W$4,0))))</f>
        <v>0</v>
      </c>
      <c r="N88" s="168">
        <f ca="1">IF($C88-N$1&lt;År1,0,M87*(1-VLOOKUP($A88,[1]Hugst!$R$5:$W$9,MATCH(ROUNDUP((N$1)/10,0)*10,[1]Hugst!$R$4:$W$4,0))))</f>
        <v>0</v>
      </c>
      <c r="O88" s="168">
        <f ca="1">IF($C88-O$1&lt;År1,0,N87*(1-VLOOKUP($A88,[1]Hugst!$R$5:$W$9,MATCH(ROUNDUP((O$1)/10,0)*10,[1]Hugst!$R$4:$W$4,0))))</f>
        <v>0</v>
      </c>
      <c r="P88" s="168">
        <f ca="1">IF($C88-P$1&lt;År1,0,O87*(1-VLOOKUP($A88,[1]Hugst!$R$5:$W$9,MATCH(ROUNDUP((P$1)/10,0)*10,[1]Hugst!$R$4:$W$4,0))))</f>
        <v>0</v>
      </c>
      <c r="Q88" s="168">
        <f ca="1">IF($C88-Q$1&lt;År1,0,P87*(1-VLOOKUP($A88,[1]Hugst!$R$5:$W$9,MATCH(ROUNDUP((Q$1)/10,0)*10,[1]Hugst!$R$4:$W$4,0))))</f>
        <v>0</v>
      </c>
      <c r="R88" s="168">
        <f ca="1">IF($C88-R$1&lt;År1,0,Q87*(1-VLOOKUP($A88,[1]Hugst!$R$5:$W$9,MATCH(ROUNDUP((R$1)/10,0)*10,[1]Hugst!$R$4:$W$4,0))))</f>
        <v>0</v>
      </c>
      <c r="S88" s="168">
        <f ca="1">IF($C88-S$1&lt;År1,0,R87*(1-VLOOKUP($A88,[1]Hugst!$R$5:$W$9,MATCH(ROUNDUP((S$1)/10,0)*10,[1]Hugst!$R$4:$W$4,0))))</f>
        <v>0</v>
      </c>
      <c r="T88" s="168">
        <f ca="1">IF($C88-T$1&lt;År1,0,S87*(1-VLOOKUP($A88,[1]Hugst!$R$5:$W$9,MATCH(ROUNDUP((T$1)/10,0)*10,[1]Hugst!$R$4:$W$4,0))))</f>
        <v>0</v>
      </c>
      <c r="U88" s="168">
        <f ca="1">IF($C88-U$1&lt;År1,0,T87*(1-VLOOKUP($A88,[1]Hugst!$R$5:$W$9,MATCH(ROUNDUP((U$1)/10,0)*10,[1]Hugst!$R$4:$W$4,0))))</f>
        <v>0</v>
      </c>
      <c r="V88" s="168">
        <f ca="1">IF($C88-V$1&lt;År1,0,U87*(1-VLOOKUP($A88,[1]Hugst!$R$5:$W$9,MATCH(ROUNDUP((V$1)/10,0)*10,[1]Hugst!$R$4:$W$4,0))))</f>
        <v>0</v>
      </c>
      <c r="W88" s="168">
        <f ca="1">IF($C88-W$1&lt;År1,0,V87*(1-VLOOKUP($A88,[1]Hugst!$R$5:$W$9,MATCH(ROUNDUP((W$1)/10,0)*10,[1]Hugst!$R$4:$W$4,0))))</f>
        <v>0</v>
      </c>
      <c r="X88" s="168">
        <f ca="1">IF($C88-X$1&lt;År1,0,W87*(1-VLOOKUP($A88,[1]Hugst!$R$5:$W$9,MATCH(ROUNDUP((X$1)/10,0)*10,[1]Hugst!$R$4:$W$4,0))))</f>
        <v>0</v>
      </c>
      <c r="Y88" s="168">
        <f ca="1">IF($C88-Y$1&lt;År1,0,X87*(1-VLOOKUP($A88,[1]Hugst!$R$5:$W$9,MATCH(ROUNDUP((Y$1)/10,0)*10,[1]Hugst!$R$4:$W$4,0))))</f>
        <v>0</v>
      </c>
      <c r="Z88" s="168">
        <f ca="1">IF($C88-Z$1&lt;År1,0,Y87*(1-VLOOKUP($A88,[1]Hugst!$R$5:$W$9,MATCH(ROUNDUP((Z$1)/10,0)*10,[1]Hugst!$R$4:$W$4,0))))</f>
        <v>0</v>
      </c>
      <c r="AA88" s="168">
        <f ca="1">IF($C88-AA$1&lt;År1,0,Z87*(1-VLOOKUP($A88,[1]Hugst!$R$5:$W$9,MATCH(ROUNDUP((AA$1)/10,0)*10,[1]Hugst!$R$4:$W$4,0))))</f>
        <v>0</v>
      </c>
      <c r="AB88" s="168">
        <f ca="1">IF($C88-AB$1&lt;År1,0,AA87*(1-VLOOKUP($A88,[1]Hugst!$R$5:$W$9,MATCH(ROUNDUP((AB$1)/10,0)*10,[1]Hugst!$R$4:$W$4,0))))</f>
        <v>0</v>
      </c>
      <c r="AC88" s="168">
        <f ca="1">IF($C88-AC$1&lt;År1,0,AB87*(1-VLOOKUP($A88,[1]Hugst!$R$5:$W$9,MATCH(ROUNDUP((AC$1)/10,0)*10,[1]Hugst!$R$4:$W$4,0))))</f>
        <v>0</v>
      </c>
      <c r="AD88" s="168">
        <f ca="1">IF($C88-AD$1&lt;År1,0,AC87*(1-VLOOKUP($A88,[1]Hugst!$R$5:$W$9,MATCH(ROUNDUP((AD$1)/10,0)*10,[1]Hugst!$R$4:$W$4,0))))</f>
        <v>0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*VLOOKUP(A89,Skovbrug!$A$13:$D$17,IF('Skovbrug-alder'!C89&lt;=År2,3,4),FALSE)-IF(C89&gt;2020,SUM(INDEX($C$1:$D$311,MATCH(1,(2020=$C$1:$C$311)*(B89=$B$1:$B$311)*(A89=$A$1:$A$311),0),2):D88),0))</f>
        <v>0</v>
      </c>
      <c r="E89" s="168">
        <f t="shared" ca="1" si="1"/>
        <v>0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8">
        <f ca="1">IF($C89-G$1&lt;År1,0,F88*(1-VLOOKUP($A89,[1]Hugst!$R$5:$W$9,MATCH(ROUNDUP((G$1)/10,0)*10,[1]Hugst!$R$4:$W$4,0))))</f>
        <v>0</v>
      </c>
      <c r="H89" s="168">
        <f ca="1">IF($C89-H$1&lt;År1,0,G88*(1-VLOOKUP($A89,[1]Hugst!$R$5:$W$9,MATCH(ROUNDUP((H$1)/10,0)*10,[1]Hugst!$R$4:$W$4,0))))</f>
        <v>0</v>
      </c>
      <c r="I89" s="168">
        <f ca="1">IF($C89-I$1&lt;År1,0,H88*(1-VLOOKUP($A89,[1]Hugst!$R$5:$W$9,MATCH(ROUNDUP((I$1)/10,0)*10,[1]Hugst!$R$4:$W$4,0))))</f>
        <v>0</v>
      </c>
      <c r="J89" s="168">
        <f ca="1">IF($C89-J$1&lt;År1,0,I88*(1-VLOOKUP($A89,[1]Hugst!$R$5:$W$9,MATCH(ROUNDUP((J$1)/10,0)*10,[1]Hugst!$R$4:$W$4,0))))</f>
        <v>0</v>
      </c>
      <c r="K89" s="168">
        <f ca="1">IF($C89-K$1&lt;År1,0,J88*(1-VLOOKUP($A89,[1]Hugst!$R$5:$W$9,MATCH(ROUNDUP((K$1)/10,0)*10,[1]Hugst!$R$4:$W$4,0))))</f>
        <v>0</v>
      </c>
      <c r="L89" s="168">
        <f ca="1">IF($C89-L$1&lt;År1,0,K88*(1-VLOOKUP($A89,[1]Hugst!$R$5:$W$9,MATCH(ROUNDUP((L$1)/10,0)*10,[1]Hugst!$R$4:$W$4,0))))</f>
        <v>0</v>
      </c>
      <c r="M89" s="168">
        <f ca="1">IF($C89-M$1&lt;År1,0,L88*(1-VLOOKUP($A89,[1]Hugst!$R$5:$W$9,MATCH(ROUNDUP((M$1)/10,0)*10,[1]Hugst!$R$4:$W$4,0))))</f>
        <v>0</v>
      </c>
      <c r="N89" s="168">
        <f ca="1">IF($C89-N$1&lt;År1,0,M88*(1-VLOOKUP($A89,[1]Hugst!$R$5:$W$9,MATCH(ROUNDUP((N$1)/10,0)*10,[1]Hugst!$R$4:$W$4,0))))</f>
        <v>0</v>
      </c>
      <c r="O89" s="168">
        <f ca="1">IF($C89-O$1&lt;År1,0,N88*(1-VLOOKUP($A89,[1]Hugst!$R$5:$W$9,MATCH(ROUNDUP((O$1)/10,0)*10,[1]Hugst!$R$4:$W$4,0))))</f>
        <v>0</v>
      </c>
      <c r="P89" s="168">
        <f ca="1">IF($C89-P$1&lt;År1,0,O88*(1-VLOOKUP($A89,[1]Hugst!$R$5:$W$9,MATCH(ROUNDUP((P$1)/10,0)*10,[1]Hugst!$R$4:$W$4,0))))</f>
        <v>0</v>
      </c>
      <c r="Q89" s="168">
        <f ca="1">IF($C89-Q$1&lt;År1,0,P88*(1-VLOOKUP($A89,[1]Hugst!$R$5:$W$9,MATCH(ROUNDUP((Q$1)/10,0)*10,[1]Hugst!$R$4:$W$4,0))))</f>
        <v>0</v>
      </c>
      <c r="R89" s="168">
        <f ca="1">IF($C89-R$1&lt;År1,0,Q88*(1-VLOOKUP($A89,[1]Hugst!$R$5:$W$9,MATCH(ROUNDUP((R$1)/10,0)*10,[1]Hugst!$R$4:$W$4,0))))</f>
        <v>0</v>
      </c>
      <c r="S89" s="168">
        <f ca="1">IF($C89-S$1&lt;År1,0,R88*(1-VLOOKUP($A89,[1]Hugst!$R$5:$W$9,MATCH(ROUNDUP((S$1)/10,0)*10,[1]Hugst!$R$4:$W$4,0))))</f>
        <v>0</v>
      </c>
      <c r="T89" s="168">
        <f ca="1">IF($C89-T$1&lt;År1,0,S88*(1-VLOOKUP($A89,[1]Hugst!$R$5:$W$9,MATCH(ROUNDUP((T$1)/10,0)*10,[1]Hugst!$R$4:$W$4,0))))</f>
        <v>0</v>
      </c>
      <c r="U89" s="168">
        <f ca="1">IF($C89-U$1&lt;År1,0,T88*(1-VLOOKUP($A89,[1]Hugst!$R$5:$W$9,MATCH(ROUNDUP((U$1)/10,0)*10,[1]Hugst!$R$4:$W$4,0))))</f>
        <v>0</v>
      </c>
      <c r="V89" s="168">
        <f ca="1">IF($C89-V$1&lt;År1,0,U88*(1-VLOOKUP($A89,[1]Hugst!$R$5:$W$9,MATCH(ROUNDUP((V$1)/10,0)*10,[1]Hugst!$R$4:$W$4,0))))</f>
        <v>0</v>
      </c>
      <c r="W89" s="168">
        <f ca="1">IF($C89-W$1&lt;År1,0,V88*(1-VLOOKUP($A89,[1]Hugst!$R$5:$W$9,MATCH(ROUNDUP((W$1)/10,0)*10,[1]Hugst!$R$4:$W$4,0))))</f>
        <v>0</v>
      </c>
      <c r="X89" s="168">
        <f ca="1">IF($C89-X$1&lt;År1,0,W88*(1-VLOOKUP($A89,[1]Hugst!$R$5:$W$9,MATCH(ROUNDUP((X$1)/10,0)*10,[1]Hugst!$R$4:$W$4,0))))</f>
        <v>0</v>
      </c>
      <c r="Y89" s="168">
        <f ca="1">IF($C89-Y$1&lt;År1,0,X88*(1-VLOOKUP($A89,[1]Hugst!$R$5:$W$9,MATCH(ROUNDUP((Y$1)/10,0)*10,[1]Hugst!$R$4:$W$4,0))))</f>
        <v>0</v>
      </c>
      <c r="Z89" s="168">
        <f ca="1">IF($C89-Z$1&lt;År1,0,Y88*(1-VLOOKUP($A89,[1]Hugst!$R$5:$W$9,MATCH(ROUNDUP((Z$1)/10,0)*10,[1]Hugst!$R$4:$W$4,0))))</f>
        <v>0</v>
      </c>
      <c r="AA89" s="168">
        <f ca="1">IF($C89-AA$1&lt;År1,0,Z88*(1-VLOOKUP($A89,[1]Hugst!$R$5:$W$9,MATCH(ROUNDUP((AA$1)/10,0)*10,[1]Hugst!$R$4:$W$4,0))))</f>
        <v>0</v>
      </c>
      <c r="AB89" s="168">
        <f ca="1">IF($C89-AB$1&lt;År1,0,AA88*(1-VLOOKUP($A89,[1]Hugst!$R$5:$W$9,MATCH(ROUNDUP((AB$1)/10,0)*10,[1]Hugst!$R$4:$W$4,0))))</f>
        <v>0</v>
      </c>
      <c r="AC89" s="168">
        <f ca="1">IF($C89-AC$1&lt;År1,0,AB88*(1-VLOOKUP($A89,[1]Hugst!$R$5:$W$9,MATCH(ROUNDUP((AC$1)/10,0)*10,[1]Hugst!$R$4:$W$4,0))))</f>
        <v>0</v>
      </c>
      <c r="AD89" s="168">
        <f ca="1">IF($C89-AD$1&lt;År1,0,AC88*(1-VLOOKUP($A89,[1]Hugst!$R$5:$W$9,MATCH(ROUNDUP((AD$1)/10,0)*10,[1]Hugst!$R$4:$W$4,0))))</f>
        <v>0</v>
      </c>
      <c r="AE89" s="168">
        <f ca="1">IF($C89-AE$1&lt;År1,0,AD88*(1-VLOOKUP($A89,[1]Hugst!$R$5:$W$9,MATCH(ROUNDUP((AE$1)/10,0)*10,[1]Hugst!$R$4:$W$4,0))))</f>
        <v>0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*VLOOKUP(A90,Skovbrug!$A$13:$D$17,IF('Skovbrug-alder'!C90&lt;=År2,3,4),FALSE)-IF(C90&gt;2020,SUM(INDEX($C$1:$D$311,MATCH(1,(2020=$C$1:$C$311)*(B90=$B$1:$B$311)*(A90=$A$1:$A$311),0),2):D89),0))</f>
        <v>0</v>
      </c>
      <c r="E90" s="168">
        <f t="shared" ca="1" si="1"/>
        <v>0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8">
        <f ca="1">IF($C90-G$1&lt;År1,0,F89*(1-VLOOKUP($A90,[1]Hugst!$R$5:$W$9,MATCH(ROUNDUP((G$1)/10,0)*10,[1]Hugst!$R$4:$W$4,0))))</f>
        <v>0</v>
      </c>
      <c r="H90" s="168">
        <f ca="1">IF($C90-H$1&lt;År1,0,G89*(1-VLOOKUP($A90,[1]Hugst!$R$5:$W$9,MATCH(ROUNDUP((H$1)/10,0)*10,[1]Hugst!$R$4:$W$4,0))))</f>
        <v>0</v>
      </c>
      <c r="I90" s="168">
        <f ca="1">IF($C90-I$1&lt;År1,0,H89*(1-VLOOKUP($A90,[1]Hugst!$R$5:$W$9,MATCH(ROUNDUP((I$1)/10,0)*10,[1]Hugst!$R$4:$W$4,0))))</f>
        <v>0</v>
      </c>
      <c r="J90" s="168">
        <f ca="1">IF($C90-J$1&lt;År1,0,I89*(1-VLOOKUP($A90,[1]Hugst!$R$5:$W$9,MATCH(ROUNDUP((J$1)/10,0)*10,[1]Hugst!$R$4:$W$4,0))))</f>
        <v>0</v>
      </c>
      <c r="K90" s="168">
        <f ca="1">IF($C90-K$1&lt;År1,0,J89*(1-VLOOKUP($A90,[1]Hugst!$R$5:$W$9,MATCH(ROUNDUP((K$1)/10,0)*10,[1]Hugst!$R$4:$W$4,0))))</f>
        <v>0</v>
      </c>
      <c r="L90" s="168">
        <f ca="1">IF($C90-L$1&lt;År1,0,K89*(1-VLOOKUP($A90,[1]Hugst!$R$5:$W$9,MATCH(ROUNDUP((L$1)/10,0)*10,[1]Hugst!$R$4:$W$4,0))))</f>
        <v>0</v>
      </c>
      <c r="M90" s="168">
        <f ca="1">IF($C90-M$1&lt;År1,0,L89*(1-VLOOKUP($A90,[1]Hugst!$R$5:$W$9,MATCH(ROUNDUP((M$1)/10,0)*10,[1]Hugst!$R$4:$W$4,0))))</f>
        <v>0</v>
      </c>
      <c r="N90" s="168">
        <f ca="1">IF($C90-N$1&lt;År1,0,M89*(1-VLOOKUP($A90,[1]Hugst!$R$5:$W$9,MATCH(ROUNDUP((N$1)/10,0)*10,[1]Hugst!$R$4:$W$4,0))))</f>
        <v>0</v>
      </c>
      <c r="O90" s="168">
        <f ca="1">IF($C90-O$1&lt;År1,0,N89*(1-VLOOKUP($A90,[1]Hugst!$R$5:$W$9,MATCH(ROUNDUP((O$1)/10,0)*10,[1]Hugst!$R$4:$W$4,0))))</f>
        <v>0</v>
      </c>
      <c r="P90" s="168">
        <f ca="1">IF($C90-P$1&lt;År1,0,O89*(1-VLOOKUP($A90,[1]Hugst!$R$5:$W$9,MATCH(ROUNDUP((P$1)/10,0)*10,[1]Hugst!$R$4:$W$4,0))))</f>
        <v>0</v>
      </c>
      <c r="Q90" s="168">
        <f ca="1">IF($C90-Q$1&lt;År1,0,P89*(1-VLOOKUP($A90,[1]Hugst!$R$5:$W$9,MATCH(ROUNDUP((Q$1)/10,0)*10,[1]Hugst!$R$4:$W$4,0))))</f>
        <v>0</v>
      </c>
      <c r="R90" s="168">
        <f ca="1">IF($C90-R$1&lt;År1,0,Q89*(1-VLOOKUP($A90,[1]Hugst!$R$5:$W$9,MATCH(ROUNDUP((R$1)/10,0)*10,[1]Hugst!$R$4:$W$4,0))))</f>
        <v>0</v>
      </c>
      <c r="S90" s="168">
        <f ca="1">IF($C90-S$1&lt;År1,0,R89*(1-VLOOKUP($A90,[1]Hugst!$R$5:$W$9,MATCH(ROUNDUP((S$1)/10,0)*10,[1]Hugst!$R$4:$W$4,0))))</f>
        <v>0</v>
      </c>
      <c r="T90" s="168">
        <f ca="1">IF($C90-T$1&lt;År1,0,S89*(1-VLOOKUP($A90,[1]Hugst!$R$5:$W$9,MATCH(ROUNDUP((T$1)/10,0)*10,[1]Hugst!$R$4:$W$4,0))))</f>
        <v>0</v>
      </c>
      <c r="U90" s="168">
        <f ca="1">IF($C90-U$1&lt;År1,0,T89*(1-VLOOKUP($A90,[1]Hugst!$R$5:$W$9,MATCH(ROUNDUP((U$1)/10,0)*10,[1]Hugst!$R$4:$W$4,0))))</f>
        <v>0</v>
      </c>
      <c r="V90" s="168">
        <f ca="1">IF($C90-V$1&lt;År1,0,U89*(1-VLOOKUP($A90,[1]Hugst!$R$5:$W$9,MATCH(ROUNDUP((V$1)/10,0)*10,[1]Hugst!$R$4:$W$4,0))))</f>
        <v>0</v>
      </c>
      <c r="W90" s="168">
        <f ca="1">IF($C90-W$1&lt;År1,0,V89*(1-VLOOKUP($A90,[1]Hugst!$R$5:$W$9,MATCH(ROUNDUP((W$1)/10,0)*10,[1]Hugst!$R$4:$W$4,0))))</f>
        <v>0</v>
      </c>
      <c r="X90" s="168">
        <f ca="1">IF($C90-X$1&lt;År1,0,W89*(1-VLOOKUP($A90,[1]Hugst!$R$5:$W$9,MATCH(ROUNDUP((X$1)/10,0)*10,[1]Hugst!$R$4:$W$4,0))))</f>
        <v>0</v>
      </c>
      <c r="Y90" s="168">
        <f ca="1">IF($C90-Y$1&lt;År1,0,X89*(1-VLOOKUP($A90,[1]Hugst!$R$5:$W$9,MATCH(ROUNDUP((Y$1)/10,0)*10,[1]Hugst!$R$4:$W$4,0))))</f>
        <v>0</v>
      </c>
      <c r="Z90" s="168">
        <f ca="1">IF($C90-Z$1&lt;År1,0,Y89*(1-VLOOKUP($A90,[1]Hugst!$R$5:$W$9,MATCH(ROUNDUP((Z$1)/10,0)*10,[1]Hugst!$R$4:$W$4,0))))</f>
        <v>0</v>
      </c>
      <c r="AA90" s="168">
        <f ca="1">IF($C90-AA$1&lt;År1,0,Z89*(1-VLOOKUP($A90,[1]Hugst!$R$5:$W$9,MATCH(ROUNDUP((AA$1)/10,0)*10,[1]Hugst!$R$4:$W$4,0))))</f>
        <v>0</v>
      </c>
      <c r="AB90" s="168">
        <f ca="1">IF($C90-AB$1&lt;År1,0,AA89*(1-VLOOKUP($A90,[1]Hugst!$R$5:$W$9,MATCH(ROUNDUP((AB$1)/10,0)*10,[1]Hugst!$R$4:$W$4,0))))</f>
        <v>0</v>
      </c>
      <c r="AC90" s="168">
        <f ca="1">IF($C90-AC$1&lt;År1,0,AB89*(1-VLOOKUP($A90,[1]Hugst!$R$5:$W$9,MATCH(ROUNDUP((AC$1)/10,0)*10,[1]Hugst!$R$4:$W$4,0))))</f>
        <v>0</v>
      </c>
      <c r="AD90" s="168">
        <f ca="1">IF($C90-AD$1&lt;År1,0,AC89*(1-VLOOKUP($A90,[1]Hugst!$R$5:$W$9,MATCH(ROUNDUP((AD$1)/10,0)*10,[1]Hugst!$R$4:$W$4,0))))</f>
        <v>0</v>
      </c>
      <c r="AE90" s="168">
        <f ca="1">IF($C90-AE$1&lt;År1,0,AD89*(1-VLOOKUP($A90,[1]Hugst!$R$5:$W$9,MATCH(ROUNDUP((AE$1)/10,0)*10,[1]Hugst!$R$4:$W$4,0))))</f>
        <v>0</v>
      </c>
      <c r="AF90" s="168">
        <f ca="1">IF($C90-AF$1&lt;År1,0,AE89*(1-VLOOKUP($A90,[1]Hugst!$R$5:$W$9,MATCH(ROUNDUP((AF$1)/10,0)*10,[1]Hugst!$R$4:$W$4,0))))</f>
        <v>0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*VLOOKUP(A91,Skovbrug!$A$13:$D$17,IF('Skovbrug-alder'!C91&lt;=År2,3,4),FALSE)-IF(C91&gt;2020,SUM(INDEX($C$1:$D$311,MATCH(1,(2020=$C$1:$C$311)*(B91=$B$1:$B$311)*(A91=$A$1:$A$311),0),2):D90),0))</f>
        <v>0</v>
      </c>
      <c r="E91" s="168">
        <f t="shared" ca="1" si="1"/>
        <v>0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8">
        <f ca="1">IF($C91-G$1&lt;År1,0,F90*(1-VLOOKUP($A91,[1]Hugst!$R$5:$W$9,MATCH(ROUNDUP((G$1)/10,0)*10,[1]Hugst!$R$4:$W$4,0))))</f>
        <v>0</v>
      </c>
      <c r="H91" s="168">
        <f ca="1">IF($C91-H$1&lt;År1,0,G90*(1-VLOOKUP($A91,[1]Hugst!$R$5:$W$9,MATCH(ROUNDUP((H$1)/10,0)*10,[1]Hugst!$R$4:$W$4,0))))</f>
        <v>0</v>
      </c>
      <c r="I91" s="168">
        <f ca="1">IF($C91-I$1&lt;År1,0,H90*(1-VLOOKUP($A91,[1]Hugst!$R$5:$W$9,MATCH(ROUNDUP((I$1)/10,0)*10,[1]Hugst!$R$4:$W$4,0))))</f>
        <v>0</v>
      </c>
      <c r="J91" s="168">
        <f ca="1">IF($C91-J$1&lt;År1,0,I90*(1-VLOOKUP($A91,[1]Hugst!$R$5:$W$9,MATCH(ROUNDUP((J$1)/10,0)*10,[1]Hugst!$R$4:$W$4,0))))</f>
        <v>0</v>
      </c>
      <c r="K91" s="168">
        <f ca="1">IF($C91-K$1&lt;År1,0,J90*(1-VLOOKUP($A91,[1]Hugst!$R$5:$W$9,MATCH(ROUNDUP((K$1)/10,0)*10,[1]Hugst!$R$4:$W$4,0))))</f>
        <v>0</v>
      </c>
      <c r="L91" s="168">
        <f ca="1">IF($C91-L$1&lt;År1,0,K90*(1-VLOOKUP($A91,[1]Hugst!$R$5:$W$9,MATCH(ROUNDUP((L$1)/10,0)*10,[1]Hugst!$R$4:$W$4,0))))</f>
        <v>0</v>
      </c>
      <c r="M91" s="168">
        <f ca="1">IF($C91-M$1&lt;År1,0,L90*(1-VLOOKUP($A91,[1]Hugst!$R$5:$W$9,MATCH(ROUNDUP((M$1)/10,0)*10,[1]Hugst!$R$4:$W$4,0))))</f>
        <v>0</v>
      </c>
      <c r="N91" s="168">
        <f ca="1">IF($C91-N$1&lt;År1,0,M90*(1-VLOOKUP($A91,[1]Hugst!$R$5:$W$9,MATCH(ROUNDUP((N$1)/10,0)*10,[1]Hugst!$R$4:$W$4,0))))</f>
        <v>0</v>
      </c>
      <c r="O91" s="168">
        <f ca="1">IF($C91-O$1&lt;År1,0,N90*(1-VLOOKUP($A91,[1]Hugst!$R$5:$W$9,MATCH(ROUNDUP((O$1)/10,0)*10,[1]Hugst!$R$4:$W$4,0))))</f>
        <v>0</v>
      </c>
      <c r="P91" s="168">
        <f ca="1">IF($C91-P$1&lt;År1,0,O90*(1-VLOOKUP($A91,[1]Hugst!$R$5:$W$9,MATCH(ROUNDUP((P$1)/10,0)*10,[1]Hugst!$R$4:$W$4,0))))</f>
        <v>0</v>
      </c>
      <c r="Q91" s="168">
        <f ca="1">IF($C91-Q$1&lt;År1,0,P90*(1-VLOOKUP($A91,[1]Hugst!$R$5:$W$9,MATCH(ROUNDUP((Q$1)/10,0)*10,[1]Hugst!$R$4:$W$4,0))))</f>
        <v>0</v>
      </c>
      <c r="R91" s="168">
        <f ca="1">IF($C91-R$1&lt;År1,0,Q90*(1-VLOOKUP($A91,[1]Hugst!$R$5:$W$9,MATCH(ROUNDUP((R$1)/10,0)*10,[1]Hugst!$R$4:$W$4,0))))</f>
        <v>0</v>
      </c>
      <c r="S91" s="168">
        <f ca="1">IF($C91-S$1&lt;År1,0,R90*(1-VLOOKUP($A91,[1]Hugst!$R$5:$W$9,MATCH(ROUNDUP((S$1)/10,0)*10,[1]Hugst!$R$4:$W$4,0))))</f>
        <v>0</v>
      </c>
      <c r="T91" s="168">
        <f ca="1">IF($C91-T$1&lt;År1,0,S90*(1-VLOOKUP($A91,[1]Hugst!$R$5:$W$9,MATCH(ROUNDUP((T$1)/10,0)*10,[1]Hugst!$R$4:$W$4,0))))</f>
        <v>0</v>
      </c>
      <c r="U91" s="168">
        <f ca="1">IF($C91-U$1&lt;År1,0,T90*(1-VLOOKUP($A91,[1]Hugst!$R$5:$W$9,MATCH(ROUNDUP((U$1)/10,0)*10,[1]Hugst!$R$4:$W$4,0))))</f>
        <v>0</v>
      </c>
      <c r="V91" s="168">
        <f ca="1">IF($C91-V$1&lt;År1,0,U90*(1-VLOOKUP($A91,[1]Hugst!$R$5:$W$9,MATCH(ROUNDUP((V$1)/10,0)*10,[1]Hugst!$R$4:$W$4,0))))</f>
        <v>0</v>
      </c>
      <c r="W91" s="168">
        <f ca="1">IF($C91-W$1&lt;År1,0,V90*(1-VLOOKUP($A91,[1]Hugst!$R$5:$W$9,MATCH(ROUNDUP((W$1)/10,0)*10,[1]Hugst!$R$4:$W$4,0))))</f>
        <v>0</v>
      </c>
      <c r="X91" s="168">
        <f ca="1">IF($C91-X$1&lt;År1,0,W90*(1-VLOOKUP($A91,[1]Hugst!$R$5:$W$9,MATCH(ROUNDUP((X$1)/10,0)*10,[1]Hugst!$R$4:$W$4,0))))</f>
        <v>0</v>
      </c>
      <c r="Y91" s="168">
        <f ca="1">IF($C91-Y$1&lt;År1,0,X90*(1-VLOOKUP($A91,[1]Hugst!$R$5:$W$9,MATCH(ROUNDUP((Y$1)/10,0)*10,[1]Hugst!$R$4:$W$4,0))))</f>
        <v>0</v>
      </c>
      <c r="Z91" s="168">
        <f ca="1">IF($C91-Z$1&lt;År1,0,Y90*(1-VLOOKUP($A91,[1]Hugst!$R$5:$W$9,MATCH(ROUNDUP((Z$1)/10,0)*10,[1]Hugst!$R$4:$W$4,0))))</f>
        <v>0</v>
      </c>
      <c r="AA91" s="168">
        <f ca="1">IF($C91-AA$1&lt;År1,0,Z90*(1-VLOOKUP($A91,[1]Hugst!$R$5:$W$9,MATCH(ROUNDUP((AA$1)/10,0)*10,[1]Hugst!$R$4:$W$4,0))))</f>
        <v>0</v>
      </c>
      <c r="AB91" s="168">
        <f ca="1">IF($C91-AB$1&lt;År1,0,AA90*(1-VLOOKUP($A91,[1]Hugst!$R$5:$W$9,MATCH(ROUNDUP((AB$1)/10,0)*10,[1]Hugst!$R$4:$W$4,0))))</f>
        <v>0</v>
      </c>
      <c r="AC91" s="168">
        <f ca="1">IF($C91-AC$1&lt;År1,0,AB90*(1-VLOOKUP($A91,[1]Hugst!$R$5:$W$9,MATCH(ROUNDUP((AC$1)/10,0)*10,[1]Hugst!$R$4:$W$4,0))))</f>
        <v>0</v>
      </c>
      <c r="AD91" s="168">
        <f ca="1">IF($C91-AD$1&lt;År1,0,AC90*(1-VLOOKUP($A91,[1]Hugst!$R$5:$W$9,MATCH(ROUNDUP((AD$1)/10,0)*10,[1]Hugst!$R$4:$W$4,0))))</f>
        <v>0</v>
      </c>
      <c r="AE91" s="168">
        <f ca="1">IF($C91-AE$1&lt;År1,0,AD90*(1-VLOOKUP($A91,[1]Hugst!$R$5:$W$9,MATCH(ROUNDUP((AE$1)/10,0)*10,[1]Hugst!$R$4:$W$4,0))))</f>
        <v>0</v>
      </c>
      <c r="AF91" s="168">
        <f ca="1">IF($C91-AF$1&lt;År1,0,AE90*(1-VLOOKUP($A91,[1]Hugst!$R$5:$W$9,MATCH(ROUNDUP((AF$1)/10,0)*10,[1]Hugst!$R$4:$W$4,0))))</f>
        <v>0</v>
      </c>
      <c r="AG91" s="168">
        <f ca="1">IF($C91-AG$1&lt;År1,0,AF90*(1-VLOOKUP($A91,[1]Hugst!$R$5:$W$9,MATCH(ROUNDUP((AG$1)/10,0)*10,[1]Hugst!$R$4:$W$4,0))))</f>
        <v>0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*VLOOKUP(A92,Skovbrug!$A$13:$D$17,IF('Skovbrug-alder'!C92&lt;=År2,3,4),FALSE)-IF(C92&gt;2020,SUM(INDEX($C$1:$D$311,MATCH(1,(2020=$C$1:$C$311)*(B92=$B$1:$B$311)*(A92=$A$1:$A$311),0),2):D91),0))</f>
        <v>0</v>
      </c>
      <c r="E92" s="168">
        <f t="shared" ca="1" si="1"/>
        <v>0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8">
        <f ca="1">IF($C92-G$1&lt;År1,0,F91*(1-VLOOKUP($A92,[1]Hugst!$R$5:$W$9,MATCH(ROUNDUP((G$1)/10,0)*10,[1]Hugst!$R$4:$W$4,0))))</f>
        <v>0</v>
      </c>
      <c r="H92" s="168">
        <f ca="1">IF($C92-H$1&lt;År1,0,G91*(1-VLOOKUP($A92,[1]Hugst!$R$5:$W$9,MATCH(ROUNDUP((H$1)/10,0)*10,[1]Hugst!$R$4:$W$4,0))))</f>
        <v>0</v>
      </c>
      <c r="I92" s="168">
        <f ca="1">IF($C92-I$1&lt;År1,0,H91*(1-VLOOKUP($A92,[1]Hugst!$R$5:$W$9,MATCH(ROUNDUP((I$1)/10,0)*10,[1]Hugst!$R$4:$W$4,0))))</f>
        <v>0</v>
      </c>
      <c r="J92" s="168">
        <f ca="1">IF($C92-J$1&lt;År1,0,I91*(1-VLOOKUP($A92,[1]Hugst!$R$5:$W$9,MATCH(ROUNDUP((J$1)/10,0)*10,[1]Hugst!$R$4:$W$4,0))))</f>
        <v>0</v>
      </c>
      <c r="K92" s="168">
        <f ca="1">IF($C92-K$1&lt;År1,0,J91*(1-VLOOKUP($A92,[1]Hugst!$R$5:$W$9,MATCH(ROUNDUP((K$1)/10,0)*10,[1]Hugst!$R$4:$W$4,0))))</f>
        <v>0</v>
      </c>
      <c r="L92" s="168">
        <f ca="1">IF($C92-L$1&lt;År1,0,K91*(1-VLOOKUP($A92,[1]Hugst!$R$5:$W$9,MATCH(ROUNDUP((L$1)/10,0)*10,[1]Hugst!$R$4:$W$4,0))))</f>
        <v>0</v>
      </c>
      <c r="M92" s="168">
        <f ca="1">IF($C92-M$1&lt;År1,0,L91*(1-VLOOKUP($A92,[1]Hugst!$R$5:$W$9,MATCH(ROUNDUP((M$1)/10,0)*10,[1]Hugst!$R$4:$W$4,0))))</f>
        <v>0</v>
      </c>
      <c r="N92" s="168">
        <f ca="1">IF($C92-N$1&lt;År1,0,M91*(1-VLOOKUP($A92,[1]Hugst!$R$5:$W$9,MATCH(ROUNDUP((N$1)/10,0)*10,[1]Hugst!$R$4:$W$4,0))))</f>
        <v>0</v>
      </c>
      <c r="O92" s="168">
        <f ca="1">IF($C92-O$1&lt;År1,0,N91*(1-VLOOKUP($A92,[1]Hugst!$R$5:$W$9,MATCH(ROUNDUP((O$1)/10,0)*10,[1]Hugst!$R$4:$W$4,0))))</f>
        <v>0</v>
      </c>
      <c r="P92" s="168">
        <f ca="1">IF($C92-P$1&lt;År1,0,O91*(1-VLOOKUP($A92,[1]Hugst!$R$5:$W$9,MATCH(ROUNDUP((P$1)/10,0)*10,[1]Hugst!$R$4:$W$4,0))))</f>
        <v>0</v>
      </c>
      <c r="Q92" s="168">
        <f ca="1">IF($C92-Q$1&lt;År1,0,P91*(1-VLOOKUP($A92,[1]Hugst!$R$5:$W$9,MATCH(ROUNDUP((Q$1)/10,0)*10,[1]Hugst!$R$4:$W$4,0))))</f>
        <v>0</v>
      </c>
      <c r="R92" s="168">
        <f ca="1">IF($C92-R$1&lt;År1,0,Q91*(1-VLOOKUP($A92,[1]Hugst!$R$5:$W$9,MATCH(ROUNDUP((R$1)/10,0)*10,[1]Hugst!$R$4:$W$4,0))))</f>
        <v>0</v>
      </c>
      <c r="S92" s="168">
        <f ca="1">IF($C92-S$1&lt;År1,0,R91*(1-VLOOKUP($A92,[1]Hugst!$R$5:$W$9,MATCH(ROUNDUP((S$1)/10,0)*10,[1]Hugst!$R$4:$W$4,0))))</f>
        <v>0</v>
      </c>
      <c r="T92" s="168">
        <f ca="1">IF($C92-T$1&lt;År1,0,S91*(1-VLOOKUP($A92,[1]Hugst!$R$5:$W$9,MATCH(ROUNDUP((T$1)/10,0)*10,[1]Hugst!$R$4:$W$4,0))))</f>
        <v>0</v>
      </c>
      <c r="U92" s="168">
        <f ca="1">IF($C92-U$1&lt;År1,0,T91*(1-VLOOKUP($A92,[1]Hugst!$R$5:$W$9,MATCH(ROUNDUP((U$1)/10,0)*10,[1]Hugst!$R$4:$W$4,0))))</f>
        <v>0</v>
      </c>
      <c r="V92" s="168">
        <f ca="1">IF($C92-V$1&lt;År1,0,U91*(1-VLOOKUP($A92,[1]Hugst!$R$5:$W$9,MATCH(ROUNDUP((V$1)/10,0)*10,[1]Hugst!$R$4:$W$4,0))))</f>
        <v>0</v>
      </c>
      <c r="W92" s="168">
        <f ca="1">IF($C92-W$1&lt;År1,0,V91*(1-VLOOKUP($A92,[1]Hugst!$R$5:$W$9,MATCH(ROUNDUP((W$1)/10,0)*10,[1]Hugst!$R$4:$W$4,0))))</f>
        <v>0</v>
      </c>
      <c r="X92" s="168">
        <f ca="1">IF($C92-X$1&lt;År1,0,W91*(1-VLOOKUP($A92,[1]Hugst!$R$5:$W$9,MATCH(ROUNDUP((X$1)/10,0)*10,[1]Hugst!$R$4:$W$4,0))))</f>
        <v>0</v>
      </c>
      <c r="Y92" s="168">
        <f ca="1">IF($C92-Y$1&lt;År1,0,X91*(1-VLOOKUP($A92,[1]Hugst!$R$5:$W$9,MATCH(ROUNDUP((Y$1)/10,0)*10,[1]Hugst!$R$4:$W$4,0))))</f>
        <v>0</v>
      </c>
      <c r="Z92" s="168">
        <f ca="1">IF($C92-Z$1&lt;År1,0,Y91*(1-VLOOKUP($A92,[1]Hugst!$R$5:$W$9,MATCH(ROUNDUP((Z$1)/10,0)*10,[1]Hugst!$R$4:$W$4,0))))</f>
        <v>0</v>
      </c>
      <c r="AA92" s="168">
        <f ca="1">IF($C92-AA$1&lt;År1,0,Z91*(1-VLOOKUP($A92,[1]Hugst!$R$5:$W$9,MATCH(ROUNDUP((AA$1)/10,0)*10,[1]Hugst!$R$4:$W$4,0))))</f>
        <v>0</v>
      </c>
      <c r="AB92" s="168">
        <f ca="1">IF($C92-AB$1&lt;År1,0,AA91*(1-VLOOKUP($A92,[1]Hugst!$R$5:$W$9,MATCH(ROUNDUP((AB$1)/10,0)*10,[1]Hugst!$R$4:$W$4,0))))</f>
        <v>0</v>
      </c>
      <c r="AC92" s="168">
        <f ca="1">IF($C92-AC$1&lt;År1,0,AB91*(1-VLOOKUP($A92,[1]Hugst!$R$5:$W$9,MATCH(ROUNDUP((AC$1)/10,0)*10,[1]Hugst!$R$4:$W$4,0))))</f>
        <v>0</v>
      </c>
      <c r="AD92" s="168">
        <f ca="1">IF($C92-AD$1&lt;År1,0,AC91*(1-VLOOKUP($A92,[1]Hugst!$R$5:$W$9,MATCH(ROUNDUP((AD$1)/10,0)*10,[1]Hugst!$R$4:$W$4,0))))</f>
        <v>0</v>
      </c>
      <c r="AE92" s="168">
        <f ca="1">IF($C92-AE$1&lt;År1,0,AD91*(1-VLOOKUP($A92,[1]Hugst!$R$5:$W$9,MATCH(ROUNDUP((AE$1)/10,0)*10,[1]Hugst!$R$4:$W$4,0))))</f>
        <v>0</v>
      </c>
      <c r="AF92" s="168">
        <f ca="1">IF($C92-AF$1&lt;År1,0,AE91*(1-VLOOKUP($A92,[1]Hugst!$R$5:$W$9,MATCH(ROUNDUP((AF$1)/10,0)*10,[1]Hugst!$R$4:$W$4,0))))</f>
        <v>0</v>
      </c>
      <c r="AG92" s="168">
        <f ca="1">IF($C92-AG$1&lt;År1,0,AF91*(1-VLOOKUP($A92,[1]Hugst!$R$5:$W$9,MATCH(ROUNDUP((AG$1)/10,0)*10,[1]Hugst!$R$4:$W$4,0))))</f>
        <v>0</v>
      </c>
      <c r="AH92" s="168">
        <f ca="1">IF($C92-AH$1&lt;År1,0,AG91*(1-VLOOKUP($A92,[1]Hugst!$R$5:$W$9,MATCH(ROUNDUP((AH$1)/10,0)*10,[1]Hugst!$R$4:$W$4,0))))</f>
        <v>0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*VLOOKUP(A93,Skovbrug!$A$13:$D$17,IF('Skovbrug-alder'!C93&lt;=År2,3,4),FALSE)-IF(C93&gt;2020,SUM(INDEX($C$1:$D$311,MATCH(1,(2020=$C$1:$C$311)*(B93=$B$1:$B$311)*(A93=$A$1:$A$311),0),2):D92),0))</f>
        <v>0</v>
      </c>
      <c r="E93" s="168">
        <f t="shared" ca="1" si="1"/>
        <v>0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8">
        <f ca="1">IF($C93-G$1&lt;År1,0,F92*(1-VLOOKUP($A93,[1]Hugst!$R$5:$W$9,MATCH(ROUNDUP((G$1)/10,0)*10,[1]Hugst!$R$4:$W$4,0))))</f>
        <v>0</v>
      </c>
      <c r="H93" s="168">
        <f ca="1">IF($C93-H$1&lt;År1,0,G92*(1-VLOOKUP($A93,[1]Hugst!$R$5:$W$9,MATCH(ROUNDUP((H$1)/10,0)*10,[1]Hugst!$R$4:$W$4,0))))</f>
        <v>0</v>
      </c>
      <c r="I93" s="168">
        <f ca="1">IF($C93-I$1&lt;År1,0,H92*(1-VLOOKUP($A93,[1]Hugst!$R$5:$W$9,MATCH(ROUNDUP((I$1)/10,0)*10,[1]Hugst!$R$4:$W$4,0))))</f>
        <v>0</v>
      </c>
      <c r="J93" s="168">
        <f ca="1">IF($C93-J$1&lt;År1,0,I92*(1-VLOOKUP($A93,[1]Hugst!$R$5:$W$9,MATCH(ROUNDUP((J$1)/10,0)*10,[1]Hugst!$R$4:$W$4,0))))</f>
        <v>0</v>
      </c>
      <c r="K93" s="168">
        <f ca="1">IF($C93-K$1&lt;År1,0,J92*(1-VLOOKUP($A93,[1]Hugst!$R$5:$W$9,MATCH(ROUNDUP((K$1)/10,0)*10,[1]Hugst!$R$4:$W$4,0))))</f>
        <v>0</v>
      </c>
      <c r="L93" s="168">
        <f ca="1">IF($C93-L$1&lt;År1,0,K92*(1-VLOOKUP($A93,[1]Hugst!$R$5:$W$9,MATCH(ROUNDUP((L$1)/10,0)*10,[1]Hugst!$R$4:$W$4,0))))</f>
        <v>0</v>
      </c>
      <c r="M93" s="168">
        <f ca="1">IF($C93-M$1&lt;År1,0,L92*(1-VLOOKUP($A93,[1]Hugst!$R$5:$W$9,MATCH(ROUNDUP((M$1)/10,0)*10,[1]Hugst!$R$4:$W$4,0))))</f>
        <v>0</v>
      </c>
      <c r="N93" s="168">
        <f ca="1">IF($C93-N$1&lt;År1,0,M92*(1-VLOOKUP($A93,[1]Hugst!$R$5:$W$9,MATCH(ROUNDUP((N$1)/10,0)*10,[1]Hugst!$R$4:$W$4,0))))</f>
        <v>0</v>
      </c>
      <c r="O93" s="168">
        <f ca="1">IF($C93-O$1&lt;År1,0,N92*(1-VLOOKUP($A93,[1]Hugst!$R$5:$W$9,MATCH(ROUNDUP((O$1)/10,0)*10,[1]Hugst!$R$4:$W$4,0))))</f>
        <v>0</v>
      </c>
      <c r="P93" s="168">
        <f ca="1">IF($C93-P$1&lt;År1,0,O92*(1-VLOOKUP($A93,[1]Hugst!$R$5:$W$9,MATCH(ROUNDUP((P$1)/10,0)*10,[1]Hugst!$R$4:$W$4,0))))</f>
        <v>0</v>
      </c>
      <c r="Q93" s="168">
        <f ca="1">IF($C93-Q$1&lt;År1,0,P92*(1-VLOOKUP($A93,[1]Hugst!$R$5:$W$9,MATCH(ROUNDUP((Q$1)/10,0)*10,[1]Hugst!$R$4:$W$4,0))))</f>
        <v>0</v>
      </c>
      <c r="R93" s="168">
        <f ca="1">IF($C93-R$1&lt;År1,0,Q92*(1-VLOOKUP($A93,[1]Hugst!$R$5:$W$9,MATCH(ROUNDUP((R$1)/10,0)*10,[1]Hugst!$R$4:$W$4,0))))</f>
        <v>0</v>
      </c>
      <c r="S93" s="168">
        <f ca="1">IF($C93-S$1&lt;År1,0,R92*(1-VLOOKUP($A93,[1]Hugst!$R$5:$W$9,MATCH(ROUNDUP((S$1)/10,0)*10,[1]Hugst!$R$4:$W$4,0))))</f>
        <v>0</v>
      </c>
      <c r="T93" s="168">
        <f ca="1">IF($C93-T$1&lt;År1,0,S92*(1-VLOOKUP($A93,[1]Hugst!$R$5:$W$9,MATCH(ROUNDUP((T$1)/10,0)*10,[1]Hugst!$R$4:$W$4,0))))</f>
        <v>0</v>
      </c>
      <c r="U93" s="168">
        <f ca="1">IF($C93-U$1&lt;År1,0,T92*(1-VLOOKUP($A93,[1]Hugst!$R$5:$W$9,MATCH(ROUNDUP((U$1)/10,0)*10,[1]Hugst!$R$4:$W$4,0))))</f>
        <v>0</v>
      </c>
      <c r="V93" s="168">
        <f ca="1">IF($C93-V$1&lt;År1,0,U92*(1-VLOOKUP($A93,[1]Hugst!$R$5:$W$9,MATCH(ROUNDUP((V$1)/10,0)*10,[1]Hugst!$R$4:$W$4,0))))</f>
        <v>0</v>
      </c>
      <c r="W93" s="168">
        <f ca="1">IF($C93-W$1&lt;År1,0,V92*(1-VLOOKUP($A93,[1]Hugst!$R$5:$W$9,MATCH(ROUNDUP((W$1)/10,0)*10,[1]Hugst!$R$4:$W$4,0))))</f>
        <v>0</v>
      </c>
      <c r="X93" s="168">
        <f ca="1">IF($C93-X$1&lt;År1,0,W92*(1-VLOOKUP($A93,[1]Hugst!$R$5:$W$9,MATCH(ROUNDUP((X$1)/10,0)*10,[1]Hugst!$R$4:$W$4,0))))</f>
        <v>0</v>
      </c>
      <c r="Y93" s="168">
        <f ca="1">IF($C93-Y$1&lt;År1,0,X92*(1-VLOOKUP($A93,[1]Hugst!$R$5:$W$9,MATCH(ROUNDUP((Y$1)/10,0)*10,[1]Hugst!$R$4:$W$4,0))))</f>
        <v>0</v>
      </c>
      <c r="Z93" s="168">
        <f ca="1">IF($C93-Z$1&lt;År1,0,Y92*(1-VLOOKUP($A93,[1]Hugst!$R$5:$W$9,MATCH(ROUNDUP((Z$1)/10,0)*10,[1]Hugst!$R$4:$W$4,0))))</f>
        <v>0</v>
      </c>
      <c r="AA93" s="168">
        <f ca="1">IF($C93-AA$1&lt;År1,0,Z92*(1-VLOOKUP($A93,[1]Hugst!$R$5:$W$9,MATCH(ROUNDUP((AA$1)/10,0)*10,[1]Hugst!$R$4:$W$4,0))))</f>
        <v>0</v>
      </c>
      <c r="AB93" s="168">
        <f ca="1">IF($C93-AB$1&lt;År1,0,AA92*(1-VLOOKUP($A93,[1]Hugst!$R$5:$W$9,MATCH(ROUNDUP((AB$1)/10,0)*10,[1]Hugst!$R$4:$W$4,0))))</f>
        <v>0</v>
      </c>
      <c r="AC93" s="168">
        <f ca="1">IF($C93-AC$1&lt;År1,0,AB92*(1-VLOOKUP($A93,[1]Hugst!$R$5:$W$9,MATCH(ROUNDUP((AC$1)/10,0)*10,[1]Hugst!$R$4:$W$4,0))))</f>
        <v>0</v>
      </c>
      <c r="AD93" s="168">
        <f ca="1">IF($C93-AD$1&lt;År1,0,AC92*(1-VLOOKUP($A93,[1]Hugst!$R$5:$W$9,MATCH(ROUNDUP((AD$1)/10,0)*10,[1]Hugst!$R$4:$W$4,0))))</f>
        <v>0</v>
      </c>
      <c r="AE93" s="168">
        <f ca="1">IF($C93-AE$1&lt;År1,0,AD92*(1-VLOOKUP($A93,[1]Hugst!$R$5:$W$9,MATCH(ROUNDUP((AE$1)/10,0)*10,[1]Hugst!$R$4:$W$4,0))))</f>
        <v>0</v>
      </c>
      <c r="AF93" s="168">
        <f ca="1">IF($C93-AF$1&lt;År1,0,AE92*(1-VLOOKUP($A93,[1]Hugst!$R$5:$W$9,MATCH(ROUNDUP((AF$1)/10,0)*10,[1]Hugst!$R$4:$W$4,0))))</f>
        <v>0</v>
      </c>
      <c r="AG93" s="168">
        <f ca="1">IF($C93-AG$1&lt;År1,0,AF92*(1-VLOOKUP($A93,[1]Hugst!$R$5:$W$9,MATCH(ROUNDUP((AG$1)/10,0)*10,[1]Hugst!$R$4:$W$4,0))))</f>
        <v>0</v>
      </c>
      <c r="AH93" s="168">
        <f ca="1">IF($C93-AH$1&lt;År1,0,AG92*(1-VLOOKUP($A93,[1]Hugst!$R$5:$W$9,MATCH(ROUNDUP((AH$1)/10,0)*10,[1]Hugst!$R$4:$W$4,0))))</f>
        <v>0</v>
      </c>
      <c r="AI93" s="168">
        <f ca="1">IF($C93-AI$1&lt;År1,0,AH92*(1-VLOOKUP($A93,[1]Hugst!$R$5:$W$9,MATCH(ROUNDUP((AI$1)/10,0)*10,[1]Hugst!$R$4:$W$4,0))))</f>
        <v>0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*VLOOKUP(A94,Skovbrug!$A$13:$D$17,IF('Skovbrug-alder'!C94&lt;=År2,3,4),FALSE)-IF(C94&gt;2020,SUM(INDEX($C$1:$D$311,MATCH(1,(2020=$C$1:$C$311)*(B94=$B$1:$B$311)*(A94=$A$1:$A$311),0),2):D93),0))</f>
        <v>0</v>
      </c>
      <c r="E94" s="168">
        <f t="shared" ca="1" si="1"/>
        <v>0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8">
        <f ca="1">IF($C94-G$1&lt;År1,0,F93*(1-VLOOKUP($A94,[1]Hugst!$R$5:$W$9,MATCH(ROUNDUP((G$1)/10,0)*10,[1]Hugst!$R$4:$W$4,0))))</f>
        <v>0</v>
      </c>
      <c r="H94" s="168">
        <f ca="1">IF($C94-H$1&lt;År1,0,G93*(1-VLOOKUP($A94,[1]Hugst!$R$5:$W$9,MATCH(ROUNDUP((H$1)/10,0)*10,[1]Hugst!$R$4:$W$4,0))))</f>
        <v>0</v>
      </c>
      <c r="I94" s="168">
        <f ca="1">IF($C94-I$1&lt;År1,0,H93*(1-VLOOKUP($A94,[1]Hugst!$R$5:$W$9,MATCH(ROUNDUP((I$1)/10,0)*10,[1]Hugst!$R$4:$W$4,0))))</f>
        <v>0</v>
      </c>
      <c r="J94" s="168">
        <f ca="1">IF($C94-J$1&lt;År1,0,I93*(1-VLOOKUP($A94,[1]Hugst!$R$5:$W$9,MATCH(ROUNDUP((J$1)/10,0)*10,[1]Hugst!$R$4:$W$4,0))))</f>
        <v>0</v>
      </c>
      <c r="K94" s="168">
        <f ca="1">IF($C94-K$1&lt;År1,0,J93*(1-VLOOKUP($A94,[1]Hugst!$R$5:$W$9,MATCH(ROUNDUP((K$1)/10,0)*10,[1]Hugst!$R$4:$W$4,0))))</f>
        <v>0</v>
      </c>
      <c r="L94" s="168">
        <f ca="1">IF($C94-L$1&lt;År1,0,K93*(1-VLOOKUP($A94,[1]Hugst!$R$5:$W$9,MATCH(ROUNDUP((L$1)/10,0)*10,[1]Hugst!$R$4:$W$4,0))))</f>
        <v>0</v>
      </c>
      <c r="M94" s="168">
        <f ca="1">IF($C94-M$1&lt;År1,0,L93*(1-VLOOKUP($A94,[1]Hugst!$R$5:$W$9,MATCH(ROUNDUP((M$1)/10,0)*10,[1]Hugst!$R$4:$W$4,0))))</f>
        <v>0</v>
      </c>
      <c r="N94" s="168">
        <f ca="1">IF($C94-N$1&lt;År1,0,M93*(1-VLOOKUP($A94,[1]Hugst!$R$5:$W$9,MATCH(ROUNDUP((N$1)/10,0)*10,[1]Hugst!$R$4:$W$4,0))))</f>
        <v>0</v>
      </c>
      <c r="O94" s="168">
        <f ca="1">IF($C94-O$1&lt;År1,0,N93*(1-VLOOKUP($A94,[1]Hugst!$R$5:$W$9,MATCH(ROUNDUP((O$1)/10,0)*10,[1]Hugst!$R$4:$W$4,0))))</f>
        <v>0</v>
      </c>
      <c r="P94" s="168">
        <f ca="1">IF($C94-P$1&lt;År1,0,O93*(1-VLOOKUP($A94,[1]Hugst!$R$5:$W$9,MATCH(ROUNDUP((P$1)/10,0)*10,[1]Hugst!$R$4:$W$4,0))))</f>
        <v>0</v>
      </c>
      <c r="Q94" s="168">
        <f ca="1">IF($C94-Q$1&lt;År1,0,P93*(1-VLOOKUP($A94,[1]Hugst!$R$5:$W$9,MATCH(ROUNDUP((Q$1)/10,0)*10,[1]Hugst!$R$4:$W$4,0))))</f>
        <v>0</v>
      </c>
      <c r="R94" s="168">
        <f ca="1">IF($C94-R$1&lt;År1,0,Q93*(1-VLOOKUP($A94,[1]Hugst!$R$5:$W$9,MATCH(ROUNDUP((R$1)/10,0)*10,[1]Hugst!$R$4:$W$4,0))))</f>
        <v>0</v>
      </c>
      <c r="S94" s="168">
        <f ca="1">IF($C94-S$1&lt;År1,0,R93*(1-VLOOKUP($A94,[1]Hugst!$R$5:$W$9,MATCH(ROUNDUP((S$1)/10,0)*10,[1]Hugst!$R$4:$W$4,0))))</f>
        <v>0</v>
      </c>
      <c r="T94" s="168">
        <f ca="1">IF($C94-T$1&lt;År1,0,S93*(1-VLOOKUP($A94,[1]Hugst!$R$5:$W$9,MATCH(ROUNDUP((T$1)/10,0)*10,[1]Hugst!$R$4:$W$4,0))))</f>
        <v>0</v>
      </c>
      <c r="U94" s="168">
        <f ca="1">IF($C94-U$1&lt;År1,0,T93*(1-VLOOKUP($A94,[1]Hugst!$R$5:$W$9,MATCH(ROUNDUP((U$1)/10,0)*10,[1]Hugst!$R$4:$W$4,0))))</f>
        <v>0</v>
      </c>
      <c r="V94" s="168">
        <f ca="1">IF($C94-V$1&lt;År1,0,U93*(1-VLOOKUP($A94,[1]Hugst!$R$5:$W$9,MATCH(ROUNDUP((V$1)/10,0)*10,[1]Hugst!$R$4:$W$4,0))))</f>
        <v>0</v>
      </c>
      <c r="W94" s="168">
        <f ca="1">IF($C94-W$1&lt;År1,0,V93*(1-VLOOKUP($A94,[1]Hugst!$R$5:$W$9,MATCH(ROUNDUP((W$1)/10,0)*10,[1]Hugst!$R$4:$W$4,0))))</f>
        <v>0</v>
      </c>
      <c r="X94" s="168">
        <f ca="1">IF($C94-X$1&lt;År1,0,W93*(1-VLOOKUP($A94,[1]Hugst!$R$5:$W$9,MATCH(ROUNDUP((X$1)/10,0)*10,[1]Hugst!$R$4:$W$4,0))))</f>
        <v>0</v>
      </c>
      <c r="Y94" s="168">
        <f ca="1">IF($C94-Y$1&lt;År1,0,X93*(1-VLOOKUP($A94,[1]Hugst!$R$5:$W$9,MATCH(ROUNDUP((Y$1)/10,0)*10,[1]Hugst!$R$4:$W$4,0))))</f>
        <v>0</v>
      </c>
      <c r="Z94" s="168">
        <f ca="1">IF($C94-Z$1&lt;År1,0,Y93*(1-VLOOKUP($A94,[1]Hugst!$R$5:$W$9,MATCH(ROUNDUP((Z$1)/10,0)*10,[1]Hugst!$R$4:$W$4,0))))</f>
        <v>0</v>
      </c>
      <c r="AA94" s="168">
        <f ca="1">IF($C94-AA$1&lt;År1,0,Z93*(1-VLOOKUP($A94,[1]Hugst!$R$5:$W$9,MATCH(ROUNDUP((AA$1)/10,0)*10,[1]Hugst!$R$4:$W$4,0))))</f>
        <v>0</v>
      </c>
      <c r="AB94" s="168">
        <f ca="1">IF($C94-AB$1&lt;År1,0,AA93*(1-VLOOKUP($A94,[1]Hugst!$R$5:$W$9,MATCH(ROUNDUP((AB$1)/10,0)*10,[1]Hugst!$R$4:$W$4,0))))</f>
        <v>0</v>
      </c>
      <c r="AC94" s="168">
        <f ca="1">IF($C94-AC$1&lt;År1,0,AB93*(1-VLOOKUP($A94,[1]Hugst!$R$5:$W$9,MATCH(ROUNDUP((AC$1)/10,0)*10,[1]Hugst!$R$4:$W$4,0))))</f>
        <v>0</v>
      </c>
      <c r="AD94" s="168">
        <f ca="1">IF($C94-AD$1&lt;År1,0,AC93*(1-VLOOKUP($A94,[1]Hugst!$R$5:$W$9,MATCH(ROUNDUP((AD$1)/10,0)*10,[1]Hugst!$R$4:$W$4,0))))</f>
        <v>0</v>
      </c>
      <c r="AE94" s="168">
        <f ca="1">IF($C94-AE$1&lt;År1,0,AD93*(1-VLOOKUP($A94,[1]Hugst!$R$5:$W$9,MATCH(ROUNDUP((AE$1)/10,0)*10,[1]Hugst!$R$4:$W$4,0))))</f>
        <v>0</v>
      </c>
      <c r="AF94" s="168">
        <f ca="1">IF($C94-AF$1&lt;År1,0,AE93*(1-VLOOKUP($A94,[1]Hugst!$R$5:$W$9,MATCH(ROUNDUP((AF$1)/10,0)*10,[1]Hugst!$R$4:$W$4,0))))</f>
        <v>0</v>
      </c>
      <c r="AG94" s="168">
        <f ca="1">IF($C94-AG$1&lt;År1,0,AF93*(1-VLOOKUP($A94,[1]Hugst!$R$5:$W$9,MATCH(ROUNDUP((AG$1)/10,0)*10,[1]Hugst!$R$4:$W$4,0))))</f>
        <v>0</v>
      </c>
      <c r="AH94" s="168">
        <f ca="1">IF($C94-AH$1&lt;År1,0,AG93*(1-VLOOKUP($A94,[1]Hugst!$R$5:$W$9,MATCH(ROUNDUP((AH$1)/10,0)*10,[1]Hugst!$R$4:$W$4,0))))</f>
        <v>0</v>
      </c>
      <c r="AI94" s="168">
        <f ca="1">IF($C94-AI$1&lt;År1,0,AH93*(1-VLOOKUP($A94,[1]Hugst!$R$5:$W$9,MATCH(ROUNDUP((AI$1)/10,0)*10,[1]Hugst!$R$4:$W$4,0))))</f>
        <v>0</v>
      </c>
      <c r="AJ94" s="168">
        <f ca="1">IF($C94-AJ$1&lt;År1,0,AI93*(1-VLOOKUP($A94,[1]Hugst!$R$5:$W$9,MATCH(ROUNDUP((AJ$1)/10,0)*10,[1]Hugst!$R$4:$W$4,0))))</f>
        <v>0</v>
      </c>
      <c r="AK94" s="168"/>
      <c r="AL94" s="168">
        <f ca="1">SUM(F94:AJ94)</f>
        <v>0</v>
      </c>
      <c r="AM94" s="168"/>
    </row>
    <row r="95" spans="1:39" s="168" customFormat="1" x14ac:dyDescent="0.25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*VLOOKUP(A95,Skovbrug!$A$13:$D$17,IF('Skovbrug-alder'!C95&lt;=År2,3,4),FALSE)-IF(C95&gt;2020,SUM(INDEX($C$1:$D$311,MATCH(1,(2020=$C$1:$C$311)*(B95=$B$1:$B$311)*(A95=$A$1:$A$311),0),2):D94),0))</f>
        <v>0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*VLOOKUP(A96,Skovbrug!$A$13:$D$17,IF('Skovbrug-alder'!C96&lt;=År2,3,4),FALSE)-IF(C96&gt;2020,SUM(INDEX($C$1:$D$311,MATCH(1,(2020=$C$1:$C$311)*(B96=$B$1:$B$311)*(A96=$A$1:$A$311),0),2):D95),0))</f>
        <v>0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8">
        <f ca="1">IF($C96-G$1&lt;År1,0,F95*(1-VLOOKUP($A96,[1]Hugst!$R$5:$W$9,MATCH(ROUNDUP((G$1)/10,0)*10,[1]Hugst!$R$4:$W$4,0))))</f>
        <v>0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*VLOOKUP(A97,Skovbrug!$A$13:$D$17,IF('Skovbrug-alder'!C97&lt;=År2,3,4),FALSE)-IF(C97&gt;2020,SUM(INDEX($C$1:$D$311,MATCH(1,(2020=$C$1:$C$311)*(B97=$B$1:$B$311)*(A97=$A$1:$A$311),0),2):D96),0))</f>
        <v>0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8">
        <f ca="1">IF($C97-G$1&lt;År1,0,F96*(1-VLOOKUP($A97,[1]Hugst!$R$5:$W$9,MATCH(ROUNDUP((G$1)/10,0)*10,[1]Hugst!$R$4:$W$4,0))))</f>
        <v>0</v>
      </c>
      <c r="H97" s="168">
        <f ca="1">IF($C97-H$1&lt;År1,0,G96*(1-VLOOKUP($A97,[1]Hugst!$R$5:$W$9,MATCH(ROUNDUP((H$1)/10,0)*10,[1]Hugst!$R$4:$W$4,0))))</f>
        <v>0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*VLOOKUP(A98,Skovbrug!$A$13:$D$17,IF('Skovbrug-alder'!C98&lt;=År2,3,4),FALSE)-IF(C98&gt;2020,SUM(INDEX($C$1:$D$311,MATCH(1,(2020=$C$1:$C$311)*(B98=$B$1:$B$311)*(A98=$A$1:$A$311),0),2):D97),0))</f>
        <v>0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8">
        <f ca="1">IF($C98-G$1&lt;År1,0,F97*(1-VLOOKUP($A98,[1]Hugst!$R$5:$W$9,MATCH(ROUNDUP((G$1)/10,0)*10,[1]Hugst!$R$4:$W$4,0))))</f>
        <v>0</v>
      </c>
      <c r="H98" s="168">
        <f ca="1">IF($C98-H$1&lt;År1,0,G97*(1-VLOOKUP($A98,[1]Hugst!$R$5:$W$9,MATCH(ROUNDUP((H$1)/10,0)*10,[1]Hugst!$R$4:$W$4,0))))</f>
        <v>0</v>
      </c>
      <c r="I98" s="168">
        <f ca="1">IF($C98-I$1&lt;År1,0,H97*(1-VLOOKUP($A98,[1]Hugst!$R$5:$W$9,MATCH(ROUNDUP((I$1)/10,0)*10,[1]Hugst!$R$4:$W$4,0))))</f>
        <v>0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*VLOOKUP(A99,Skovbrug!$A$13:$D$17,IF('Skovbrug-alder'!C99&lt;=År2,3,4),FALSE)-IF(C99&gt;2020,SUM(INDEX($C$1:$D$311,MATCH(1,(2020=$C$1:$C$311)*(B99=$B$1:$B$311)*(A99=$A$1:$A$311),0),2):D98),0))</f>
        <v>0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8">
        <f ca="1">IF($C99-G$1&lt;År1,0,F98*(1-VLOOKUP($A99,[1]Hugst!$R$5:$W$9,MATCH(ROUNDUP((G$1)/10,0)*10,[1]Hugst!$R$4:$W$4,0))))</f>
        <v>0</v>
      </c>
      <c r="H99" s="168">
        <f ca="1">IF($C99-H$1&lt;År1,0,G98*(1-VLOOKUP($A99,[1]Hugst!$R$5:$W$9,MATCH(ROUNDUP((H$1)/10,0)*10,[1]Hugst!$R$4:$W$4,0))))</f>
        <v>0</v>
      </c>
      <c r="I99" s="168">
        <f ca="1">IF($C99-I$1&lt;År1,0,H98*(1-VLOOKUP($A99,[1]Hugst!$R$5:$W$9,MATCH(ROUNDUP((I$1)/10,0)*10,[1]Hugst!$R$4:$W$4,0))))</f>
        <v>0</v>
      </c>
      <c r="J99" s="168">
        <f ca="1">IF($C99-J$1&lt;År1,0,I98*(1-VLOOKUP($A99,[1]Hugst!$R$5:$W$9,MATCH(ROUNDUP((J$1)/10,0)*10,[1]Hugst!$R$4:$W$4,0))))</f>
        <v>0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*VLOOKUP(A100,Skovbrug!$A$13:$D$17,IF('Skovbrug-alder'!C100&lt;=År2,3,4),FALSE)-IF(C100&gt;2020,SUM(INDEX($C$1:$D$311,MATCH(1,(2020=$C$1:$C$311)*(B100=$B$1:$B$311)*(A100=$A$1:$A$311),0),2):D99),0))</f>
        <v>0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8">
        <f ca="1">IF($C100-G$1&lt;År1,0,F99*(1-VLOOKUP($A100,[1]Hugst!$R$5:$W$9,MATCH(ROUNDUP((G$1)/10,0)*10,[1]Hugst!$R$4:$W$4,0))))</f>
        <v>0</v>
      </c>
      <c r="H100" s="168">
        <f ca="1">IF($C100-H$1&lt;År1,0,G99*(1-VLOOKUP($A100,[1]Hugst!$R$5:$W$9,MATCH(ROUNDUP((H$1)/10,0)*10,[1]Hugst!$R$4:$W$4,0))))</f>
        <v>0</v>
      </c>
      <c r="I100" s="168">
        <f ca="1">IF($C100-I$1&lt;År1,0,H99*(1-VLOOKUP($A100,[1]Hugst!$R$5:$W$9,MATCH(ROUNDUP((I$1)/10,0)*10,[1]Hugst!$R$4:$W$4,0))))</f>
        <v>0</v>
      </c>
      <c r="J100" s="168">
        <f ca="1">IF($C100-J$1&lt;År1,0,I99*(1-VLOOKUP($A100,[1]Hugst!$R$5:$W$9,MATCH(ROUNDUP((J$1)/10,0)*10,[1]Hugst!$R$4:$W$4,0))))</f>
        <v>0</v>
      </c>
      <c r="K100" s="168">
        <f ca="1">IF($C100-K$1&lt;År1,0,J99*(1-VLOOKUP($A100,[1]Hugst!$R$5:$W$9,MATCH(ROUNDUP((K$1)/10,0)*10,[1]Hugst!$R$4:$W$4,0))))</f>
        <v>0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*VLOOKUP(A101,Skovbrug!$A$13:$D$17,IF('Skovbrug-alder'!C101&lt;=År2,3,4),FALSE)-IF(C101&gt;2020,SUM(INDEX($C$1:$D$311,MATCH(1,(2020=$C$1:$C$311)*(B101=$B$1:$B$311)*(A101=$A$1:$A$311),0),2):D100),0))</f>
        <v>0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8">
        <f ca="1">IF($C101-G$1&lt;År1,0,F100*(1-VLOOKUP($A101,[1]Hugst!$R$5:$W$9,MATCH(ROUNDUP((G$1)/10,0)*10,[1]Hugst!$R$4:$W$4,0))))</f>
        <v>0</v>
      </c>
      <c r="H101" s="168">
        <f ca="1">IF($C101-H$1&lt;År1,0,G100*(1-VLOOKUP($A101,[1]Hugst!$R$5:$W$9,MATCH(ROUNDUP((H$1)/10,0)*10,[1]Hugst!$R$4:$W$4,0))))</f>
        <v>0</v>
      </c>
      <c r="I101" s="168">
        <f ca="1">IF($C101-I$1&lt;År1,0,H100*(1-VLOOKUP($A101,[1]Hugst!$R$5:$W$9,MATCH(ROUNDUP((I$1)/10,0)*10,[1]Hugst!$R$4:$W$4,0))))</f>
        <v>0</v>
      </c>
      <c r="J101" s="168">
        <f ca="1">IF($C101-J$1&lt;År1,0,I100*(1-VLOOKUP($A101,[1]Hugst!$R$5:$W$9,MATCH(ROUNDUP((J$1)/10,0)*10,[1]Hugst!$R$4:$W$4,0))))</f>
        <v>0</v>
      </c>
      <c r="K101" s="168">
        <f ca="1">IF($C101-K$1&lt;År1,0,J100*(1-VLOOKUP($A101,[1]Hugst!$R$5:$W$9,MATCH(ROUNDUP((K$1)/10,0)*10,[1]Hugst!$R$4:$W$4,0))))</f>
        <v>0</v>
      </c>
      <c r="L101" s="168">
        <f ca="1">IF($C101-L$1&lt;År1,0,K100*(1-VLOOKUP($A101,[1]Hugst!$R$5:$W$9,MATCH(ROUNDUP((L$1)/10,0)*10,[1]Hugst!$R$4:$W$4,0))))</f>
        <v>0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*VLOOKUP(A102,Skovbrug!$A$13:$D$17,IF('Skovbrug-alder'!C102&lt;=År2,3,4),FALSE)-IF(C102&gt;2020,SUM(INDEX($C$1:$D$311,MATCH(1,(2020=$C$1:$C$311)*(B102=$B$1:$B$311)*(A102=$A$1:$A$311),0),2):D101),0))</f>
        <v>0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8">
        <f ca="1">IF($C102-G$1&lt;År1,0,F101*(1-VLOOKUP($A102,[1]Hugst!$R$5:$W$9,MATCH(ROUNDUP((G$1)/10,0)*10,[1]Hugst!$R$4:$W$4,0))))</f>
        <v>0</v>
      </c>
      <c r="H102" s="168">
        <f ca="1">IF($C102-H$1&lt;År1,0,G101*(1-VLOOKUP($A102,[1]Hugst!$R$5:$W$9,MATCH(ROUNDUP((H$1)/10,0)*10,[1]Hugst!$R$4:$W$4,0))))</f>
        <v>0</v>
      </c>
      <c r="I102" s="168">
        <f ca="1">IF($C102-I$1&lt;År1,0,H101*(1-VLOOKUP($A102,[1]Hugst!$R$5:$W$9,MATCH(ROUNDUP((I$1)/10,0)*10,[1]Hugst!$R$4:$W$4,0))))</f>
        <v>0</v>
      </c>
      <c r="J102" s="168">
        <f ca="1">IF($C102-J$1&lt;År1,0,I101*(1-VLOOKUP($A102,[1]Hugst!$R$5:$W$9,MATCH(ROUNDUP((J$1)/10,0)*10,[1]Hugst!$R$4:$W$4,0))))</f>
        <v>0</v>
      </c>
      <c r="K102" s="168">
        <f ca="1">IF($C102-K$1&lt;År1,0,J101*(1-VLOOKUP($A102,[1]Hugst!$R$5:$W$9,MATCH(ROUNDUP((K$1)/10,0)*10,[1]Hugst!$R$4:$W$4,0))))</f>
        <v>0</v>
      </c>
      <c r="L102" s="168">
        <f ca="1">IF($C102-L$1&lt;År1,0,K101*(1-VLOOKUP($A102,[1]Hugst!$R$5:$W$9,MATCH(ROUNDUP((L$1)/10,0)*10,[1]Hugst!$R$4:$W$4,0))))</f>
        <v>0</v>
      </c>
      <c r="M102" s="168">
        <f ca="1">IF($C102-M$1&lt;År1,0,L101*(1-VLOOKUP($A102,[1]Hugst!$R$5:$W$9,MATCH(ROUNDUP((M$1)/10,0)*10,[1]Hugst!$R$4:$W$4,0))))</f>
        <v>0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*VLOOKUP(A103,Skovbrug!$A$13:$D$17,IF('Skovbrug-alder'!C103&lt;=År2,3,4),FALSE)-IF(C103&gt;2020,SUM(INDEX($C$1:$D$311,MATCH(1,(2020=$C$1:$C$311)*(B103=$B$1:$B$311)*(A103=$A$1:$A$311),0),2):D102),0))</f>
        <v>0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8">
        <f ca="1">IF($C103-G$1&lt;År1,0,F102*(1-VLOOKUP($A103,[1]Hugst!$R$5:$W$9,MATCH(ROUNDUP((G$1)/10,0)*10,[1]Hugst!$R$4:$W$4,0))))</f>
        <v>0</v>
      </c>
      <c r="H103" s="168">
        <f ca="1">IF($C103-H$1&lt;År1,0,G102*(1-VLOOKUP($A103,[1]Hugst!$R$5:$W$9,MATCH(ROUNDUP((H$1)/10,0)*10,[1]Hugst!$R$4:$W$4,0))))</f>
        <v>0</v>
      </c>
      <c r="I103" s="168">
        <f ca="1">IF($C103-I$1&lt;År1,0,H102*(1-VLOOKUP($A103,[1]Hugst!$R$5:$W$9,MATCH(ROUNDUP((I$1)/10,0)*10,[1]Hugst!$R$4:$W$4,0))))</f>
        <v>0</v>
      </c>
      <c r="J103" s="168">
        <f ca="1">IF($C103-J$1&lt;År1,0,I102*(1-VLOOKUP($A103,[1]Hugst!$R$5:$W$9,MATCH(ROUNDUP((J$1)/10,0)*10,[1]Hugst!$R$4:$W$4,0))))</f>
        <v>0</v>
      </c>
      <c r="K103" s="168">
        <f ca="1">IF($C103-K$1&lt;År1,0,J102*(1-VLOOKUP($A103,[1]Hugst!$R$5:$W$9,MATCH(ROUNDUP((K$1)/10,0)*10,[1]Hugst!$R$4:$W$4,0))))</f>
        <v>0</v>
      </c>
      <c r="L103" s="168">
        <f ca="1">IF($C103-L$1&lt;År1,0,K102*(1-VLOOKUP($A103,[1]Hugst!$R$5:$W$9,MATCH(ROUNDUP((L$1)/10,0)*10,[1]Hugst!$R$4:$W$4,0))))</f>
        <v>0</v>
      </c>
      <c r="M103" s="168">
        <f ca="1">IF($C103-M$1&lt;År1,0,L102*(1-VLOOKUP($A103,[1]Hugst!$R$5:$W$9,MATCH(ROUNDUP((M$1)/10,0)*10,[1]Hugst!$R$4:$W$4,0))))</f>
        <v>0</v>
      </c>
      <c r="N103" s="168">
        <f ca="1">IF($C103-N$1&lt;År1,0,M102*(1-VLOOKUP($A103,[1]Hugst!$R$5:$W$9,MATCH(ROUNDUP((N$1)/10,0)*10,[1]Hugst!$R$4:$W$4,0))))</f>
        <v>0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*VLOOKUP(A104,Skovbrug!$A$13:$D$17,IF('Skovbrug-alder'!C104&lt;=År2,3,4),FALSE)-IF(C104&gt;2020,SUM(INDEX($C$1:$D$311,MATCH(1,(2020=$C$1:$C$311)*(B104=$B$1:$B$311)*(A104=$A$1:$A$311),0),2):D103),0))</f>
        <v>0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8">
        <f ca="1">IF($C104-G$1&lt;År1,0,F103*(1-VLOOKUP($A104,[1]Hugst!$R$5:$W$9,MATCH(ROUNDUP((G$1)/10,0)*10,[1]Hugst!$R$4:$W$4,0))))</f>
        <v>0</v>
      </c>
      <c r="H104" s="168">
        <f ca="1">IF($C104-H$1&lt;År1,0,G103*(1-VLOOKUP($A104,[1]Hugst!$R$5:$W$9,MATCH(ROUNDUP((H$1)/10,0)*10,[1]Hugst!$R$4:$W$4,0))))</f>
        <v>0</v>
      </c>
      <c r="I104" s="168">
        <f ca="1">IF($C104-I$1&lt;År1,0,H103*(1-VLOOKUP($A104,[1]Hugst!$R$5:$W$9,MATCH(ROUNDUP((I$1)/10,0)*10,[1]Hugst!$R$4:$W$4,0))))</f>
        <v>0</v>
      </c>
      <c r="J104" s="168">
        <f ca="1">IF($C104-J$1&lt;År1,0,I103*(1-VLOOKUP($A104,[1]Hugst!$R$5:$W$9,MATCH(ROUNDUP((J$1)/10,0)*10,[1]Hugst!$R$4:$W$4,0))))</f>
        <v>0</v>
      </c>
      <c r="K104" s="168">
        <f ca="1">IF($C104-K$1&lt;År1,0,J103*(1-VLOOKUP($A104,[1]Hugst!$R$5:$W$9,MATCH(ROUNDUP((K$1)/10,0)*10,[1]Hugst!$R$4:$W$4,0))))</f>
        <v>0</v>
      </c>
      <c r="L104" s="168">
        <f ca="1">IF($C104-L$1&lt;År1,0,K103*(1-VLOOKUP($A104,[1]Hugst!$R$5:$W$9,MATCH(ROUNDUP((L$1)/10,0)*10,[1]Hugst!$R$4:$W$4,0))))</f>
        <v>0</v>
      </c>
      <c r="M104" s="168">
        <f ca="1">IF($C104-M$1&lt;År1,0,L103*(1-VLOOKUP($A104,[1]Hugst!$R$5:$W$9,MATCH(ROUNDUP((M$1)/10,0)*10,[1]Hugst!$R$4:$W$4,0))))</f>
        <v>0</v>
      </c>
      <c r="N104" s="168">
        <f ca="1">IF($C104-N$1&lt;År1,0,M103*(1-VLOOKUP($A104,[1]Hugst!$R$5:$W$9,MATCH(ROUNDUP((N$1)/10,0)*10,[1]Hugst!$R$4:$W$4,0))))</f>
        <v>0</v>
      </c>
      <c r="O104" s="168">
        <f ca="1">IF($C104-O$1&lt;År1,0,N103*(1-VLOOKUP($A104,[1]Hugst!$R$5:$W$9,MATCH(ROUNDUP((O$1)/10,0)*10,[1]Hugst!$R$4:$W$4,0))))</f>
        <v>0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*VLOOKUP(A105,Skovbrug!$A$13:$D$17,IF('Skovbrug-alder'!C105&lt;=År2,3,4),FALSE)-IF(C105&gt;2020,SUM(INDEX($C$1:$D$311,MATCH(1,(2020=$C$1:$C$311)*(B105=$B$1:$B$311)*(A105=$A$1:$A$311),0),2):D104),0))</f>
        <v>0</v>
      </c>
      <c r="E105" s="168">
        <f t="shared" ca="1" si="2"/>
        <v>0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8">
        <f ca="1">IF($C105-G$1&lt;År1,0,F104*(1-VLOOKUP($A105,[1]Hugst!$R$5:$W$9,MATCH(ROUNDUP((G$1)/10,0)*10,[1]Hugst!$R$4:$W$4,0))))</f>
        <v>0</v>
      </c>
      <c r="H105" s="168">
        <f ca="1">IF($C105-H$1&lt;År1,0,G104*(1-VLOOKUP($A105,[1]Hugst!$R$5:$W$9,MATCH(ROUNDUP((H$1)/10,0)*10,[1]Hugst!$R$4:$W$4,0))))</f>
        <v>0</v>
      </c>
      <c r="I105" s="168">
        <f ca="1">IF($C105-I$1&lt;År1,0,H104*(1-VLOOKUP($A105,[1]Hugst!$R$5:$W$9,MATCH(ROUNDUP((I$1)/10,0)*10,[1]Hugst!$R$4:$W$4,0))))</f>
        <v>0</v>
      </c>
      <c r="J105" s="168">
        <f ca="1">IF($C105-J$1&lt;År1,0,I104*(1-VLOOKUP($A105,[1]Hugst!$R$5:$W$9,MATCH(ROUNDUP((J$1)/10,0)*10,[1]Hugst!$R$4:$W$4,0))))</f>
        <v>0</v>
      </c>
      <c r="K105" s="168">
        <f ca="1">IF($C105-K$1&lt;År1,0,J104*(1-VLOOKUP($A105,[1]Hugst!$R$5:$W$9,MATCH(ROUNDUP((K$1)/10,0)*10,[1]Hugst!$R$4:$W$4,0))))</f>
        <v>0</v>
      </c>
      <c r="L105" s="168">
        <f ca="1">IF($C105-L$1&lt;År1,0,K104*(1-VLOOKUP($A105,[1]Hugst!$R$5:$W$9,MATCH(ROUNDUP((L$1)/10,0)*10,[1]Hugst!$R$4:$W$4,0))))</f>
        <v>0</v>
      </c>
      <c r="M105" s="168">
        <f ca="1">IF($C105-M$1&lt;År1,0,L104*(1-VLOOKUP($A105,[1]Hugst!$R$5:$W$9,MATCH(ROUNDUP((M$1)/10,0)*10,[1]Hugst!$R$4:$W$4,0))))</f>
        <v>0</v>
      </c>
      <c r="N105" s="168">
        <f ca="1">IF($C105-N$1&lt;År1,0,M104*(1-VLOOKUP($A105,[1]Hugst!$R$5:$W$9,MATCH(ROUNDUP((N$1)/10,0)*10,[1]Hugst!$R$4:$W$4,0))))</f>
        <v>0</v>
      </c>
      <c r="O105" s="168">
        <f ca="1">IF($C105-O$1&lt;År1,0,N104*(1-VLOOKUP($A105,[1]Hugst!$R$5:$W$9,MATCH(ROUNDUP((O$1)/10,0)*10,[1]Hugst!$R$4:$W$4,0))))</f>
        <v>0</v>
      </c>
      <c r="P105" s="168">
        <f ca="1">IF($C105-P$1&lt;År1,0,O104*(1-VLOOKUP($A105,[1]Hugst!$R$5:$W$9,MATCH(ROUNDUP((P$1)/10,0)*10,[1]Hugst!$R$4:$W$4,0))))</f>
        <v>0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*VLOOKUP(A106,Skovbrug!$A$13:$D$17,IF('Skovbrug-alder'!C106&lt;=År2,3,4),FALSE)-IF(C106&gt;2020,SUM(INDEX($C$1:$D$311,MATCH(1,(2020=$C$1:$C$311)*(B106=$B$1:$B$311)*(A106=$A$1:$A$311),0),2):D105),0))</f>
        <v>0</v>
      </c>
      <c r="E106" s="168">
        <f t="shared" ca="1" si="2"/>
        <v>0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8">
        <f ca="1">IF($C106-G$1&lt;År1,0,F105*(1-VLOOKUP($A106,[1]Hugst!$R$5:$W$9,MATCH(ROUNDUP((G$1)/10,0)*10,[1]Hugst!$R$4:$W$4,0))))</f>
        <v>0</v>
      </c>
      <c r="H106" s="168">
        <f ca="1">IF($C106-H$1&lt;År1,0,G105*(1-VLOOKUP($A106,[1]Hugst!$R$5:$W$9,MATCH(ROUNDUP((H$1)/10,0)*10,[1]Hugst!$R$4:$W$4,0))))</f>
        <v>0</v>
      </c>
      <c r="I106" s="168">
        <f ca="1">IF($C106-I$1&lt;År1,0,H105*(1-VLOOKUP($A106,[1]Hugst!$R$5:$W$9,MATCH(ROUNDUP((I$1)/10,0)*10,[1]Hugst!$R$4:$W$4,0))))</f>
        <v>0</v>
      </c>
      <c r="J106" s="168">
        <f ca="1">IF($C106-J$1&lt;År1,0,I105*(1-VLOOKUP($A106,[1]Hugst!$R$5:$W$9,MATCH(ROUNDUP((J$1)/10,0)*10,[1]Hugst!$R$4:$W$4,0))))</f>
        <v>0</v>
      </c>
      <c r="K106" s="168">
        <f ca="1">IF($C106-K$1&lt;År1,0,J105*(1-VLOOKUP($A106,[1]Hugst!$R$5:$W$9,MATCH(ROUNDUP((K$1)/10,0)*10,[1]Hugst!$R$4:$W$4,0))))</f>
        <v>0</v>
      </c>
      <c r="L106" s="168">
        <f ca="1">IF($C106-L$1&lt;År1,0,K105*(1-VLOOKUP($A106,[1]Hugst!$R$5:$W$9,MATCH(ROUNDUP((L$1)/10,0)*10,[1]Hugst!$R$4:$W$4,0))))</f>
        <v>0</v>
      </c>
      <c r="M106" s="168">
        <f ca="1">IF($C106-M$1&lt;År1,0,L105*(1-VLOOKUP($A106,[1]Hugst!$R$5:$W$9,MATCH(ROUNDUP((M$1)/10,0)*10,[1]Hugst!$R$4:$W$4,0))))</f>
        <v>0</v>
      </c>
      <c r="N106" s="168">
        <f ca="1">IF($C106-N$1&lt;År1,0,M105*(1-VLOOKUP($A106,[1]Hugst!$R$5:$W$9,MATCH(ROUNDUP((N$1)/10,0)*10,[1]Hugst!$R$4:$W$4,0))))</f>
        <v>0</v>
      </c>
      <c r="O106" s="168">
        <f ca="1">IF($C106-O$1&lt;År1,0,N105*(1-VLOOKUP($A106,[1]Hugst!$R$5:$W$9,MATCH(ROUNDUP((O$1)/10,0)*10,[1]Hugst!$R$4:$W$4,0))))</f>
        <v>0</v>
      </c>
      <c r="P106" s="168">
        <f ca="1">IF($C106-P$1&lt;År1,0,O105*(1-VLOOKUP($A106,[1]Hugst!$R$5:$W$9,MATCH(ROUNDUP((P$1)/10,0)*10,[1]Hugst!$R$4:$W$4,0))))</f>
        <v>0</v>
      </c>
      <c r="Q106" s="168">
        <f ca="1">IF($C106-Q$1&lt;År1,0,P105*(1-VLOOKUP($A106,[1]Hugst!$R$5:$W$9,MATCH(ROUNDUP((Q$1)/10,0)*10,[1]Hugst!$R$4:$W$4,0))))</f>
        <v>0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*VLOOKUP(A107,Skovbrug!$A$13:$D$17,IF('Skovbrug-alder'!C107&lt;=År2,3,4),FALSE)-IF(C107&gt;2020,SUM(INDEX($C$1:$D$311,MATCH(1,(2020=$C$1:$C$311)*(B107=$B$1:$B$311)*(A107=$A$1:$A$311),0),2):D106),0))</f>
        <v>0</v>
      </c>
      <c r="E107" s="168">
        <f t="shared" ca="1" si="2"/>
        <v>0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8">
        <f ca="1">IF($C107-G$1&lt;År1,0,F106*(1-VLOOKUP($A107,[1]Hugst!$R$5:$W$9,MATCH(ROUNDUP((G$1)/10,0)*10,[1]Hugst!$R$4:$W$4,0))))</f>
        <v>0</v>
      </c>
      <c r="H107" s="168">
        <f ca="1">IF($C107-H$1&lt;År1,0,G106*(1-VLOOKUP($A107,[1]Hugst!$R$5:$W$9,MATCH(ROUNDUP((H$1)/10,0)*10,[1]Hugst!$R$4:$W$4,0))))</f>
        <v>0</v>
      </c>
      <c r="I107" s="168">
        <f ca="1">IF($C107-I$1&lt;År1,0,H106*(1-VLOOKUP($A107,[1]Hugst!$R$5:$W$9,MATCH(ROUNDUP((I$1)/10,0)*10,[1]Hugst!$R$4:$W$4,0))))</f>
        <v>0</v>
      </c>
      <c r="J107" s="168">
        <f ca="1">IF($C107-J$1&lt;År1,0,I106*(1-VLOOKUP($A107,[1]Hugst!$R$5:$W$9,MATCH(ROUNDUP((J$1)/10,0)*10,[1]Hugst!$R$4:$W$4,0))))</f>
        <v>0</v>
      </c>
      <c r="K107" s="168">
        <f ca="1">IF($C107-K$1&lt;År1,0,J106*(1-VLOOKUP($A107,[1]Hugst!$R$5:$W$9,MATCH(ROUNDUP((K$1)/10,0)*10,[1]Hugst!$R$4:$W$4,0))))</f>
        <v>0</v>
      </c>
      <c r="L107" s="168">
        <f ca="1">IF($C107-L$1&lt;År1,0,K106*(1-VLOOKUP($A107,[1]Hugst!$R$5:$W$9,MATCH(ROUNDUP((L$1)/10,0)*10,[1]Hugst!$R$4:$W$4,0))))</f>
        <v>0</v>
      </c>
      <c r="M107" s="168">
        <f ca="1">IF($C107-M$1&lt;År1,0,L106*(1-VLOOKUP($A107,[1]Hugst!$R$5:$W$9,MATCH(ROUNDUP((M$1)/10,0)*10,[1]Hugst!$R$4:$W$4,0))))</f>
        <v>0</v>
      </c>
      <c r="N107" s="168">
        <f ca="1">IF($C107-N$1&lt;År1,0,M106*(1-VLOOKUP($A107,[1]Hugst!$R$5:$W$9,MATCH(ROUNDUP((N$1)/10,0)*10,[1]Hugst!$R$4:$W$4,0))))</f>
        <v>0</v>
      </c>
      <c r="O107" s="168">
        <f ca="1">IF($C107-O$1&lt;År1,0,N106*(1-VLOOKUP($A107,[1]Hugst!$R$5:$W$9,MATCH(ROUNDUP((O$1)/10,0)*10,[1]Hugst!$R$4:$W$4,0))))</f>
        <v>0</v>
      </c>
      <c r="P107" s="168">
        <f ca="1">IF($C107-P$1&lt;År1,0,O106*(1-VLOOKUP($A107,[1]Hugst!$R$5:$W$9,MATCH(ROUNDUP((P$1)/10,0)*10,[1]Hugst!$R$4:$W$4,0))))</f>
        <v>0</v>
      </c>
      <c r="Q107" s="168">
        <f ca="1">IF($C107-Q$1&lt;År1,0,P106*(1-VLOOKUP($A107,[1]Hugst!$R$5:$W$9,MATCH(ROUNDUP((Q$1)/10,0)*10,[1]Hugst!$R$4:$W$4,0))))</f>
        <v>0</v>
      </c>
      <c r="R107" s="168">
        <f ca="1">IF($C107-R$1&lt;År1,0,Q106*(1-VLOOKUP($A107,[1]Hugst!$R$5:$W$9,MATCH(ROUNDUP((R$1)/10,0)*10,[1]Hugst!$R$4:$W$4,0))))</f>
        <v>0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*VLOOKUP(A108,Skovbrug!$A$13:$D$17,IF('Skovbrug-alder'!C108&lt;=År2,3,4),FALSE)-IF(C108&gt;2020,SUM(INDEX($C$1:$D$311,MATCH(1,(2020=$C$1:$C$311)*(B108=$B$1:$B$311)*(A108=$A$1:$A$311),0),2):D107),0))</f>
        <v>0</v>
      </c>
      <c r="E108" s="168">
        <f t="shared" ca="1" si="2"/>
        <v>0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8">
        <f ca="1">IF($C108-G$1&lt;År1,0,F107*(1-VLOOKUP($A108,[1]Hugst!$R$5:$W$9,MATCH(ROUNDUP((G$1)/10,0)*10,[1]Hugst!$R$4:$W$4,0))))</f>
        <v>0</v>
      </c>
      <c r="H108" s="168">
        <f ca="1">IF($C108-H$1&lt;År1,0,G107*(1-VLOOKUP($A108,[1]Hugst!$R$5:$W$9,MATCH(ROUNDUP((H$1)/10,0)*10,[1]Hugst!$R$4:$W$4,0))))</f>
        <v>0</v>
      </c>
      <c r="I108" s="168">
        <f ca="1">IF($C108-I$1&lt;År1,0,H107*(1-VLOOKUP($A108,[1]Hugst!$R$5:$W$9,MATCH(ROUNDUP((I$1)/10,0)*10,[1]Hugst!$R$4:$W$4,0))))</f>
        <v>0</v>
      </c>
      <c r="J108" s="168">
        <f ca="1">IF($C108-J$1&lt;År1,0,I107*(1-VLOOKUP($A108,[1]Hugst!$R$5:$W$9,MATCH(ROUNDUP((J$1)/10,0)*10,[1]Hugst!$R$4:$W$4,0))))</f>
        <v>0</v>
      </c>
      <c r="K108" s="168">
        <f ca="1">IF($C108-K$1&lt;År1,0,J107*(1-VLOOKUP($A108,[1]Hugst!$R$5:$W$9,MATCH(ROUNDUP((K$1)/10,0)*10,[1]Hugst!$R$4:$W$4,0))))</f>
        <v>0</v>
      </c>
      <c r="L108" s="168">
        <f ca="1">IF($C108-L$1&lt;År1,0,K107*(1-VLOOKUP($A108,[1]Hugst!$R$5:$W$9,MATCH(ROUNDUP((L$1)/10,0)*10,[1]Hugst!$R$4:$W$4,0))))</f>
        <v>0</v>
      </c>
      <c r="M108" s="168">
        <f ca="1">IF($C108-M$1&lt;År1,0,L107*(1-VLOOKUP($A108,[1]Hugst!$R$5:$W$9,MATCH(ROUNDUP((M$1)/10,0)*10,[1]Hugst!$R$4:$W$4,0))))</f>
        <v>0</v>
      </c>
      <c r="N108" s="168">
        <f ca="1">IF($C108-N$1&lt;År1,0,M107*(1-VLOOKUP($A108,[1]Hugst!$R$5:$W$9,MATCH(ROUNDUP((N$1)/10,0)*10,[1]Hugst!$R$4:$W$4,0))))</f>
        <v>0</v>
      </c>
      <c r="O108" s="168">
        <f ca="1">IF($C108-O$1&lt;År1,0,N107*(1-VLOOKUP($A108,[1]Hugst!$R$5:$W$9,MATCH(ROUNDUP((O$1)/10,0)*10,[1]Hugst!$R$4:$W$4,0))))</f>
        <v>0</v>
      </c>
      <c r="P108" s="168">
        <f ca="1">IF($C108-P$1&lt;År1,0,O107*(1-VLOOKUP($A108,[1]Hugst!$R$5:$W$9,MATCH(ROUNDUP((P$1)/10,0)*10,[1]Hugst!$R$4:$W$4,0))))</f>
        <v>0</v>
      </c>
      <c r="Q108" s="168">
        <f ca="1">IF($C108-Q$1&lt;År1,0,P107*(1-VLOOKUP($A108,[1]Hugst!$R$5:$W$9,MATCH(ROUNDUP((Q$1)/10,0)*10,[1]Hugst!$R$4:$W$4,0))))</f>
        <v>0</v>
      </c>
      <c r="R108" s="168">
        <f ca="1">IF($C108-R$1&lt;År1,0,Q107*(1-VLOOKUP($A108,[1]Hugst!$R$5:$W$9,MATCH(ROUNDUP((R$1)/10,0)*10,[1]Hugst!$R$4:$W$4,0))))</f>
        <v>0</v>
      </c>
      <c r="S108" s="168">
        <f ca="1">IF($C108-S$1&lt;År1,0,R107*(1-VLOOKUP($A108,[1]Hugst!$R$5:$W$9,MATCH(ROUNDUP((S$1)/10,0)*10,[1]Hugst!$R$4:$W$4,0))))</f>
        <v>0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*VLOOKUP(A109,Skovbrug!$A$13:$D$17,IF('Skovbrug-alder'!C109&lt;=År2,3,4),FALSE)-IF(C109&gt;2020,SUM(INDEX($C$1:$D$311,MATCH(1,(2020=$C$1:$C$311)*(B109=$B$1:$B$311)*(A109=$A$1:$A$311),0),2):D108),0))</f>
        <v>0</v>
      </c>
      <c r="E109" s="168">
        <f t="shared" ca="1" si="2"/>
        <v>0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8">
        <f ca="1">IF($C109-G$1&lt;År1,0,F108*(1-VLOOKUP($A109,[1]Hugst!$R$5:$W$9,MATCH(ROUNDUP((G$1)/10,0)*10,[1]Hugst!$R$4:$W$4,0))))</f>
        <v>0</v>
      </c>
      <c r="H109" s="168">
        <f ca="1">IF($C109-H$1&lt;År1,0,G108*(1-VLOOKUP($A109,[1]Hugst!$R$5:$W$9,MATCH(ROUNDUP((H$1)/10,0)*10,[1]Hugst!$R$4:$W$4,0))))</f>
        <v>0</v>
      </c>
      <c r="I109" s="168">
        <f ca="1">IF($C109-I$1&lt;År1,0,H108*(1-VLOOKUP($A109,[1]Hugst!$R$5:$W$9,MATCH(ROUNDUP((I$1)/10,0)*10,[1]Hugst!$R$4:$W$4,0))))</f>
        <v>0</v>
      </c>
      <c r="J109" s="168">
        <f ca="1">IF($C109-J$1&lt;År1,0,I108*(1-VLOOKUP($A109,[1]Hugst!$R$5:$W$9,MATCH(ROUNDUP((J$1)/10,0)*10,[1]Hugst!$R$4:$W$4,0))))</f>
        <v>0</v>
      </c>
      <c r="K109" s="168">
        <f ca="1">IF($C109-K$1&lt;År1,0,J108*(1-VLOOKUP($A109,[1]Hugst!$R$5:$W$9,MATCH(ROUNDUP((K$1)/10,0)*10,[1]Hugst!$R$4:$W$4,0))))</f>
        <v>0</v>
      </c>
      <c r="L109" s="168">
        <f ca="1">IF($C109-L$1&lt;År1,0,K108*(1-VLOOKUP($A109,[1]Hugst!$R$5:$W$9,MATCH(ROUNDUP((L$1)/10,0)*10,[1]Hugst!$R$4:$W$4,0))))</f>
        <v>0</v>
      </c>
      <c r="M109" s="168">
        <f ca="1">IF($C109-M$1&lt;År1,0,L108*(1-VLOOKUP($A109,[1]Hugst!$R$5:$W$9,MATCH(ROUNDUP((M$1)/10,0)*10,[1]Hugst!$R$4:$W$4,0))))</f>
        <v>0</v>
      </c>
      <c r="N109" s="168">
        <f ca="1">IF($C109-N$1&lt;År1,0,M108*(1-VLOOKUP($A109,[1]Hugst!$R$5:$W$9,MATCH(ROUNDUP((N$1)/10,0)*10,[1]Hugst!$R$4:$W$4,0))))</f>
        <v>0</v>
      </c>
      <c r="O109" s="168">
        <f ca="1">IF($C109-O$1&lt;År1,0,N108*(1-VLOOKUP($A109,[1]Hugst!$R$5:$W$9,MATCH(ROUNDUP((O$1)/10,0)*10,[1]Hugst!$R$4:$W$4,0))))</f>
        <v>0</v>
      </c>
      <c r="P109" s="168">
        <f ca="1">IF($C109-P$1&lt;År1,0,O108*(1-VLOOKUP($A109,[1]Hugst!$R$5:$W$9,MATCH(ROUNDUP((P$1)/10,0)*10,[1]Hugst!$R$4:$W$4,0))))</f>
        <v>0</v>
      </c>
      <c r="Q109" s="168">
        <f ca="1">IF($C109-Q$1&lt;År1,0,P108*(1-VLOOKUP($A109,[1]Hugst!$R$5:$W$9,MATCH(ROUNDUP((Q$1)/10,0)*10,[1]Hugst!$R$4:$W$4,0))))</f>
        <v>0</v>
      </c>
      <c r="R109" s="168">
        <f ca="1">IF($C109-R$1&lt;År1,0,Q108*(1-VLOOKUP($A109,[1]Hugst!$R$5:$W$9,MATCH(ROUNDUP((R$1)/10,0)*10,[1]Hugst!$R$4:$W$4,0))))</f>
        <v>0</v>
      </c>
      <c r="S109" s="168">
        <f ca="1">IF($C109-S$1&lt;År1,0,R108*(1-VLOOKUP($A109,[1]Hugst!$R$5:$W$9,MATCH(ROUNDUP((S$1)/10,0)*10,[1]Hugst!$R$4:$W$4,0))))</f>
        <v>0</v>
      </c>
      <c r="T109" s="168">
        <f ca="1">IF($C109-T$1&lt;År1,0,S108*(1-VLOOKUP($A109,[1]Hugst!$R$5:$W$9,MATCH(ROUNDUP((T$1)/10,0)*10,[1]Hugst!$R$4:$W$4,0))))</f>
        <v>0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*VLOOKUP(A110,Skovbrug!$A$13:$D$17,IF('Skovbrug-alder'!C110&lt;=År2,3,4),FALSE)-IF(C110&gt;2020,SUM(INDEX($C$1:$D$311,MATCH(1,(2020=$C$1:$C$311)*(B110=$B$1:$B$311)*(A110=$A$1:$A$311),0),2):D109),0))</f>
        <v>0</v>
      </c>
      <c r="E110" s="168">
        <f t="shared" ca="1" si="2"/>
        <v>0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8">
        <f ca="1">IF($C110-G$1&lt;År1,0,F109*(1-VLOOKUP($A110,[1]Hugst!$R$5:$W$9,MATCH(ROUNDUP((G$1)/10,0)*10,[1]Hugst!$R$4:$W$4,0))))</f>
        <v>0</v>
      </c>
      <c r="H110" s="168">
        <f ca="1">IF($C110-H$1&lt;År1,0,G109*(1-VLOOKUP($A110,[1]Hugst!$R$5:$W$9,MATCH(ROUNDUP((H$1)/10,0)*10,[1]Hugst!$R$4:$W$4,0))))</f>
        <v>0</v>
      </c>
      <c r="I110" s="168">
        <f ca="1">IF($C110-I$1&lt;År1,0,H109*(1-VLOOKUP($A110,[1]Hugst!$R$5:$W$9,MATCH(ROUNDUP((I$1)/10,0)*10,[1]Hugst!$R$4:$W$4,0))))</f>
        <v>0</v>
      </c>
      <c r="J110" s="168">
        <f ca="1">IF($C110-J$1&lt;År1,0,I109*(1-VLOOKUP($A110,[1]Hugst!$R$5:$W$9,MATCH(ROUNDUP((J$1)/10,0)*10,[1]Hugst!$R$4:$W$4,0))))</f>
        <v>0</v>
      </c>
      <c r="K110" s="168">
        <f ca="1">IF($C110-K$1&lt;År1,0,J109*(1-VLOOKUP($A110,[1]Hugst!$R$5:$W$9,MATCH(ROUNDUP((K$1)/10,0)*10,[1]Hugst!$R$4:$W$4,0))))</f>
        <v>0</v>
      </c>
      <c r="L110" s="168">
        <f ca="1">IF($C110-L$1&lt;År1,0,K109*(1-VLOOKUP($A110,[1]Hugst!$R$5:$W$9,MATCH(ROUNDUP((L$1)/10,0)*10,[1]Hugst!$R$4:$W$4,0))))</f>
        <v>0</v>
      </c>
      <c r="M110" s="168">
        <f ca="1">IF($C110-M$1&lt;År1,0,L109*(1-VLOOKUP($A110,[1]Hugst!$R$5:$W$9,MATCH(ROUNDUP((M$1)/10,0)*10,[1]Hugst!$R$4:$W$4,0))))</f>
        <v>0</v>
      </c>
      <c r="N110" s="168">
        <f ca="1">IF($C110-N$1&lt;År1,0,M109*(1-VLOOKUP($A110,[1]Hugst!$R$5:$W$9,MATCH(ROUNDUP((N$1)/10,0)*10,[1]Hugst!$R$4:$W$4,0))))</f>
        <v>0</v>
      </c>
      <c r="O110" s="168">
        <f ca="1">IF($C110-O$1&lt;År1,0,N109*(1-VLOOKUP($A110,[1]Hugst!$R$5:$W$9,MATCH(ROUNDUP((O$1)/10,0)*10,[1]Hugst!$R$4:$W$4,0))))</f>
        <v>0</v>
      </c>
      <c r="P110" s="168">
        <f ca="1">IF($C110-P$1&lt;År1,0,O109*(1-VLOOKUP($A110,[1]Hugst!$R$5:$W$9,MATCH(ROUNDUP((P$1)/10,0)*10,[1]Hugst!$R$4:$W$4,0))))</f>
        <v>0</v>
      </c>
      <c r="Q110" s="168">
        <f ca="1">IF($C110-Q$1&lt;År1,0,P109*(1-VLOOKUP($A110,[1]Hugst!$R$5:$W$9,MATCH(ROUNDUP((Q$1)/10,0)*10,[1]Hugst!$R$4:$W$4,0))))</f>
        <v>0</v>
      </c>
      <c r="R110" s="168">
        <f ca="1">IF($C110-R$1&lt;År1,0,Q109*(1-VLOOKUP($A110,[1]Hugst!$R$5:$W$9,MATCH(ROUNDUP((R$1)/10,0)*10,[1]Hugst!$R$4:$W$4,0))))</f>
        <v>0</v>
      </c>
      <c r="S110" s="168">
        <f ca="1">IF($C110-S$1&lt;År1,0,R109*(1-VLOOKUP($A110,[1]Hugst!$R$5:$W$9,MATCH(ROUNDUP((S$1)/10,0)*10,[1]Hugst!$R$4:$W$4,0))))</f>
        <v>0</v>
      </c>
      <c r="T110" s="168">
        <f ca="1">IF($C110-T$1&lt;År1,0,S109*(1-VLOOKUP($A110,[1]Hugst!$R$5:$W$9,MATCH(ROUNDUP((T$1)/10,0)*10,[1]Hugst!$R$4:$W$4,0))))</f>
        <v>0</v>
      </c>
      <c r="U110" s="168">
        <f ca="1">IF($C110-U$1&lt;År1,0,T109*(1-VLOOKUP($A110,[1]Hugst!$R$5:$W$9,MATCH(ROUNDUP((U$1)/10,0)*10,[1]Hugst!$R$4:$W$4,0))))</f>
        <v>0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*VLOOKUP(A111,Skovbrug!$A$13:$D$17,IF('Skovbrug-alder'!C111&lt;=År2,3,4),FALSE)-IF(C111&gt;2020,SUM(INDEX($C$1:$D$311,MATCH(1,(2020=$C$1:$C$311)*(B111=$B$1:$B$311)*(A111=$A$1:$A$311),0),2):D110),0))</f>
        <v>0</v>
      </c>
      <c r="E111" s="168">
        <f t="shared" ca="1" si="2"/>
        <v>0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8">
        <f ca="1">IF($C111-G$1&lt;År1,0,F110*(1-VLOOKUP($A111,[1]Hugst!$R$5:$W$9,MATCH(ROUNDUP((G$1)/10,0)*10,[1]Hugst!$R$4:$W$4,0))))</f>
        <v>0</v>
      </c>
      <c r="H111" s="168">
        <f ca="1">IF($C111-H$1&lt;År1,0,G110*(1-VLOOKUP($A111,[1]Hugst!$R$5:$W$9,MATCH(ROUNDUP((H$1)/10,0)*10,[1]Hugst!$R$4:$W$4,0))))</f>
        <v>0</v>
      </c>
      <c r="I111" s="168">
        <f ca="1">IF($C111-I$1&lt;År1,0,H110*(1-VLOOKUP($A111,[1]Hugst!$R$5:$W$9,MATCH(ROUNDUP((I$1)/10,0)*10,[1]Hugst!$R$4:$W$4,0))))</f>
        <v>0</v>
      </c>
      <c r="J111" s="168">
        <f ca="1">IF($C111-J$1&lt;År1,0,I110*(1-VLOOKUP($A111,[1]Hugst!$R$5:$W$9,MATCH(ROUNDUP((J$1)/10,0)*10,[1]Hugst!$R$4:$W$4,0))))</f>
        <v>0</v>
      </c>
      <c r="K111" s="168">
        <f ca="1">IF($C111-K$1&lt;År1,0,J110*(1-VLOOKUP($A111,[1]Hugst!$R$5:$W$9,MATCH(ROUNDUP((K$1)/10,0)*10,[1]Hugst!$R$4:$W$4,0))))</f>
        <v>0</v>
      </c>
      <c r="L111" s="168">
        <f ca="1">IF($C111-L$1&lt;År1,0,K110*(1-VLOOKUP($A111,[1]Hugst!$R$5:$W$9,MATCH(ROUNDUP((L$1)/10,0)*10,[1]Hugst!$R$4:$W$4,0))))</f>
        <v>0</v>
      </c>
      <c r="M111" s="168">
        <f ca="1">IF($C111-M$1&lt;År1,0,L110*(1-VLOOKUP($A111,[1]Hugst!$R$5:$W$9,MATCH(ROUNDUP((M$1)/10,0)*10,[1]Hugst!$R$4:$W$4,0))))</f>
        <v>0</v>
      </c>
      <c r="N111" s="168">
        <f ca="1">IF($C111-N$1&lt;År1,0,M110*(1-VLOOKUP($A111,[1]Hugst!$R$5:$W$9,MATCH(ROUNDUP((N$1)/10,0)*10,[1]Hugst!$R$4:$W$4,0))))</f>
        <v>0</v>
      </c>
      <c r="O111" s="168">
        <f ca="1">IF($C111-O$1&lt;År1,0,N110*(1-VLOOKUP($A111,[1]Hugst!$R$5:$W$9,MATCH(ROUNDUP((O$1)/10,0)*10,[1]Hugst!$R$4:$W$4,0))))</f>
        <v>0</v>
      </c>
      <c r="P111" s="168">
        <f ca="1">IF($C111-P$1&lt;År1,0,O110*(1-VLOOKUP($A111,[1]Hugst!$R$5:$W$9,MATCH(ROUNDUP((P$1)/10,0)*10,[1]Hugst!$R$4:$W$4,0))))</f>
        <v>0</v>
      </c>
      <c r="Q111" s="168">
        <f ca="1">IF($C111-Q$1&lt;År1,0,P110*(1-VLOOKUP($A111,[1]Hugst!$R$5:$W$9,MATCH(ROUNDUP((Q$1)/10,0)*10,[1]Hugst!$R$4:$W$4,0))))</f>
        <v>0</v>
      </c>
      <c r="R111" s="168">
        <f ca="1">IF($C111-R$1&lt;År1,0,Q110*(1-VLOOKUP($A111,[1]Hugst!$R$5:$W$9,MATCH(ROUNDUP((R$1)/10,0)*10,[1]Hugst!$R$4:$W$4,0))))</f>
        <v>0</v>
      </c>
      <c r="S111" s="168">
        <f ca="1">IF($C111-S$1&lt;År1,0,R110*(1-VLOOKUP($A111,[1]Hugst!$R$5:$W$9,MATCH(ROUNDUP((S$1)/10,0)*10,[1]Hugst!$R$4:$W$4,0))))</f>
        <v>0</v>
      </c>
      <c r="T111" s="168">
        <f ca="1">IF($C111-T$1&lt;År1,0,S110*(1-VLOOKUP($A111,[1]Hugst!$R$5:$W$9,MATCH(ROUNDUP((T$1)/10,0)*10,[1]Hugst!$R$4:$W$4,0))))</f>
        <v>0</v>
      </c>
      <c r="U111" s="168">
        <f ca="1">IF($C111-U$1&lt;År1,0,T110*(1-VLOOKUP($A111,[1]Hugst!$R$5:$W$9,MATCH(ROUNDUP((U$1)/10,0)*10,[1]Hugst!$R$4:$W$4,0))))</f>
        <v>0</v>
      </c>
      <c r="V111" s="168">
        <f ca="1">IF($C111-V$1&lt;År1,0,U110*(1-VLOOKUP($A111,[1]Hugst!$R$5:$W$9,MATCH(ROUNDUP((V$1)/10,0)*10,[1]Hugst!$R$4:$W$4,0))))</f>
        <v>0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*VLOOKUP(A112,Skovbrug!$A$13:$D$17,IF('Skovbrug-alder'!C112&lt;=År2,3,4),FALSE)-IF(C112&gt;2020,SUM(INDEX($C$1:$D$311,MATCH(1,(2020=$C$1:$C$311)*(B112=$B$1:$B$311)*(A112=$A$1:$A$311),0),2):D111),0))</f>
        <v>0</v>
      </c>
      <c r="E112" s="168">
        <f t="shared" ca="1" si="2"/>
        <v>0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8">
        <f ca="1">IF($C112-G$1&lt;År1,0,F111*(1-VLOOKUP($A112,[1]Hugst!$R$5:$W$9,MATCH(ROUNDUP((G$1)/10,0)*10,[1]Hugst!$R$4:$W$4,0))))</f>
        <v>0</v>
      </c>
      <c r="H112" s="168">
        <f ca="1">IF($C112-H$1&lt;År1,0,G111*(1-VLOOKUP($A112,[1]Hugst!$R$5:$W$9,MATCH(ROUNDUP((H$1)/10,0)*10,[1]Hugst!$R$4:$W$4,0))))</f>
        <v>0</v>
      </c>
      <c r="I112" s="168">
        <f ca="1">IF($C112-I$1&lt;År1,0,H111*(1-VLOOKUP($A112,[1]Hugst!$R$5:$W$9,MATCH(ROUNDUP((I$1)/10,0)*10,[1]Hugst!$R$4:$W$4,0))))</f>
        <v>0</v>
      </c>
      <c r="J112" s="168">
        <f ca="1">IF($C112-J$1&lt;År1,0,I111*(1-VLOOKUP($A112,[1]Hugst!$R$5:$W$9,MATCH(ROUNDUP((J$1)/10,0)*10,[1]Hugst!$R$4:$W$4,0))))</f>
        <v>0</v>
      </c>
      <c r="K112" s="168">
        <f ca="1">IF($C112-K$1&lt;År1,0,J111*(1-VLOOKUP($A112,[1]Hugst!$R$5:$W$9,MATCH(ROUNDUP((K$1)/10,0)*10,[1]Hugst!$R$4:$W$4,0))))</f>
        <v>0</v>
      </c>
      <c r="L112" s="168">
        <f ca="1">IF($C112-L$1&lt;År1,0,K111*(1-VLOOKUP($A112,[1]Hugst!$R$5:$W$9,MATCH(ROUNDUP((L$1)/10,0)*10,[1]Hugst!$R$4:$W$4,0))))</f>
        <v>0</v>
      </c>
      <c r="M112" s="168">
        <f ca="1">IF($C112-M$1&lt;År1,0,L111*(1-VLOOKUP($A112,[1]Hugst!$R$5:$W$9,MATCH(ROUNDUP((M$1)/10,0)*10,[1]Hugst!$R$4:$W$4,0))))</f>
        <v>0</v>
      </c>
      <c r="N112" s="168">
        <f ca="1">IF($C112-N$1&lt;År1,0,M111*(1-VLOOKUP($A112,[1]Hugst!$R$5:$W$9,MATCH(ROUNDUP((N$1)/10,0)*10,[1]Hugst!$R$4:$W$4,0))))</f>
        <v>0</v>
      </c>
      <c r="O112" s="168">
        <f ca="1">IF($C112-O$1&lt;År1,0,N111*(1-VLOOKUP($A112,[1]Hugst!$R$5:$W$9,MATCH(ROUNDUP((O$1)/10,0)*10,[1]Hugst!$R$4:$W$4,0))))</f>
        <v>0</v>
      </c>
      <c r="P112" s="168">
        <f ca="1">IF($C112-P$1&lt;År1,0,O111*(1-VLOOKUP($A112,[1]Hugst!$R$5:$W$9,MATCH(ROUNDUP((P$1)/10,0)*10,[1]Hugst!$R$4:$W$4,0))))</f>
        <v>0</v>
      </c>
      <c r="Q112" s="168">
        <f ca="1">IF($C112-Q$1&lt;År1,0,P111*(1-VLOOKUP($A112,[1]Hugst!$R$5:$W$9,MATCH(ROUNDUP((Q$1)/10,0)*10,[1]Hugst!$R$4:$W$4,0))))</f>
        <v>0</v>
      </c>
      <c r="R112" s="168">
        <f ca="1">IF($C112-R$1&lt;År1,0,Q111*(1-VLOOKUP($A112,[1]Hugst!$R$5:$W$9,MATCH(ROUNDUP((R$1)/10,0)*10,[1]Hugst!$R$4:$W$4,0))))</f>
        <v>0</v>
      </c>
      <c r="S112" s="168">
        <f ca="1">IF($C112-S$1&lt;År1,0,R111*(1-VLOOKUP($A112,[1]Hugst!$R$5:$W$9,MATCH(ROUNDUP((S$1)/10,0)*10,[1]Hugst!$R$4:$W$4,0))))</f>
        <v>0</v>
      </c>
      <c r="T112" s="168">
        <f ca="1">IF($C112-T$1&lt;År1,0,S111*(1-VLOOKUP($A112,[1]Hugst!$R$5:$W$9,MATCH(ROUNDUP((T$1)/10,0)*10,[1]Hugst!$R$4:$W$4,0))))</f>
        <v>0</v>
      </c>
      <c r="U112" s="168">
        <f ca="1">IF($C112-U$1&lt;År1,0,T111*(1-VLOOKUP($A112,[1]Hugst!$R$5:$W$9,MATCH(ROUNDUP((U$1)/10,0)*10,[1]Hugst!$R$4:$W$4,0))))</f>
        <v>0</v>
      </c>
      <c r="V112" s="168">
        <f ca="1">IF($C112-V$1&lt;År1,0,U111*(1-VLOOKUP($A112,[1]Hugst!$R$5:$W$9,MATCH(ROUNDUP((V$1)/10,0)*10,[1]Hugst!$R$4:$W$4,0))))</f>
        <v>0</v>
      </c>
      <c r="W112" s="168">
        <f ca="1">IF($C112-W$1&lt;År1,0,V111*(1-VLOOKUP($A112,[1]Hugst!$R$5:$W$9,MATCH(ROUNDUP((W$1)/10,0)*10,[1]Hugst!$R$4:$W$4,0))))</f>
        <v>0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*VLOOKUP(A113,Skovbrug!$A$13:$D$17,IF('Skovbrug-alder'!C113&lt;=År2,3,4),FALSE)-IF(C113&gt;2020,SUM(INDEX($C$1:$D$311,MATCH(1,(2020=$C$1:$C$311)*(B113=$B$1:$B$311)*(A113=$A$1:$A$311),0),2):D112),0))</f>
        <v>0</v>
      </c>
      <c r="E113" s="168">
        <f t="shared" ca="1" si="2"/>
        <v>0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8">
        <f ca="1">IF($C113-G$1&lt;År1,0,F112*(1-VLOOKUP($A113,[1]Hugst!$R$5:$W$9,MATCH(ROUNDUP((G$1)/10,0)*10,[1]Hugst!$R$4:$W$4,0))))</f>
        <v>0</v>
      </c>
      <c r="H113" s="168">
        <f ca="1">IF($C113-H$1&lt;År1,0,G112*(1-VLOOKUP($A113,[1]Hugst!$R$5:$W$9,MATCH(ROUNDUP((H$1)/10,0)*10,[1]Hugst!$R$4:$W$4,0))))</f>
        <v>0</v>
      </c>
      <c r="I113" s="168">
        <f ca="1">IF($C113-I$1&lt;År1,0,H112*(1-VLOOKUP($A113,[1]Hugst!$R$5:$W$9,MATCH(ROUNDUP((I$1)/10,0)*10,[1]Hugst!$R$4:$W$4,0))))</f>
        <v>0</v>
      </c>
      <c r="J113" s="168">
        <f ca="1">IF($C113-J$1&lt;År1,0,I112*(1-VLOOKUP($A113,[1]Hugst!$R$5:$W$9,MATCH(ROUNDUP((J$1)/10,0)*10,[1]Hugst!$R$4:$W$4,0))))</f>
        <v>0</v>
      </c>
      <c r="K113" s="168">
        <f ca="1">IF($C113-K$1&lt;År1,0,J112*(1-VLOOKUP($A113,[1]Hugst!$R$5:$W$9,MATCH(ROUNDUP((K$1)/10,0)*10,[1]Hugst!$R$4:$W$4,0))))</f>
        <v>0</v>
      </c>
      <c r="L113" s="168">
        <f ca="1">IF($C113-L$1&lt;År1,0,K112*(1-VLOOKUP($A113,[1]Hugst!$R$5:$W$9,MATCH(ROUNDUP((L$1)/10,0)*10,[1]Hugst!$R$4:$W$4,0))))</f>
        <v>0</v>
      </c>
      <c r="M113" s="168">
        <f ca="1">IF($C113-M$1&lt;År1,0,L112*(1-VLOOKUP($A113,[1]Hugst!$R$5:$W$9,MATCH(ROUNDUP((M$1)/10,0)*10,[1]Hugst!$R$4:$W$4,0))))</f>
        <v>0</v>
      </c>
      <c r="N113" s="168">
        <f ca="1">IF($C113-N$1&lt;År1,0,M112*(1-VLOOKUP($A113,[1]Hugst!$R$5:$W$9,MATCH(ROUNDUP((N$1)/10,0)*10,[1]Hugst!$R$4:$W$4,0))))</f>
        <v>0</v>
      </c>
      <c r="O113" s="168">
        <f ca="1">IF($C113-O$1&lt;År1,0,N112*(1-VLOOKUP($A113,[1]Hugst!$R$5:$W$9,MATCH(ROUNDUP((O$1)/10,0)*10,[1]Hugst!$R$4:$W$4,0))))</f>
        <v>0</v>
      </c>
      <c r="P113" s="168">
        <f ca="1">IF($C113-P$1&lt;År1,0,O112*(1-VLOOKUP($A113,[1]Hugst!$R$5:$W$9,MATCH(ROUNDUP((P$1)/10,0)*10,[1]Hugst!$R$4:$W$4,0))))</f>
        <v>0</v>
      </c>
      <c r="Q113" s="168">
        <f ca="1">IF($C113-Q$1&lt;År1,0,P112*(1-VLOOKUP($A113,[1]Hugst!$R$5:$W$9,MATCH(ROUNDUP((Q$1)/10,0)*10,[1]Hugst!$R$4:$W$4,0))))</f>
        <v>0</v>
      </c>
      <c r="R113" s="168">
        <f ca="1">IF($C113-R$1&lt;År1,0,Q112*(1-VLOOKUP($A113,[1]Hugst!$R$5:$W$9,MATCH(ROUNDUP((R$1)/10,0)*10,[1]Hugst!$R$4:$W$4,0))))</f>
        <v>0</v>
      </c>
      <c r="S113" s="168">
        <f ca="1">IF($C113-S$1&lt;År1,0,R112*(1-VLOOKUP($A113,[1]Hugst!$R$5:$W$9,MATCH(ROUNDUP((S$1)/10,0)*10,[1]Hugst!$R$4:$W$4,0))))</f>
        <v>0</v>
      </c>
      <c r="T113" s="168">
        <f ca="1">IF($C113-T$1&lt;År1,0,S112*(1-VLOOKUP($A113,[1]Hugst!$R$5:$W$9,MATCH(ROUNDUP((T$1)/10,0)*10,[1]Hugst!$R$4:$W$4,0))))</f>
        <v>0</v>
      </c>
      <c r="U113" s="168">
        <f ca="1">IF($C113-U$1&lt;År1,0,T112*(1-VLOOKUP($A113,[1]Hugst!$R$5:$W$9,MATCH(ROUNDUP((U$1)/10,0)*10,[1]Hugst!$R$4:$W$4,0))))</f>
        <v>0</v>
      </c>
      <c r="V113" s="168">
        <f ca="1">IF($C113-V$1&lt;År1,0,U112*(1-VLOOKUP($A113,[1]Hugst!$R$5:$W$9,MATCH(ROUNDUP((V$1)/10,0)*10,[1]Hugst!$R$4:$W$4,0))))</f>
        <v>0</v>
      </c>
      <c r="W113" s="168">
        <f ca="1">IF($C113-W$1&lt;År1,0,V112*(1-VLOOKUP($A113,[1]Hugst!$R$5:$W$9,MATCH(ROUNDUP((W$1)/10,0)*10,[1]Hugst!$R$4:$W$4,0))))</f>
        <v>0</v>
      </c>
      <c r="X113" s="168">
        <f ca="1">IF($C113-X$1&lt;År1,0,W112*(1-VLOOKUP($A113,[1]Hugst!$R$5:$W$9,MATCH(ROUNDUP((X$1)/10,0)*10,[1]Hugst!$R$4:$W$4,0))))</f>
        <v>0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*VLOOKUP(A114,Skovbrug!$A$13:$D$17,IF('Skovbrug-alder'!C114&lt;=År2,3,4),FALSE)-IF(C114&gt;2020,SUM(INDEX($C$1:$D$311,MATCH(1,(2020=$C$1:$C$311)*(B114=$B$1:$B$311)*(A114=$A$1:$A$311),0),2):D113),0))</f>
        <v>0</v>
      </c>
      <c r="E114" s="168">
        <f t="shared" ca="1" si="2"/>
        <v>0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8">
        <f ca="1">IF($C114-G$1&lt;År1,0,F113*(1-VLOOKUP($A114,[1]Hugst!$R$5:$W$9,MATCH(ROUNDUP((G$1)/10,0)*10,[1]Hugst!$R$4:$W$4,0))))</f>
        <v>0</v>
      </c>
      <c r="H114" s="168">
        <f ca="1">IF($C114-H$1&lt;År1,0,G113*(1-VLOOKUP($A114,[1]Hugst!$R$5:$W$9,MATCH(ROUNDUP((H$1)/10,0)*10,[1]Hugst!$R$4:$W$4,0))))</f>
        <v>0</v>
      </c>
      <c r="I114" s="168">
        <f ca="1">IF($C114-I$1&lt;År1,0,H113*(1-VLOOKUP($A114,[1]Hugst!$R$5:$W$9,MATCH(ROUNDUP((I$1)/10,0)*10,[1]Hugst!$R$4:$W$4,0))))</f>
        <v>0</v>
      </c>
      <c r="J114" s="168">
        <f ca="1">IF($C114-J$1&lt;År1,0,I113*(1-VLOOKUP($A114,[1]Hugst!$R$5:$W$9,MATCH(ROUNDUP((J$1)/10,0)*10,[1]Hugst!$R$4:$W$4,0))))</f>
        <v>0</v>
      </c>
      <c r="K114" s="168">
        <f ca="1">IF($C114-K$1&lt;År1,0,J113*(1-VLOOKUP($A114,[1]Hugst!$R$5:$W$9,MATCH(ROUNDUP((K$1)/10,0)*10,[1]Hugst!$R$4:$W$4,0))))</f>
        <v>0</v>
      </c>
      <c r="L114" s="168">
        <f ca="1">IF($C114-L$1&lt;År1,0,K113*(1-VLOOKUP($A114,[1]Hugst!$R$5:$W$9,MATCH(ROUNDUP((L$1)/10,0)*10,[1]Hugst!$R$4:$W$4,0))))</f>
        <v>0</v>
      </c>
      <c r="M114" s="168">
        <f ca="1">IF($C114-M$1&lt;År1,0,L113*(1-VLOOKUP($A114,[1]Hugst!$R$5:$W$9,MATCH(ROUNDUP((M$1)/10,0)*10,[1]Hugst!$R$4:$W$4,0))))</f>
        <v>0</v>
      </c>
      <c r="N114" s="168">
        <f ca="1">IF($C114-N$1&lt;År1,0,M113*(1-VLOOKUP($A114,[1]Hugst!$R$5:$W$9,MATCH(ROUNDUP((N$1)/10,0)*10,[1]Hugst!$R$4:$W$4,0))))</f>
        <v>0</v>
      </c>
      <c r="O114" s="168">
        <f ca="1">IF($C114-O$1&lt;År1,0,N113*(1-VLOOKUP($A114,[1]Hugst!$R$5:$W$9,MATCH(ROUNDUP((O$1)/10,0)*10,[1]Hugst!$R$4:$W$4,0))))</f>
        <v>0</v>
      </c>
      <c r="P114" s="168">
        <f ca="1">IF($C114-P$1&lt;År1,0,O113*(1-VLOOKUP($A114,[1]Hugst!$R$5:$W$9,MATCH(ROUNDUP((P$1)/10,0)*10,[1]Hugst!$R$4:$W$4,0))))</f>
        <v>0</v>
      </c>
      <c r="Q114" s="168">
        <f ca="1">IF($C114-Q$1&lt;År1,0,P113*(1-VLOOKUP($A114,[1]Hugst!$R$5:$W$9,MATCH(ROUNDUP((Q$1)/10,0)*10,[1]Hugst!$R$4:$W$4,0))))</f>
        <v>0</v>
      </c>
      <c r="R114" s="168">
        <f ca="1">IF($C114-R$1&lt;År1,0,Q113*(1-VLOOKUP($A114,[1]Hugst!$R$5:$W$9,MATCH(ROUNDUP((R$1)/10,0)*10,[1]Hugst!$R$4:$W$4,0))))</f>
        <v>0</v>
      </c>
      <c r="S114" s="168">
        <f ca="1">IF($C114-S$1&lt;År1,0,R113*(1-VLOOKUP($A114,[1]Hugst!$R$5:$W$9,MATCH(ROUNDUP((S$1)/10,0)*10,[1]Hugst!$R$4:$W$4,0))))</f>
        <v>0</v>
      </c>
      <c r="T114" s="168">
        <f ca="1">IF($C114-T$1&lt;År1,0,S113*(1-VLOOKUP($A114,[1]Hugst!$R$5:$W$9,MATCH(ROUNDUP((T$1)/10,0)*10,[1]Hugst!$R$4:$W$4,0))))</f>
        <v>0</v>
      </c>
      <c r="U114" s="168">
        <f ca="1">IF($C114-U$1&lt;År1,0,T113*(1-VLOOKUP($A114,[1]Hugst!$R$5:$W$9,MATCH(ROUNDUP((U$1)/10,0)*10,[1]Hugst!$R$4:$W$4,0))))</f>
        <v>0</v>
      </c>
      <c r="V114" s="168">
        <f ca="1">IF($C114-V$1&lt;År1,0,U113*(1-VLOOKUP($A114,[1]Hugst!$R$5:$W$9,MATCH(ROUNDUP((V$1)/10,0)*10,[1]Hugst!$R$4:$W$4,0))))</f>
        <v>0</v>
      </c>
      <c r="W114" s="168">
        <f ca="1">IF($C114-W$1&lt;År1,0,V113*(1-VLOOKUP($A114,[1]Hugst!$R$5:$W$9,MATCH(ROUNDUP((W$1)/10,0)*10,[1]Hugst!$R$4:$W$4,0))))</f>
        <v>0</v>
      </c>
      <c r="X114" s="168">
        <f ca="1">IF($C114-X$1&lt;År1,0,W113*(1-VLOOKUP($A114,[1]Hugst!$R$5:$W$9,MATCH(ROUNDUP((X$1)/10,0)*10,[1]Hugst!$R$4:$W$4,0))))</f>
        <v>0</v>
      </c>
      <c r="Y114" s="168">
        <f ca="1">IF($C114-Y$1&lt;År1,0,X113*(1-VLOOKUP($A114,[1]Hugst!$R$5:$W$9,MATCH(ROUNDUP((Y$1)/10,0)*10,[1]Hugst!$R$4:$W$4,0))))</f>
        <v>0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*VLOOKUP(A115,Skovbrug!$A$13:$D$17,IF('Skovbrug-alder'!C115&lt;=År2,3,4),FALSE)-IF(C115&gt;2020,SUM(INDEX($C$1:$D$311,MATCH(1,(2020=$C$1:$C$311)*(B115=$B$1:$B$311)*(A115=$A$1:$A$311),0),2):D114),0))</f>
        <v>0</v>
      </c>
      <c r="E115" s="168">
        <f t="shared" ca="1" si="2"/>
        <v>0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8">
        <f ca="1">IF($C115-G$1&lt;År1,0,F114*(1-VLOOKUP($A115,[1]Hugst!$R$5:$W$9,MATCH(ROUNDUP((G$1)/10,0)*10,[1]Hugst!$R$4:$W$4,0))))</f>
        <v>0</v>
      </c>
      <c r="H115" s="168">
        <f ca="1">IF($C115-H$1&lt;År1,0,G114*(1-VLOOKUP($A115,[1]Hugst!$R$5:$W$9,MATCH(ROUNDUP((H$1)/10,0)*10,[1]Hugst!$R$4:$W$4,0))))</f>
        <v>0</v>
      </c>
      <c r="I115" s="168">
        <f ca="1">IF($C115-I$1&lt;År1,0,H114*(1-VLOOKUP($A115,[1]Hugst!$R$5:$W$9,MATCH(ROUNDUP((I$1)/10,0)*10,[1]Hugst!$R$4:$W$4,0))))</f>
        <v>0</v>
      </c>
      <c r="J115" s="168">
        <f ca="1">IF($C115-J$1&lt;År1,0,I114*(1-VLOOKUP($A115,[1]Hugst!$R$5:$W$9,MATCH(ROUNDUP((J$1)/10,0)*10,[1]Hugst!$R$4:$W$4,0))))</f>
        <v>0</v>
      </c>
      <c r="K115" s="168">
        <f ca="1">IF($C115-K$1&lt;År1,0,J114*(1-VLOOKUP($A115,[1]Hugst!$R$5:$W$9,MATCH(ROUNDUP((K$1)/10,0)*10,[1]Hugst!$R$4:$W$4,0))))</f>
        <v>0</v>
      </c>
      <c r="L115" s="168">
        <f ca="1">IF($C115-L$1&lt;År1,0,K114*(1-VLOOKUP($A115,[1]Hugst!$R$5:$W$9,MATCH(ROUNDUP((L$1)/10,0)*10,[1]Hugst!$R$4:$W$4,0))))</f>
        <v>0</v>
      </c>
      <c r="M115" s="168">
        <f ca="1">IF($C115-M$1&lt;År1,0,L114*(1-VLOOKUP($A115,[1]Hugst!$R$5:$W$9,MATCH(ROUNDUP((M$1)/10,0)*10,[1]Hugst!$R$4:$W$4,0))))</f>
        <v>0</v>
      </c>
      <c r="N115" s="168">
        <f ca="1">IF($C115-N$1&lt;År1,0,M114*(1-VLOOKUP($A115,[1]Hugst!$R$5:$W$9,MATCH(ROUNDUP((N$1)/10,0)*10,[1]Hugst!$R$4:$W$4,0))))</f>
        <v>0</v>
      </c>
      <c r="O115" s="168">
        <f ca="1">IF($C115-O$1&lt;År1,0,N114*(1-VLOOKUP($A115,[1]Hugst!$R$5:$W$9,MATCH(ROUNDUP((O$1)/10,0)*10,[1]Hugst!$R$4:$W$4,0))))</f>
        <v>0</v>
      </c>
      <c r="P115" s="168">
        <f ca="1">IF($C115-P$1&lt;År1,0,O114*(1-VLOOKUP($A115,[1]Hugst!$R$5:$W$9,MATCH(ROUNDUP((P$1)/10,0)*10,[1]Hugst!$R$4:$W$4,0))))</f>
        <v>0</v>
      </c>
      <c r="Q115" s="168">
        <f ca="1">IF($C115-Q$1&lt;År1,0,P114*(1-VLOOKUP($A115,[1]Hugst!$R$5:$W$9,MATCH(ROUNDUP((Q$1)/10,0)*10,[1]Hugst!$R$4:$W$4,0))))</f>
        <v>0</v>
      </c>
      <c r="R115" s="168">
        <f ca="1">IF($C115-R$1&lt;År1,0,Q114*(1-VLOOKUP($A115,[1]Hugst!$R$5:$W$9,MATCH(ROUNDUP((R$1)/10,0)*10,[1]Hugst!$R$4:$W$4,0))))</f>
        <v>0</v>
      </c>
      <c r="S115" s="168">
        <f ca="1">IF($C115-S$1&lt;År1,0,R114*(1-VLOOKUP($A115,[1]Hugst!$R$5:$W$9,MATCH(ROUNDUP((S$1)/10,0)*10,[1]Hugst!$R$4:$W$4,0))))</f>
        <v>0</v>
      </c>
      <c r="T115" s="168">
        <f ca="1">IF($C115-T$1&lt;År1,0,S114*(1-VLOOKUP($A115,[1]Hugst!$R$5:$W$9,MATCH(ROUNDUP((T$1)/10,0)*10,[1]Hugst!$R$4:$W$4,0))))</f>
        <v>0</v>
      </c>
      <c r="U115" s="168">
        <f ca="1">IF($C115-U$1&lt;År1,0,T114*(1-VLOOKUP($A115,[1]Hugst!$R$5:$W$9,MATCH(ROUNDUP((U$1)/10,0)*10,[1]Hugst!$R$4:$W$4,0))))</f>
        <v>0</v>
      </c>
      <c r="V115" s="168">
        <f ca="1">IF($C115-V$1&lt;År1,0,U114*(1-VLOOKUP($A115,[1]Hugst!$R$5:$W$9,MATCH(ROUNDUP((V$1)/10,0)*10,[1]Hugst!$R$4:$W$4,0))))</f>
        <v>0</v>
      </c>
      <c r="W115" s="168">
        <f ca="1">IF($C115-W$1&lt;År1,0,V114*(1-VLOOKUP($A115,[1]Hugst!$R$5:$W$9,MATCH(ROUNDUP((W$1)/10,0)*10,[1]Hugst!$R$4:$W$4,0))))</f>
        <v>0</v>
      </c>
      <c r="X115" s="168">
        <f ca="1">IF($C115-X$1&lt;År1,0,W114*(1-VLOOKUP($A115,[1]Hugst!$R$5:$W$9,MATCH(ROUNDUP((X$1)/10,0)*10,[1]Hugst!$R$4:$W$4,0))))</f>
        <v>0</v>
      </c>
      <c r="Y115" s="168">
        <f ca="1">IF($C115-Y$1&lt;År1,0,X114*(1-VLOOKUP($A115,[1]Hugst!$R$5:$W$9,MATCH(ROUNDUP((Y$1)/10,0)*10,[1]Hugst!$R$4:$W$4,0))))</f>
        <v>0</v>
      </c>
      <c r="Z115" s="168">
        <f ca="1">IF($C115-Z$1&lt;År1,0,Y114*(1-VLOOKUP($A115,[1]Hugst!$R$5:$W$9,MATCH(ROUNDUP((Z$1)/10,0)*10,[1]Hugst!$R$4:$W$4,0))))</f>
        <v>0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*VLOOKUP(A116,Skovbrug!$A$13:$D$17,IF('Skovbrug-alder'!C116&lt;=År2,3,4),FALSE)-IF(C116&gt;2020,SUM(INDEX($C$1:$D$311,MATCH(1,(2020=$C$1:$C$311)*(B116=$B$1:$B$311)*(A116=$A$1:$A$311),0),2):D115),0))</f>
        <v>0</v>
      </c>
      <c r="E116" s="168">
        <f t="shared" ca="1" si="2"/>
        <v>0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8">
        <f ca="1">IF($C116-G$1&lt;År1,0,F115*(1-VLOOKUP($A116,[1]Hugst!$R$5:$W$9,MATCH(ROUNDUP((G$1)/10,0)*10,[1]Hugst!$R$4:$W$4,0))))</f>
        <v>0</v>
      </c>
      <c r="H116" s="168">
        <f ca="1">IF($C116-H$1&lt;År1,0,G115*(1-VLOOKUP($A116,[1]Hugst!$R$5:$W$9,MATCH(ROUNDUP((H$1)/10,0)*10,[1]Hugst!$R$4:$W$4,0))))</f>
        <v>0</v>
      </c>
      <c r="I116" s="168">
        <f ca="1">IF($C116-I$1&lt;År1,0,H115*(1-VLOOKUP($A116,[1]Hugst!$R$5:$W$9,MATCH(ROUNDUP((I$1)/10,0)*10,[1]Hugst!$R$4:$W$4,0))))</f>
        <v>0</v>
      </c>
      <c r="J116" s="168">
        <f ca="1">IF($C116-J$1&lt;År1,0,I115*(1-VLOOKUP($A116,[1]Hugst!$R$5:$W$9,MATCH(ROUNDUP((J$1)/10,0)*10,[1]Hugst!$R$4:$W$4,0))))</f>
        <v>0</v>
      </c>
      <c r="K116" s="168">
        <f ca="1">IF($C116-K$1&lt;År1,0,J115*(1-VLOOKUP($A116,[1]Hugst!$R$5:$W$9,MATCH(ROUNDUP((K$1)/10,0)*10,[1]Hugst!$R$4:$W$4,0))))</f>
        <v>0</v>
      </c>
      <c r="L116" s="168">
        <f ca="1">IF($C116-L$1&lt;År1,0,K115*(1-VLOOKUP($A116,[1]Hugst!$R$5:$W$9,MATCH(ROUNDUP((L$1)/10,0)*10,[1]Hugst!$R$4:$W$4,0))))</f>
        <v>0</v>
      </c>
      <c r="M116" s="168">
        <f ca="1">IF($C116-M$1&lt;År1,0,L115*(1-VLOOKUP($A116,[1]Hugst!$R$5:$W$9,MATCH(ROUNDUP((M$1)/10,0)*10,[1]Hugst!$R$4:$W$4,0))))</f>
        <v>0</v>
      </c>
      <c r="N116" s="168">
        <f ca="1">IF($C116-N$1&lt;År1,0,M115*(1-VLOOKUP($A116,[1]Hugst!$R$5:$W$9,MATCH(ROUNDUP((N$1)/10,0)*10,[1]Hugst!$R$4:$W$4,0))))</f>
        <v>0</v>
      </c>
      <c r="O116" s="168">
        <f ca="1">IF($C116-O$1&lt;År1,0,N115*(1-VLOOKUP($A116,[1]Hugst!$R$5:$W$9,MATCH(ROUNDUP((O$1)/10,0)*10,[1]Hugst!$R$4:$W$4,0))))</f>
        <v>0</v>
      </c>
      <c r="P116" s="168">
        <f ca="1">IF($C116-P$1&lt;År1,0,O115*(1-VLOOKUP($A116,[1]Hugst!$R$5:$W$9,MATCH(ROUNDUP((P$1)/10,0)*10,[1]Hugst!$R$4:$W$4,0))))</f>
        <v>0</v>
      </c>
      <c r="Q116" s="168">
        <f ca="1">IF($C116-Q$1&lt;År1,0,P115*(1-VLOOKUP($A116,[1]Hugst!$R$5:$W$9,MATCH(ROUNDUP((Q$1)/10,0)*10,[1]Hugst!$R$4:$W$4,0))))</f>
        <v>0</v>
      </c>
      <c r="R116" s="168">
        <f ca="1">IF($C116-R$1&lt;År1,0,Q115*(1-VLOOKUP($A116,[1]Hugst!$R$5:$W$9,MATCH(ROUNDUP((R$1)/10,0)*10,[1]Hugst!$R$4:$W$4,0))))</f>
        <v>0</v>
      </c>
      <c r="S116" s="168">
        <f ca="1">IF($C116-S$1&lt;År1,0,R115*(1-VLOOKUP($A116,[1]Hugst!$R$5:$W$9,MATCH(ROUNDUP((S$1)/10,0)*10,[1]Hugst!$R$4:$W$4,0))))</f>
        <v>0</v>
      </c>
      <c r="T116" s="168">
        <f ca="1">IF($C116-T$1&lt;År1,0,S115*(1-VLOOKUP($A116,[1]Hugst!$R$5:$W$9,MATCH(ROUNDUP((T$1)/10,0)*10,[1]Hugst!$R$4:$W$4,0))))</f>
        <v>0</v>
      </c>
      <c r="U116" s="168">
        <f ca="1">IF($C116-U$1&lt;År1,0,T115*(1-VLOOKUP($A116,[1]Hugst!$R$5:$W$9,MATCH(ROUNDUP((U$1)/10,0)*10,[1]Hugst!$R$4:$W$4,0))))</f>
        <v>0</v>
      </c>
      <c r="V116" s="168">
        <f ca="1">IF($C116-V$1&lt;År1,0,U115*(1-VLOOKUP($A116,[1]Hugst!$R$5:$W$9,MATCH(ROUNDUP((V$1)/10,0)*10,[1]Hugst!$R$4:$W$4,0))))</f>
        <v>0</v>
      </c>
      <c r="W116" s="168">
        <f ca="1">IF($C116-W$1&lt;År1,0,V115*(1-VLOOKUP($A116,[1]Hugst!$R$5:$W$9,MATCH(ROUNDUP((W$1)/10,0)*10,[1]Hugst!$R$4:$W$4,0))))</f>
        <v>0</v>
      </c>
      <c r="X116" s="168">
        <f ca="1">IF($C116-X$1&lt;År1,0,W115*(1-VLOOKUP($A116,[1]Hugst!$R$5:$W$9,MATCH(ROUNDUP((X$1)/10,0)*10,[1]Hugst!$R$4:$W$4,0))))</f>
        <v>0</v>
      </c>
      <c r="Y116" s="168">
        <f ca="1">IF($C116-Y$1&lt;År1,0,X115*(1-VLOOKUP($A116,[1]Hugst!$R$5:$W$9,MATCH(ROUNDUP((Y$1)/10,0)*10,[1]Hugst!$R$4:$W$4,0))))</f>
        <v>0</v>
      </c>
      <c r="Z116" s="168">
        <f ca="1">IF($C116-Z$1&lt;År1,0,Y115*(1-VLOOKUP($A116,[1]Hugst!$R$5:$W$9,MATCH(ROUNDUP((Z$1)/10,0)*10,[1]Hugst!$R$4:$W$4,0))))</f>
        <v>0</v>
      </c>
      <c r="AA116" s="168">
        <f ca="1">IF($C116-AA$1&lt;År1,0,Z115*(1-VLOOKUP($A116,[1]Hugst!$R$5:$W$9,MATCH(ROUNDUP((AA$1)/10,0)*10,[1]Hugst!$R$4:$W$4,0))))</f>
        <v>0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*VLOOKUP(A117,Skovbrug!$A$13:$D$17,IF('Skovbrug-alder'!C117&lt;=År2,3,4),FALSE)-IF(C117&gt;2020,SUM(INDEX($C$1:$D$311,MATCH(1,(2020=$C$1:$C$311)*(B117=$B$1:$B$311)*(A117=$A$1:$A$311),0),2):D116),0))</f>
        <v>0</v>
      </c>
      <c r="E117" s="168">
        <f t="shared" ca="1" si="2"/>
        <v>0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8">
        <f ca="1">IF($C117-G$1&lt;År1,0,F116*(1-VLOOKUP($A117,[1]Hugst!$R$5:$W$9,MATCH(ROUNDUP((G$1)/10,0)*10,[1]Hugst!$R$4:$W$4,0))))</f>
        <v>0</v>
      </c>
      <c r="H117" s="168">
        <f ca="1">IF($C117-H$1&lt;År1,0,G116*(1-VLOOKUP($A117,[1]Hugst!$R$5:$W$9,MATCH(ROUNDUP((H$1)/10,0)*10,[1]Hugst!$R$4:$W$4,0))))</f>
        <v>0</v>
      </c>
      <c r="I117" s="168">
        <f ca="1">IF($C117-I$1&lt;År1,0,H116*(1-VLOOKUP($A117,[1]Hugst!$R$5:$W$9,MATCH(ROUNDUP((I$1)/10,0)*10,[1]Hugst!$R$4:$W$4,0))))</f>
        <v>0</v>
      </c>
      <c r="J117" s="168">
        <f ca="1">IF($C117-J$1&lt;År1,0,I116*(1-VLOOKUP($A117,[1]Hugst!$R$5:$W$9,MATCH(ROUNDUP((J$1)/10,0)*10,[1]Hugst!$R$4:$W$4,0))))</f>
        <v>0</v>
      </c>
      <c r="K117" s="168">
        <f ca="1">IF($C117-K$1&lt;År1,0,J116*(1-VLOOKUP($A117,[1]Hugst!$R$5:$W$9,MATCH(ROUNDUP((K$1)/10,0)*10,[1]Hugst!$R$4:$W$4,0))))</f>
        <v>0</v>
      </c>
      <c r="L117" s="168">
        <f ca="1">IF($C117-L$1&lt;År1,0,K116*(1-VLOOKUP($A117,[1]Hugst!$R$5:$W$9,MATCH(ROUNDUP((L$1)/10,0)*10,[1]Hugst!$R$4:$W$4,0))))</f>
        <v>0</v>
      </c>
      <c r="M117" s="168">
        <f ca="1">IF($C117-M$1&lt;År1,0,L116*(1-VLOOKUP($A117,[1]Hugst!$R$5:$W$9,MATCH(ROUNDUP((M$1)/10,0)*10,[1]Hugst!$R$4:$W$4,0))))</f>
        <v>0</v>
      </c>
      <c r="N117" s="168">
        <f ca="1">IF($C117-N$1&lt;År1,0,M116*(1-VLOOKUP($A117,[1]Hugst!$R$5:$W$9,MATCH(ROUNDUP((N$1)/10,0)*10,[1]Hugst!$R$4:$W$4,0))))</f>
        <v>0</v>
      </c>
      <c r="O117" s="168">
        <f ca="1">IF($C117-O$1&lt;År1,0,N116*(1-VLOOKUP($A117,[1]Hugst!$R$5:$W$9,MATCH(ROUNDUP((O$1)/10,0)*10,[1]Hugst!$R$4:$W$4,0))))</f>
        <v>0</v>
      </c>
      <c r="P117" s="168">
        <f ca="1">IF($C117-P$1&lt;År1,0,O116*(1-VLOOKUP($A117,[1]Hugst!$R$5:$W$9,MATCH(ROUNDUP((P$1)/10,0)*10,[1]Hugst!$R$4:$W$4,0))))</f>
        <v>0</v>
      </c>
      <c r="Q117" s="168">
        <f ca="1">IF($C117-Q$1&lt;År1,0,P116*(1-VLOOKUP($A117,[1]Hugst!$R$5:$W$9,MATCH(ROUNDUP((Q$1)/10,0)*10,[1]Hugst!$R$4:$W$4,0))))</f>
        <v>0</v>
      </c>
      <c r="R117" s="168">
        <f ca="1">IF($C117-R$1&lt;År1,0,Q116*(1-VLOOKUP($A117,[1]Hugst!$R$5:$W$9,MATCH(ROUNDUP((R$1)/10,0)*10,[1]Hugst!$R$4:$W$4,0))))</f>
        <v>0</v>
      </c>
      <c r="S117" s="168">
        <f ca="1">IF($C117-S$1&lt;År1,0,R116*(1-VLOOKUP($A117,[1]Hugst!$R$5:$W$9,MATCH(ROUNDUP((S$1)/10,0)*10,[1]Hugst!$R$4:$W$4,0))))</f>
        <v>0</v>
      </c>
      <c r="T117" s="168">
        <f ca="1">IF($C117-T$1&lt;År1,0,S116*(1-VLOOKUP($A117,[1]Hugst!$R$5:$W$9,MATCH(ROUNDUP((T$1)/10,0)*10,[1]Hugst!$R$4:$W$4,0))))</f>
        <v>0</v>
      </c>
      <c r="U117" s="168">
        <f ca="1">IF($C117-U$1&lt;År1,0,T116*(1-VLOOKUP($A117,[1]Hugst!$R$5:$W$9,MATCH(ROUNDUP((U$1)/10,0)*10,[1]Hugst!$R$4:$W$4,0))))</f>
        <v>0</v>
      </c>
      <c r="V117" s="168">
        <f ca="1">IF($C117-V$1&lt;År1,0,U116*(1-VLOOKUP($A117,[1]Hugst!$R$5:$W$9,MATCH(ROUNDUP((V$1)/10,0)*10,[1]Hugst!$R$4:$W$4,0))))</f>
        <v>0</v>
      </c>
      <c r="W117" s="168">
        <f ca="1">IF($C117-W$1&lt;År1,0,V116*(1-VLOOKUP($A117,[1]Hugst!$R$5:$W$9,MATCH(ROUNDUP((W$1)/10,0)*10,[1]Hugst!$R$4:$W$4,0))))</f>
        <v>0</v>
      </c>
      <c r="X117" s="168">
        <f ca="1">IF($C117-X$1&lt;År1,0,W116*(1-VLOOKUP($A117,[1]Hugst!$R$5:$W$9,MATCH(ROUNDUP((X$1)/10,0)*10,[1]Hugst!$R$4:$W$4,0))))</f>
        <v>0</v>
      </c>
      <c r="Y117" s="168">
        <f ca="1">IF($C117-Y$1&lt;År1,0,X116*(1-VLOOKUP($A117,[1]Hugst!$R$5:$W$9,MATCH(ROUNDUP((Y$1)/10,0)*10,[1]Hugst!$R$4:$W$4,0))))</f>
        <v>0</v>
      </c>
      <c r="Z117" s="168">
        <f ca="1">IF($C117-Z$1&lt;År1,0,Y116*(1-VLOOKUP($A117,[1]Hugst!$R$5:$W$9,MATCH(ROUNDUP((Z$1)/10,0)*10,[1]Hugst!$R$4:$W$4,0))))</f>
        <v>0</v>
      </c>
      <c r="AA117" s="168">
        <f ca="1">IF($C117-AA$1&lt;År1,0,Z116*(1-VLOOKUP($A117,[1]Hugst!$R$5:$W$9,MATCH(ROUNDUP((AA$1)/10,0)*10,[1]Hugst!$R$4:$W$4,0))))</f>
        <v>0</v>
      </c>
      <c r="AB117" s="168">
        <f ca="1">IF($C117-AB$1&lt;År1,0,AA116*(1-VLOOKUP($A117,[1]Hugst!$R$5:$W$9,MATCH(ROUNDUP((AB$1)/10,0)*10,[1]Hugst!$R$4:$W$4,0))))</f>
        <v>0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*VLOOKUP(A118,Skovbrug!$A$13:$D$17,IF('Skovbrug-alder'!C118&lt;=År2,3,4),FALSE)-IF(C118&gt;2020,SUM(INDEX($C$1:$D$311,MATCH(1,(2020=$C$1:$C$311)*(B118=$B$1:$B$311)*(A118=$A$1:$A$311),0),2):D117),0))</f>
        <v>0</v>
      </c>
      <c r="E118" s="168">
        <f t="shared" ca="1" si="2"/>
        <v>0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8">
        <f ca="1">IF($C118-G$1&lt;År1,0,F117*(1-VLOOKUP($A118,[1]Hugst!$R$5:$W$9,MATCH(ROUNDUP((G$1)/10,0)*10,[1]Hugst!$R$4:$W$4,0))))</f>
        <v>0</v>
      </c>
      <c r="H118" s="168">
        <f ca="1">IF($C118-H$1&lt;År1,0,G117*(1-VLOOKUP($A118,[1]Hugst!$R$5:$W$9,MATCH(ROUNDUP((H$1)/10,0)*10,[1]Hugst!$R$4:$W$4,0))))</f>
        <v>0</v>
      </c>
      <c r="I118" s="168">
        <f ca="1">IF($C118-I$1&lt;År1,0,H117*(1-VLOOKUP($A118,[1]Hugst!$R$5:$W$9,MATCH(ROUNDUP((I$1)/10,0)*10,[1]Hugst!$R$4:$W$4,0))))</f>
        <v>0</v>
      </c>
      <c r="J118" s="168">
        <f ca="1">IF($C118-J$1&lt;År1,0,I117*(1-VLOOKUP($A118,[1]Hugst!$R$5:$W$9,MATCH(ROUNDUP((J$1)/10,0)*10,[1]Hugst!$R$4:$W$4,0))))</f>
        <v>0</v>
      </c>
      <c r="K118" s="168">
        <f ca="1">IF($C118-K$1&lt;År1,0,J117*(1-VLOOKUP($A118,[1]Hugst!$R$5:$W$9,MATCH(ROUNDUP((K$1)/10,0)*10,[1]Hugst!$R$4:$W$4,0))))</f>
        <v>0</v>
      </c>
      <c r="L118" s="168">
        <f ca="1">IF($C118-L$1&lt;År1,0,K117*(1-VLOOKUP($A118,[1]Hugst!$R$5:$W$9,MATCH(ROUNDUP((L$1)/10,0)*10,[1]Hugst!$R$4:$W$4,0))))</f>
        <v>0</v>
      </c>
      <c r="M118" s="168">
        <f ca="1">IF($C118-M$1&lt;År1,0,L117*(1-VLOOKUP($A118,[1]Hugst!$R$5:$W$9,MATCH(ROUNDUP((M$1)/10,0)*10,[1]Hugst!$R$4:$W$4,0))))</f>
        <v>0</v>
      </c>
      <c r="N118" s="168">
        <f ca="1">IF($C118-N$1&lt;År1,0,M117*(1-VLOOKUP($A118,[1]Hugst!$R$5:$W$9,MATCH(ROUNDUP((N$1)/10,0)*10,[1]Hugst!$R$4:$W$4,0))))</f>
        <v>0</v>
      </c>
      <c r="O118" s="168">
        <f ca="1">IF($C118-O$1&lt;År1,0,N117*(1-VLOOKUP($A118,[1]Hugst!$R$5:$W$9,MATCH(ROUNDUP((O$1)/10,0)*10,[1]Hugst!$R$4:$W$4,0))))</f>
        <v>0</v>
      </c>
      <c r="P118" s="168">
        <f ca="1">IF($C118-P$1&lt;År1,0,O117*(1-VLOOKUP($A118,[1]Hugst!$R$5:$W$9,MATCH(ROUNDUP((P$1)/10,0)*10,[1]Hugst!$R$4:$W$4,0))))</f>
        <v>0</v>
      </c>
      <c r="Q118" s="168">
        <f ca="1">IF($C118-Q$1&lt;År1,0,P117*(1-VLOOKUP($A118,[1]Hugst!$R$5:$W$9,MATCH(ROUNDUP((Q$1)/10,0)*10,[1]Hugst!$R$4:$W$4,0))))</f>
        <v>0</v>
      </c>
      <c r="R118" s="168">
        <f ca="1">IF($C118-R$1&lt;År1,0,Q117*(1-VLOOKUP($A118,[1]Hugst!$R$5:$W$9,MATCH(ROUNDUP((R$1)/10,0)*10,[1]Hugst!$R$4:$W$4,0))))</f>
        <v>0</v>
      </c>
      <c r="S118" s="168">
        <f ca="1">IF($C118-S$1&lt;År1,0,R117*(1-VLOOKUP($A118,[1]Hugst!$R$5:$W$9,MATCH(ROUNDUP((S$1)/10,0)*10,[1]Hugst!$R$4:$W$4,0))))</f>
        <v>0</v>
      </c>
      <c r="T118" s="168">
        <f ca="1">IF($C118-T$1&lt;År1,0,S117*(1-VLOOKUP($A118,[1]Hugst!$R$5:$W$9,MATCH(ROUNDUP((T$1)/10,0)*10,[1]Hugst!$R$4:$W$4,0))))</f>
        <v>0</v>
      </c>
      <c r="U118" s="168">
        <f ca="1">IF($C118-U$1&lt;År1,0,T117*(1-VLOOKUP($A118,[1]Hugst!$R$5:$W$9,MATCH(ROUNDUP((U$1)/10,0)*10,[1]Hugst!$R$4:$W$4,0))))</f>
        <v>0</v>
      </c>
      <c r="V118" s="168">
        <f ca="1">IF($C118-V$1&lt;År1,0,U117*(1-VLOOKUP($A118,[1]Hugst!$R$5:$W$9,MATCH(ROUNDUP((V$1)/10,0)*10,[1]Hugst!$R$4:$W$4,0))))</f>
        <v>0</v>
      </c>
      <c r="W118" s="168">
        <f ca="1">IF($C118-W$1&lt;År1,0,V117*(1-VLOOKUP($A118,[1]Hugst!$R$5:$W$9,MATCH(ROUNDUP((W$1)/10,0)*10,[1]Hugst!$R$4:$W$4,0))))</f>
        <v>0</v>
      </c>
      <c r="X118" s="168">
        <f ca="1">IF($C118-X$1&lt;År1,0,W117*(1-VLOOKUP($A118,[1]Hugst!$R$5:$W$9,MATCH(ROUNDUP((X$1)/10,0)*10,[1]Hugst!$R$4:$W$4,0))))</f>
        <v>0</v>
      </c>
      <c r="Y118" s="168">
        <f ca="1">IF($C118-Y$1&lt;År1,0,X117*(1-VLOOKUP($A118,[1]Hugst!$R$5:$W$9,MATCH(ROUNDUP((Y$1)/10,0)*10,[1]Hugst!$R$4:$W$4,0))))</f>
        <v>0</v>
      </c>
      <c r="Z118" s="168">
        <f ca="1">IF($C118-Z$1&lt;År1,0,Y117*(1-VLOOKUP($A118,[1]Hugst!$R$5:$W$9,MATCH(ROUNDUP((Z$1)/10,0)*10,[1]Hugst!$R$4:$W$4,0))))</f>
        <v>0</v>
      </c>
      <c r="AA118" s="168">
        <f ca="1">IF($C118-AA$1&lt;År1,0,Z117*(1-VLOOKUP($A118,[1]Hugst!$R$5:$W$9,MATCH(ROUNDUP((AA$1)/10,0)*10,[1]Hugst!$R$4:$W$4,0))))</f>
        <v>0</v>
      </c>
      <c r="AB118" s="168">
        <f ca="1">IF($C118-AB$1&lt;År1,0,AA117*(1-VLOOKUP($A118,[1]Hugst!$R$5:$W$9,MATCH(ROUNDUP((AB$1)/10,0)*10,[1]Hugst!$R$4:$W$4,0))))</f>
        <v>0</v>
      </c>
      <c r="AC118" s="168">
        <f ca="1">IF($C118-AC$1&lt;År1,0,AB117*(1-VLOOKUP($A118,[1]Hugst!$R$5:$W$9,MATCH(ROUNDUP((AC$1)/10,0)*10,[1]Hugst!$R$4:$W$4,0))))</f>
        <v>0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*VLOOKUP(A119,Skovbrug!$A$13:$D$17,IF('Skovbrug-alder'!C119&lt;=År2,3,4),FALSE)-IF(C119&gt;2020,SUM(INDEX($C$1:$D$311,MATCH(1,(2020=$C$1:$C$311)*(B119=$B$1:$B$311)*(A119=$A$1:$A$311),0),2):D118),0))</f>
        <v>0</v>
      </c>
      <c r="E119" s="168">
        <f t="shared" ca="1" si="2"/>
        <v>0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8">
        <f ca="1">IF($C119-G$1&lt;År1,0,F118*(1-VLOOKUP($A119,[1]Hugst!$R$5:$W$9,MATCH(ROUNDUP((G$1)/10,0)*10,[1]Hugst!$R$4:$W$4,0))))</f>
        <v>0</v>
      </c>
      <c r="H119" s="168">
        <f ca="1">IF($C119-H$1&lt;År1,0,G118*(1-VLOOKUP($A119,[1]Hugst!$R$5:$W$9,MATCH(ROUNDUP((H$1)/10,0)*10,[1]Hugst!$R$4:$W$4,0))))</f>
        <v>0</v>
      </c>
      <c r="I119" s="168">
        <f ca="1">IF($C119-I$1&lt;År1,0,H118*(1-VLOOKUP($A119,[1]Hugst!$R$5:$W$9,MATCH(ROUNDUP((I$1)/10,0)*10,[1]Hugst!$R$4:$W$4,0))))</f>
        <v>0</v>
      </c>
      <c r="J119" s="168">
        <f ca="1">IF($C119-J$1&lt;År1,0,I118*(1-VLOOKUP($A119,[1]Hugst!$R$5:$W$9,MATCH(ROUNDUP((J$1)/10,0)*10,[1]Hugst!$R$4:$W$4,0))))</f>
        <v>0</v>
      </c>
      <c r="K119" s="168">
        <f ca="1">IF($C119-K$1&lt;År1,0,J118*(1-VLOOKUP($A119,[1]Hugst!$R$5:$W$9,MATCH(ROUNDUP((K$1)/10,0)*10,[1]Hugst!$R$4:$W$4,0))))</f>
        <v>0</v>
      </c>
      <c r="L119" s="168">
        <f ca="1">IF($C119-L$1&lt;År1,0,K118*(1-VLOOKUP($A119,[1]Hugst!$R$5:$W$9,MATCH(ROUNDUP((L$1)/10,0)*10,[1]Hugst!$R$4:$W$4,0))))</f>
        <v>0</v>
      </c>
      <c r="M119" s="168">
        <f ca="1">IF($C119-M$1&lt;År1,0,L118*(1-VLOOKUP($A119,[1]Hugst!$R$5:$W$9,MATCH(ROUNDUP((M$1)/10,0)*10,[1]Hugst!$R$4:$W$4,0))))</f>
        <v>0</v>
      </c>
      <c r="N119" s="168">
        <f ca="1">IF($C119-N$1&lt;År1,0,M118*(1-VLOOKUP($A119,[1]Hugst!$R$5:$W$9,MATCH(ROUNDUP((N$1)/10,0)*10,[1]Hugst!$R$4:$W$4,0))))</f>
        <v>0</v>
      </c>
      <c r="O119" s="168">
        <f ca="1">IF($C119-O$1&lt;År1,0,N118*(1-VLOOKUP($A119,[1]Hugst!$R$5:$W$9,MATCH(ROUNDUP((O$1)/10,0)*10,[1]Hugst!$R$4:$W$4,0))))</f>
        <v>0</v>
      </c>
      <c r="P119" s="168">
        <f ca="1">IF($C119-P$1&lt;År1,0,O118*(1-VLOOKUP($A119,[1]Hugst!$R$5:$W$9,MATCH(ROUNDUP((P$1)/10,0)*10,[1]Hugst!$R$4:$W$4,0))))</f>
        <v>0</v>
      </c>
      <c r="Q119" s="168">
        <f ca="1">IF($C119-Q$1&lt;År1,0,P118*(1-VLOOKUP($A119,[1]Hugst!$R$5:$W$9,MATCH(ROUNDUP((Q$1)/10,0)*10,[1]Hugst!$R$4:$W$4,0))))</f>
        <v>0</v>
      </c>
      <c r="R119" s="168">
        <f ca="1">IF($C119-R$1&lt;År1,0,Q118*(1-VLOOKUP($A119,[1]Hugst!$R$5:$W$9,MATCH(ROUNDUP((R$1)/10,0)*10,[1]Hugst!$R$4:$W$4,0))))</f>
        <v>0</v>
      </c>
      <c r="S119" s="168">
        <f ca="1">IF($C119-S$1&lt;År1,0,R118*(1-VLOOKUP($A119,[1]Hugst!$R$5:$W$9,MATCH(ROUNDUP((S$1)/10,0)*10,[1]Hugst!$R$4:$W$4,0))))</f>
        <v>0</v>
      </c>
      <c r="T119" s="168">
        <f ca="1">IF($C119-T$1&lt;År1,0,S118*(1-VLOOKUP($A119,[1]Hugst!$R$5:$W$9,MATCH(ROUNDUP((T$1)/10,0)*10,[1]Hugst!$R$4:$W$4,0))))</f>
        <v>0</v>
      </c>
      <c r="U119" s="168">
        <f ca="1">IF($C119-U$1&lt;År1,0,T118*(1-VLOOKUP($A119,[1]Hugst!$R$5:$W$9,MATCH(ROUNDUP((U$1)/10,0)*10,[1]Hugst!$R$4:$W$4,0))))</f>
        <v>0</v>
      </c>
      <c r="V119" s="168">
        <f ca="1">IF($C119-V$1&lt;År1,0,U118*(1-VLOOKUP($A119,[1]Hugst!$R$5:$W$9,MATCH(ROUNDUP((V$1)/10,0)*10,[1]Hugst!$R$4:$W$4,0))))</f>
        <v>0</v>
      </c>
      <c r="W119" s="168">
        <f ca="1">IF($C119-W$1&lt;År1,0,V118*(1-VLOOKUP($A119,[1]Hugst!$R$5:$W$9,MATCH(ROUNDUP((W$1)/10,0)*10,[1]Hugst!$R$4:$W$4,0))))</f>
        <v>0</v>
      </c>
      <c r="X119" s="168">
        <f ca="1">IF($C119-X$1&lt;År1,0,W118*(1-VLOOKUP($A119,[1]Hugst!$R$5:$W$9,MATCH(ROUNDUP((X$1)/10,0)*10,[1]Hugst!$R$4:$W$4,0))))</f>
        <v>0</v>
      </c>
      <c r="Y119" s="168">
        <f ca="1">IF($C119-Y$1&lt;År1,0,X118*(1-VLOOKUP($A119,[1]Hugst!$R$5:$W$9,MATCH(ROUNDUP((Y$1)/10,0)*10,[1]Hugst!$R$4:$W$4,0))))</f>
        <v>0</v>
      </c>
      <c r="Z119" s="168">
        <f ca="1">IF($C119-Z$1&lt;År1,0,Y118*(1-VLOOKUP($A119,[1]Hugst!$R$5:$W$9,MATCH(ROUNDUP((Z$1)/10,0)*10,[1]Hugst!$R$4:$W$4,0))))</f>
        <v>0</v>
      </c>
      <c r="AA119" s="168">
        <f ca="1">IF($C119-AA$1&lt;År1,0,Z118*(1-VLOOKUP($A119,[1]Hugst!$R$5:$W$9,MATCH(ROUNDUP((AA$1)/10,0)*10,[1]Hugst!$R$4:$W$4,0))))</f>
        <v>0</v>
      </c>
      <c r="AB119" s="168">
        <f ca="1">IF($C119-AB$1&lt;År1,0,AA118*(1-VLOOKUP($A119,[1]Hugst!$R$5:$W$9,MATCH(ROUNDUP((AB$1)/10,0)*10,[1]Hugst!$R$4:$W$4,0))))</f>
        <v>0</v>
      </c>
      <c r="AC119" s="168">
        <f ca="1">IF($C119-AC$1&lt;År1,0,AB118*(1-VLOOKUP($A119,[1]Hugst!$R$5:$W$9,MATCH(ROUNDUP((AC$1)/10,0)*10,[1]Hugst!$R$4:$W$4,0))))</f>
        <v>0</v>
      </c>
      <c r="AD119" s="168">
        <f ca="1">IF($C119-AD$1&lt;År1,0,AC118*(1-VLOOKUP($A119,[1]Hugst!$R$5:$W$9,MATCH(ROUNDUP((AD$1)/10,0)*10,[1]Hugst!$R$4:$W$4,0))))</f>
        <v>0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*VLOOKUP(A120,Skovbrug!$A$13:$D$17,IF('Skovbrug-alder'!C120&lt;=År2,3,4),FALSE)-IF(C120&gt;2020,SUM(INDEX($C$1:$D$311,MATCH(1,(2020=$C$1:$C$311)*(B120=$B$1:$B$311)*(A120=$A$1:$A$311),0),2):D119),0))</f>
        <v>0</v>
      </c>
      <c r="E120" s="168">
        <f t="shared" ca="1" si="2"/>
        <v>0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8">
        <f ca="1">IF($C120-G$1&lt;År1,0,F119*(1-VLOOKUP($A120,[1]Hugst!$R$5:$W$9,MATCH(ROUNDUP((G$1)/10,0)*10,[1]Hugst!$R$4:$W$4,0))))</f>
        <v>0</v>
      </c>
      <c r="H120" s="168">
        <f ca="1">IF($C120-H$1&lt;År1,0,G119*(1-VLOOKUP($A120,[1]Hugst!$R$5:$W$9,MATCH(ROUNDUP((H$1)/10,0)*10,[1]Hugst!$R$4:$W$4,0))))</f>
        <v>0</v>
      </c>
      <c r="I120" s="168">
        <f ca="1">IF($C120-I$1&lt;År1,0,H119*(1-VLOOKUP($A120,[1]Hugst!$R$5:$W$9,MATCH(ROUNDUP((I$1)/10,0)*10,[1]Hugst!$R$4:$W$4,0))))</f>
        <v>0</v>
      </c>
      <c r="J120" s="168">
        <f ca="1">IF($C120-J$1&lt;År1,0,I119*(1-VLOOKUP($A120,[1]Hugst!$R$5:$W$9,MATCH(ROUNDUP((J$1)/10,0)*10,[1]Hugst!$R$4:$W$4,0))))</f>
        <v>0</v>
      </c>
      <c r="K120" s="168">
        <f ca="1">IF($C120-K$1&lt;År1,0,J119*(1-VLOOKUP($A120,[1]Hugst!$R$5:$W$9,MATCH(ROUNDUP((K$1)/10,0)*10,[1]Hugst!$R$4:$W$4,0))))</f>
        <v>0</v>
      </c>
      <c r="L120" s="168">
        <f ca="1">IF($C120-L$1&lt;År1,0,K119*(1-VLOOKUP($A120,[1]Hugst!$R$5:$W$9,MATCH(ROUNDUP((L$1)/10,0)*10,[1]Hugst!$R$4:$W$4,0))))</f>
        <v>0</v>
      </c>
      <c r="M120" s="168">
        <f ca="1">IF($C120-M$1&lt;År1,0,L119*(1-VLOOKUP($A120,[1]Hugst!$R$5:$W$9,MATCH(ROUNDUP((M$1)/10,0)*10,[1]Hugst!$R$4:$W$4,0))))</f>
        <v>0</v>
      </c>
      <c r="N120" s="168">
        <f ca="1">IF($C120-N$1&lt;År1,0,M119*(1-VLOOKUP($A120,[1]Hugst!$R$5:$W$9,MATCH(ROUNDUP((N$1)/10,0)*10,[1]Hugst!$R$4:$W$4,0))))</f>
        <v>0</v>
      </c>
      <c r="O120" s="168">
        <f ca="1">IF($C120-O$1&lt;År1,0,N119*(1-VLOOKUP($A120,[1]Hugst!$R$5:$W$9,MATCH(ROUNDUP((O$1)/10,0)*10,[1]Hugst!$R$4:$W$4,0))))</f>
        <v>0</v>
      </c>
      <c r="P120" s="168">
        <f ca="1">IF($C120-P$1&lt;År1,0,O119*(1-VLOOKUP($A120,[1]Hugst!$R$5:$W$9,MATCH(ROUNDUP((P$1)/10,0)*10,[1]Hugst!$R$4:$W$4,0))))</f>
        <v>0</v>
      </c>
      <c r="Q120" s="168">
        <f ca="1">IF($C120-Q$1&lt;År1,0,P119*(1-VLOOKUP($A120,[1]Hugst!$R$5:$W$9,MATCH(ROUNDUP((Q$1)/10,0)*10,[1]Hugst!$R$4:$W$4,0))))</f>
        <v>0</v>
      </c>
      <c r="R120" s="168">
        <f ca="1">IF($C120-R$1&lt;År1,0,Q119*(1-VLOOKUP($A120,[1]Hugst!$R$5:$W$9,MATCH(ROUNDUP((R$1)/10,0)*10,[1]Hugst!$R$4:$W$4,0))))</f>
        <v>0</v>
      </c>
      <c r="S120" s="168">
        <f ca="1">IF($C120-S$1&lt;År1,0,R119*(1-VLOOKUP($A120,[1]Hugst!$R$5:$W$9,MATCH(ROUNDUP((S$1)/10,0)*10,[1]Hugst!$R$4:$W$4,0))))</f>
        <v>0</v>
      </c>
      <c r="T120" s="168">
        <f ca="1">IF($C120-T$1&lt;År1,0,S119*(1-VLOOKUP($A120,[1]Hugst!$R$5:$W$9,MATCH(ROUNDUP((T$1)/10,0)*10,[1]Hugst!$R$4:$W$4,0))))</f>
        <v>0</v>
      </c>
      <c r="U120" s="168">
        <f ca="1">IF($C120-U$1&lt;År1,0,T119*(1-VLOOKUP($A120,[1]Hugst!$R$5:$W$9,MATCH(ROUNDUP((U$1)/10,0)*10,[1]Hugst!$R$4:$W$4,0))))</f>
        <v>0</v>
      </c>
      <c r="V120" s="168">
        <f ca="1">IF($C120-V$1&lt;År1,0,U119*(1-VLOOKUP($A120,[1]Hugst!$R$5:$W$9,MATCH(ROUNDUP((V$1)/10,0)*10,[1]Hugst!$R$4:$W$4,0))))</f>
        <v>0</v>
      </c>
      <c r="W120" s="168">
        <f ca="1">IF($C120-W$1&lt;År1,0,V119*(1-VLOOKUP($A120,[1]Hugst!$R$5:$W$9,MATCH(ROUNDUP((W$1)/10,0)*10,[1]Hugst!$R$4:$W$4,0))))</f>
        <v>0</v>
      </c>
      <c r="X120" s="168">
        <f ca="1">IF($C120-X$1&lt;År1,0,W119*(1-VLOOKUP($A120,[1]Hugst!$R$5:$W$9,MATCH(ROUNDUP((X$1)/10,0)*10,[1]Hugst!$R$4:$W$4,0))))</f>
        <v>0</v>
      </c>
      <c r="Y120" s="168">
        <f ca="1">IF($C120-Y$1&lt;År1,0,X119*(1-VLOOKUP($A120,[1]Hugst!$R$5:$W$9,MATCH(ROUNDUP((Y$1)/10,0)*10,[1]Hugst!$R$4:$W$4,0))))</f>
        <v>0</v>
      </c>
      <c r="Z120" s="168">
        <f ca="1">IF($C120-Z$1&lt;År1,0,Y119*(1-VLOOKUP($A120,[1]Hugst!$R$5:$W$9,MATCH(ROUNDUP((Z$1)/10,0)*10,[1]Hugst!$R$4:$W$4,0))))</f>
        <v>0</v>
      </c>
      <c r="AA120" s="168">
        <f ca="1">IF($C120-AA$1&lt;År1,0,Z119*(1-VLOOKUP($A120,[1]Hugst!$R$5:$W$9,MATCH(ROUNDUP((AA$1)/10,0)*10,[1]Hugst!$R$4:$W$4,0))))</f>
        <v>0</v>
      </c>
      <c r="AB120" s="168">
        <f ca="1">IF($C120-AB$1&lt;År1,0,AA119*(1-VLOOKUP($A120,[1]Hugst!$R$5:$W$9,MATCH(ROUNDUP((AB$1)/10,0)*10,[1]Hugst!$R$4:$W$4,0))))</f>
        <v>0</v>
      </c>
      <c r="AC120" s="168">
        <f ca="1">IF($C120-AC$1&lt;År1,0,AB119*(1-VLOOKUP($A120,[1]Hugst!$R$5:$W$9,MATCH(ROUNDUP((AC$1)/10,0)*10,[1]Hugst!$R$4:$W$4,0))))</f>
        <v>0</v>
      </c>
      <c r="AD120" s="168">
        <f ca="1">IF($C120-AD$1&lt;År1,0,AC119*(1-VLOOKUP($A120,[1]Hugst!$R$5:$W$9,MATCH(ROUNDUP((AD$1)/10,0)*10,[1]Hugst!$R$4:$W$4,0))))</f>
        <v>0</v>
      </c>
      <c r="AE120" s="168">
        <f ca="1">IF($C120-AE$1&lt;År1,0,AD119*(1-VLOOKUP($A120,[1]Hugst!$R$5:$W$9,MATCH(ROUNDUP((AE$1)/10,0)*10,[1]Hugst!$R$4:$W$4,0))))</f>
        <v>0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*VLOOKUP(A121,Skovbrug!$A$13:$D$17,IF('Skovbrug-alder'!C121&lt;=År2,3,4),FALSE)-IF(C121&gt;2020,SUM(INDEX($C$1:$D$311,MATCH(1,(2020=$C$1:$C$311)*(B121=$B$1:$B$311)*(A121=$A$1:$A$311),0),2):D120),0))</f>
        <v>0</v>
      </c>
      <c r="E121" s="168">
        <f t="shared" ca="1" si="2"/>
        <v>0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8">
        <f ca="1">IF($C121-G$1&lt;År1,0,F120*(1-VLOOKUP($A121,[1]Hugst!$R$5:$W$9,MATCH(ROUNDUP((G$1)/10,0)*10,[1]Hugst!$R$4:$W$4,0))))</f>
        <v>0</v>
      </c>
      <c r="H121" s="168">
        <f ca="1">IF($C121-H$1&lt;År1,0,G120*(1-VLOOKUP($A121,[1]Hugst!$R$5:$W$9,MATCH(ROUNDUP((H$1)/10,0)*10,[1]Hugst!$R$4:$W$4,0))))</f>
        <v>0</v>
      </c>
      <c r="I121" s="168">
        <f ca="1">IF($C121-I$1&lt;År1,0,H120*(1-VLOOKUP($A121,[1]Hugst!$R$5:$W$9,MATCH(ROUNDUP((I$1)/10,0)*10,[1]Hugst!$R$4:$W$4,0))))</f>
        <v>0</v>
      </c>
      <c r="J121" s="168">
        <f ca="1">IF($C121-J$1&lt;År1,0,I120*(1-VLOOKUP($A121,[1]Hugst!$R$5:$W$9,MATCH(ROUNDUP((J$1)/10,0)*10,[1]Hugst!$R$4:$W$4,0))))</f>
        <v>0</v>
      </c>
      <c r="K121" s="168">
        <f ca="1">IF($C121-K$1&lt;År1,0,J120*(1-VLOOKUP($A121,[1]Hugst!$R$5:$W$9,MATCH(ROUNDUP((K$1)/10,0)*10,[1]Hugst!$R$4:$W$4,0))))</f>
        <v>0</v>
      </c>
      <c r="L121" s="168">
        <f ca="1">IF($C121-L$1&lt;År1,0,K120*(1-VLOOKUP($A121,[1]Hugst!$R$5:$W$9,MATCH(ROUNDUP((L$1)/10,0)*10,[1]Hugst!$R$4:$W$4,0))))</f>
        <v>0</v>
      </c>
      <c r="M121" s="168">
        <f ca="1">IF($C121-M$1&lt;År1,0,L120*(1-VLOOKUP($A121,[1]Hugst!$R$5:$W$9,MATCH(ROUNDUP((M$1)/10,0)*10,[1]Hugst!$R$4:$W$4,0))))</f>
        <v>0</v>
      </c>
      <c r="N121" s="168">
        <f ca="1">IF($C121-N$1&lt;År1,0,M120*(1-VLOOKUP($A121,[1]Hugst!$R$5:$W$9,MATCH(ROUNDUP((N$1)/10,0)*10,[1]Hugst!$R$4:$W$4,0))))</f>
        <v>0</v>
      </c>
      <c r="O121" s="168">
        <f ca="1">IF($C121-O$1&lt;År1,0,N120*(1-VLOOKUP($A121,[1]Hugst!$R$5:$W$9,MATCH(ROUNDUP((O$1)/10,0)*10,[1]Hugst!$R$4:$W$4,0))))</f>
        <v>0</v>
      </c>
      <c r="P121" s="168">
        <f ca="1">IF($C121-P$1&lt;År1,0,O120*(1-VLOOKUP($A121,[1]Hugst!$R$5:$W$9,MATCH(ROUNDUP((P$1)/10,0)*10,[1]Hugst!$R$4:$W$4,0))))</f>
        <v>0</v>
      </c>
      <c r="Q121" s="168">
        <f ca="1">IF($C121-Q$1&lt;År1,0,P120*(1-VLOOKUP($A121,[1]Hugst!$R$5:$W$9,MATCH(ROUNDUP((Q$1)/10,0)*10,[1]Hugst!$R$4:$W$4,0))))</f>
        <v>0</v>
      </c>
      <c r="R121" s="168">
        <f ca="1">IF($C121-R$1&lt;År1,0,Q120*(1-VLOOKUP($A121,[1]Hugst!$R$5:$W$9,MATCH(ROUNDUP((R$1)/10,0)*10,[1]Hugst!$R$4:$W$4,0))))</f>
        <v>0</v>
      </c>
      <c r="S121" s="168">
        <f ca="1">IF($C121-S$1&lt;År1,0,R120*(1-VLOOKUP($A121,[1]Hugst!$R$5:$W$9,MATCH(ROUNDUP((S$1)/10,0)*10,[1]Hugst!$R$4:$W$4,0))))</f>
        <v>0</v>
      </c>
      <c r="T121" s="168">
        <f ca="1">IF($C121-T$1&lt;År1,0,S120*(1-VLOOKUP($A121,[1]Hugst!$R$5:$W$9,MATCH(ROUNDUP((T$1)/10,0)*10,[1]Hugst!$R$4:$W$4,0))))</f>
        <v>0</v>
      </c>
      <c r="U121" s="168">
        <f ca="1">IF($C121-U$1&lt;År1,0,T120*(1-VLOOKUP($A121,[1]Hugst!$R$5:$W$9,MATCH(ROUNDUP((U$1)/10,0)*10,[1]Hugst!$R$4:$W$4,0))))</f>
        <v>0</v>
      </c>
      <c r="V121" s="168">
        <f ca="1">IF($C121-V$1&lt;År1,0,U120*(1-VLOOKUP($A121,[1]Hugst!$R$5:$W$9,MATCH(ROUNDUP((V$1)/10,0)*10,[1]Hugst!$R$4:$W$4,0))))</f>
        <v>0</v>
      </c>
      <c r="W121" s="168">
        <f ca="1">IF($C121-W$1&lt;År1,0,V120*(1-VLOOKUP($A121,[1]Hugst!$R$5:$W$9,MATCH(ROUNDUP((W$1)/10,0)*10,[1]Hugst!$R$4:$W$4,0))))</f>
        <v>0</v>
      </c>
      <c r="X121" s="168">
        <f ca="1">IF($C121-X$1&lt;År1,0,W120*(1-VLOOKUP($A121,[1]Hugst!$R$5:$W$9,MATCH(ROUNDUP((X$1)/10,0)*10,[1]Hugst!$R$4:$W$4,0))))</f>
        <v>0</v>
      </c>
      <c r="Y121" s="168">
        <f ca="1">IF($C121-Y$1&lt;År1,0,X120*(1-VLOOKUP($A121,[1]Hugst!$R$5:$W$9,MATCH(ROUNDUP((Y$1)/10,0)*10,[1]Hugst!$R$4:$W$4,0))))</f>
        <v>0</v>
      </c>
      <c r="Z121" s="168">
        <f ca="1">IF($C121-Z$1&lt;År1,0,Y120*(1-VLOOKUP($A121,[1]Hugst!$R$5:$W$9,MATCH(ROUNDUP((Z$1)/10,0)*10,[1]Hugst!$R$4:$W$4,0))))</f>
        <v>0</v>
      </c>
      <c r="AA121" s="168">
        <f ca="1">IF($C121-AA$1&lt;År1,0,Z120*(1-VLOOKUP($A121,[1]Hugst!$R$5:$W$9,MATCH(ROUNDUP((AA$1)/10,0)*10,[1]Hugst!$R$4:$W$4,0))))</f>
        <v>0</v>
      </c>
      <c r="AB121" s="168">
        <f ca="1">IF($C121-AB$1&lt;År1,0,AA120*(1-VLOOKUP($A121,[1]Hugst!$R$5:$W$9,MATCH(ROUNDUP((AB$1)/10,0)*10,[1]Hugst!$R$4:$W$4,0))))</f>
        <v>0</v>
      </c>
      <c r="AC121" s="168">
        <f ca="1">IF($C121-AC$1&lt;År1,0,AB120*(1-VLOOKUP($A121,[1]Hugst!$R$5:$W$9,MATCH(ROUNDUP((AC$1)/10,0)*10,[1]Hugst!$R$4:$W$4,0))))</f>
        <v>0</v>
      </c>
      <c r="AD121" s="168">
        <f ca="1">IF($C121-AD$1&lt;År1,0,AC120*(1-VLOOKUP($A121,[1]Hugst!$R$5:$W$9,MATCH(ROUNDUP((AD$1)/10,0)*10,[1]Hugst!$R$4:$W$4,0))))</f>
        <v>0</v>
      </c>
      <c r="AE121" s="168">
        <f ca="1">IF($C121-AE$1&lt;År1,0,AD120*(1-VLOOKUP($A121,[1]Hugst!$R$5:$W$9,MATCH(ROUNDUP((AE$1)/10,0)*10,[1]Hugst!$R$4:$W$4,0))))</f>
        <v>0</v>
      </c>
      <c r="AF121" s="168">
        <f ca="1">IF($C121-AF$1&lt;År1,0,AE120*(1-VLOOKUP($A121,[1]Hugst!$R$5:$W$9,MATCH(ROUNDUP((AF$1)/10,0)*10,[1]Hugst!$R$4:$W$4,0))))</f>
        <v>0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*VLOOKUP(A122,Skovbrug!$A$13:$D$17,IF('Skovbrug-alder'!C122&lt;=År2,3,4),FALSE)-IF(C122&gt;2020,SUM(INDEX($C$1:$D$311,MATCH(1,(2020=$C$1:$C$311)*(B122=$B$1:$B$311)*(A122=$A$1:$A$311),0),2):D121),0))</f>
        <v>0</v>
      </c>
      <c r="E122" s="168">
        <f t="shared" ca="1" si="2"/>
        <v>0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8">
        <f ca="1">IF($C122-G$1&lt;År1,0,F121*(1-VLOOKUP($A122,[1]Hugst!$R$5:$W$9,MATCH(ROUNDUP((G$1)/10,0)*10,[1]Hugst!$R$4:$W$4,0))))</f>
        <v>0</v>
      </c>
      <c r="H122" s="168">
        <f ca="1">IF($C122-H$1&lt;År1,0,G121*(1-VLOOKUP($A122,[1]Hugst!$R$5:$W$9,MATCH(ROUNDUP((H$1)/10,0)*10,[1]Hugst!$R$4:$W$4,0))))</f>
        <v>0</v>
      </c>
      <c r="I122" s="168">
        <f ca="1">IF($C122-I$1&lt;År1,0,H121*(1-VLOOKUP($A122,[1]Hugst!$R$5:$W$9,MATCH(ROUNDUP((I$1)/10,0)*10,[1]Hugst!$R$4:$W$4,0))))</f>
        <v>0</v>
      </c>
      <c r="J122" s="168">
        <f ca="1">IF($C122-J$1&lt;År1,0,I121*(1-VLOOKUP($A122,[1]Hugst!$R$5:$W$9,MATCH(ROUNDUP((J$1)/10,0)*10,[1]Hugst!$R$4:$W$4,0))))</f>
        <v>0</v>
      </c>
      <c r="K122" s="168">
        <f ca="1">IF($C122-K$1&lt;År1,0,J121*(1-VLOOKUP($A122,[1]Hugst!$R$5:$W$9,MATCH(ROUNDUP((K$1)/10,0)*10,[1]Hugst!$R$4:$W$4,0))))</f>
        <v>0</v>
      </c>
      <c r="L122" s="168">
        <f ca="1">IF($C122-L$1&lt;År1,0,K121*(1-VLOOKUP($A122,[1]Hugst!$R$5:$W$9,MATCH(ROUNDUP((L$1)/10,0)*10,[1]Hugst!$R$4:$W$4,0))))</f>
        <v>0</v>
      </c>
      <c r="M122" s="168">
        <f ca="1">IF($C122-M$1&lt;År1,0,L121*(1-VLOOKUP($A122,[1]Hugst!$R$5:$W$9,MATCH(ROUNDUP((M$1)/10,0)*10,[1]Hugst!$R$4:$W$4,0))))</f>
        <v>0</v>
      </c>
      <c r="N122" s="168">
        <f ca="1">IF($C122-N$1&lt;År1,0,M121*(1-VLOOKUP($A122,[1]Hugst!$R$5:$W$9,MATCH(ROUNDUP((N$1)/10,0)*10,[1]Hugst!$R$4:$W$4,0))))</f>
        <v>0</v>
      </c>
      <c r="O122" s="168">
        <f ca="1">IF($C122-O$1&lt;År1,0,N121*(1-VLOOKUP($A122,[1]Hugst!$R$5:$W$9,MATCH(ROUNDUP((O$1)/10,0)*10,[1]Hugst!$R$4:$W$4,0))))</f>
        <v>0</v>
      </c>
      <c r="P122" s="168">
        <f ca="1">IF($C122-P$1&lt;År1,0,O121*(1-VLOOKUP($A122,[1]Hugst!$R$5:$W$9,MATCH(ROUNDUP((P$1)/10,0)*10,[1]Hugst!$R$4:$W$4,0))))</f>
        <v>0</v>
      </c>
      <c r="Q122" s="168">
        <f ca="1">IF($C122-Q$1&lt;År1,0,P121*(1-VLOOKUP($A122,[1]Hugst!$R$5:$W$9,MATCH(ROUNDUP((Q$1)/10,0)*10,[1]Hugst!$R$4:$W$4,0))))</f>
        <v>0</v>
      </c>
      <c r="R122" s="168">
        <f ca="1">IF($C122-R$1&lt;År1,0,Q121*(1-VLOOKUP($A122,[1]Hugst!$R$5:$W$9,MATCH(ROUNDUP((R$1)/10,0)*10,[1]Hugst!$R$4:$W$4,0))))</f>
        <v>0</v>
      </c>
      <c r="S122" s="168">
        <f ca="1">IF($C122-S$1&lt;År1,0,R121*(1-VLOOKUP($A122,[1]Hugst!$R$5:$W$9,MATCH(ROUNDUP((S$1)/10,0)*10,[1]Hugst!$R$4:$W$4,0))))</f>
        <v>0</v>
      </c>
      <c r="T122" s="168">
        <f ca="1">IF($C122-T$1&lt;År1,0,S121*(1-VLOOKUP($A122,[1]Hugst!$R$5:$W$9,MATCH(ROUNDUP((T$1)/10,0)*10,[1]Hugst!$R$4:$W$4,0))))</f>
        <v>0</v>
      </c>
      <c r="U122" s="168">
        <f ca="1">IF($C122-U$1&lt;År1,0,T121*(1-VLOOKUP($A122,[1]Hugst!$R$5:$W$9,MATCH(ROUNDUP((U$1)/10,0)*10,[1]Hugst!$R$4:$W$4,0))))</f>
        <v>0</v>
      </c>
      <c r="V122" s="168">
        <f ca="1">IF($C122-V$1&lt;År1,0,U121*(1-VLOOKUP($A122,[1]Hugst!$R$5:$W$9,MATCH(ROUNDUP((V$1)/10,0)*10,[1]Hugst!$R$4:$W$4,0))))</f>
        <v>0</v>
      </c>
      <c r="W122" s="168">
        <f ca="1">IF($C122-W$1&lt;År1,0,V121*(1-VLOOKUP($A122,[1]Hugst!$R$5:$W$9,MATCH(ROUNDUP((W$1)/10,0)*10,[1]Hugst!$R$4:$W$4,0))))</f>
        <v>0</v>
      </c>
      <c r="X122" s="168">
        <f ca="1">IF($C122-X$1&lt;År1,0,W121*(1-VLOOKUP($A122,[1]Hugst!$R$5:$W$9,MATCH(ROUNDUP((X$1)/10,0)*10,[1]Hugst!$R$4:$W$4,0))))</f>
        <v>0</v>
      </c>
      <c r="Y122" s="168">
        <f ca="1">IF($C122-Y$1&lt;År1,0,X121*(1-VLOOKUP($A122,[1]Hugst!$R$5:$W$9,MATCH(ROUNDUP((Y$1)/10,0)*10,[1]Hugst!$R$4:$W$4,0))))</f>
        <v>0</v>
      </c>
      <c r="Z122" s="168">
        <f ca="1">IF($C122-Z$1&lt;År1,0,Y121*(1-VLOOKUP($A122,[1]Hugst!$R$5:$W$9,MATCH(ROUNDUP((Z$1)/10,0)*10,[1]Hugst!$R$4:$W$4,0))))</f>
        <v>0</v>
      </c>
      <c r="AA122" s="168">
        <f ca="1">IF($C122-AA$1&lt;År1,0,Z121*(1-VLOOKUP($A122,[1]Hugst!$R$5:$W$9,MATCH(ROUNDUP((AA$1)/10,0)*10,[1]Hugst!$R$4:$W$4,0))))</f>
        <v>0</v>
      </c>
      <c r="AB122" s="168">
        <f ca="1">IF($C122-AB$1&lt;År1,0,AA121*(1-VLOOKUP($A122,[1]Hugst!$R$5:$W$9,MATCH(ROUNDUP((AB$1)/10,0)*10,[1]Hugst!$R$4:$W$4,0))))</f>
        <v>0</v>
      </c>
      <c r="AC122" s="168">
        <f ca="1">IF($C122-AC$1&lt;År1,0,AB121*(1-VLOOKUP($A122,[1]Hugst!$R$5:$W$9,MATCH(ROUNDUP((AC$1)/10,0)*10,[1]Hugst!$R$4:$W$4,0))))</f>
        <v>0</v>
      </c>
      <c r="AD122" s="168">
        <f ca="1">IF($C122-AD$1&lt;År1,0,AC121*(1-VLOOKUP($A122,[1]Hugst!$R$5:$W$9,MATCH(ROUNDUP((AD$1)/10,0)*10,[1]Hugst!$R$4:$W$4,0))))</f>
        <v>0</v>
      </c>
      <c r="AE122" s="168">
        <f ca="1">IF($C122-AE$1&lt;År1,0,AD121*(1-VLOOKUP($A122,[1]Hugst!$R$5:$W$9,MATCH(ROUNDUP((AE$1)/10,0)*10,[1]Hugst!$R$4:$W$4,0))))</f>
        <v>0</v>
      </c>
      <c r="AF122" s="168">
        <f ca="1">IF($C122-AF$1&lt;År1,0,AE121*(1-VLOOKUP($A122,[1]Hugst!$R$5:$W$9,MATCH(ROUNDUP((AF$1)/10,0)*10,[1]Hugst!$R$4:$W$4,0))))</f>
        <v>0</v>
      </c>
      <c r="AG122" s="168">
        <f ca="1">IF($C122-AG$1&lt;År1,0,AF121*(1-VLOOKUP($A122,[1]Hugst!$R$5:$W$9,MATCH(ROUNDUP((AG$1)/10,0)*10,[1]Hugst!$R$4:$W$4,0))))</f>
        <v>0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*VLOOKUP(A123,Skovbrug!$A$13:$D$17,IF('Skovbrug-alder'!C123&lt;=År2,3,4),FALSE)-IF(C123&gt;2020,SUM(INDEX($C$1:$D$311,MATCH(1,(2020=$C$1:$C$311)*(B123=$B$1:$B$311)*(A123=$A$1:$A$311),0),2):D122),0))</f>
        <v>0</v>
      </c>
      <c r="E123" s="168">
        <f t="shared" ca="1" si="2"/>
        <v>0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8">
        <f ca="1">IF($C123-G$1&lt;År1,0,F122*(1-VLOOKUP($A123,[1]Hugst!$R$5:$W$9,MATCH(ROUNDUP((G$1)/10,0)*10,[1]Hugst!$R$4:$W$4,0))))</f>
        <v>0</v>
      </c>
      <c r="H123" s="168">
        <f ca="1">IF($C123-H$1&lt;År1,0,G122*(1-VLOOKUP($A123,[1]Hugst!$R$5:$W$9,MATCH(ROUNDUP((H$1)/10,0)*10,[1]Hugst!$R$4:$W$4,0))))</f>
        <v>0</v>
      </c>
      <c r="I123" s="168">
        <f ca="1">IF($C123-I$1&lt;År1,0,H122*(1-VLOOKUP($A123,[1]Hugst!$R$5:$W$9,MATCH(ROUNDUP((I$1)/10,0)*10,[1]Hugst!$R$4:$W$4,0))))</f>
        <v>0</v>
      </c>
      <c r="J123" s="168">
        <f ca="1">IF($C123-J$1&lt;År1,0,I122*(1-VLOOKUP($A123,[1]Hugst!$R$5:$W$9,MATCH(ROUNDUP((J$1)/10,0)*10,[1]Hugst!$R$4:$W$4,0))))</f>
        <v>0</v>
      </c>
      <c r="K123" s="168">
        <f ca="1">IF($C123-K$1&lt;År1,0,J122*(1-VLOOKUP($A123,[1]Hugst!$R$5:$W$9,MATCH(ROUNDUP((K$1)/10,0)*10,[1]Hugst!$R$4:$W$4,0))))</f>
        <v>0</v>
      </c>
      <c r="L123" s="168">
        <f ca="1">IF($C123-L$1&lt;År1,0,K122*(1-VLOOKUP($A123,[1]Hugst!$R$5:$W$9,MATCH(ROUNDUP((L$1)/10,0)*10,[1]Hugst!$R$4:$W$4,0))))</f>
        <v>0</v>
      </c>
      <c r="M123" s="168">
        <f ca="1">IF($C123-M$1&lt;År1,0,L122*(1-VLOOKUP($A123,[1]Hugst!$R$5:$W$9,MATCH(ROUNDUP((M$1)/10,0)*10,[1]Hugst!$R$4:$W$4,0))))</f>
        <v>0</v>
      </c>
      <c r="N123" s="168">
        <f ca="1">IF($C123-N$1&lt;År1,0,M122*(1-VLOOKUP($A123,[1]Hugst!$R$5:$W$9,MATCH(ROUNDUP((N$1)/10,0)*10,[1]Hugst!$R$4:$W$4,0))))</f>
        <v>0</v>
      </c>
      <c r="O123" s="168">
        <f ca="1">IF($C123-O$1&lt;År1,0,N122*(1-VLOOKUP($A123,[1]Hugst!$R$5:$W$9,MATCH(ROUNDUP((O$1)/10,0)*10,[1]Hugst!$R$4:$W$4,0))))</f>
        <v>0</v>
      </c>
      <c r="P123" s="168">
        <f ca="1">IF($C123-P$1&lt;År1,0,O122*(1-VLOOKUP($A123,[1]Hugst!$R$5:$W$9,MATCH(ROUNDUP((P$1)/10,0)*10,[1]Hugst!$R$4:$W$4,0))))</f>
        <v>0</v>
      </c>
      <c r="Q123" s="168">
        <f ca="1">IF($C123-Q$1&lt;År1,0,P122*(1-VLOOKUP($A123,[1]Hugst!$R$5:$W$9,MATCH(ROUNDUP((Q$1)/10,0)*10,[1]Hugst!$R$4:$W$4,0))))</f>
        <v>0</v>
      </c>
      <c r="R123" s="168">
        <f ca="1">IF($C123-R$1&lt;År1,0,Q122*(1-VLOOKUP($A123,[1]Hugst!$R$5:$W$9,MATCH(ROUNDUP((R$1)/10,0)*10,[1]Hugst!$R$4:$W$4,0))))</f>
        <v>0</v>
      </c>
      <c r="S123" s="168">
        <f ca="1">IF($C123-S$1&lt;År1,0,R122*(1-VLOOKUP($A123,[1]Hugst!$R$5:$W$9,MATCH(ROUNDUP((S$1)/10,0)*10,[1]Hugst!$R$4:$W$4,0))))</f>
        <v>0</v>
      </c>
      <c r="T123" s="168">
        <f ca="1">IF($C123-T$1&lt;År1,0,S122*(1-VLOOKUP($A123,[1]Hugst!$R$5:$W$9,MATCH(ROUNDUP((T$1)/10,0)*10,[1]Hugst!$R$4:$W$4,0))))</f>
        <v>0</v>
      </c>
      <c r="U123" s="168">
        <f ca="1">IF($C123-U$1&lt;År1,0,T122*(1-VLOOKUP($A123,[1]Hugst!$R$5:$W$9,MATCH(ROUNDUP((U$1)/10,0)*10,[1]Hugst!$R$4:$W$4,0))))</f>
        <v>0</v>
      </c>
      <c r="V123" s="168">
        <f ca="1">IF($C123-V$1&lt;År1,0,U122*(1-VLOOKUP($A123,[1]Hugst!$R$5:$W$9,MATCH(ROUNDUP((V$1)/10,0)*10,[1]Hugst!$R$4:$W$4,0))))</f>
        <v>0</v>
      </c>
      <c r="W123" s="168">
        <f ca="1">IF($C123-W$1&lt;År1,0,V122*(1-VLOOKUP($A123,[1]Hugst!$R$5:$W$9,MATCH(ROUNDUP((W$1)/10,0)*10,[1]Hugst!$R$4:$W$4,0))))</f>
        <v>0</v>
      </c>
      <c r="X123" s="168">
        <f ca="1">IF($C123-X$1&lt;År1,0,W122*(1-VLOOKUP($A123,[1]Hugst!$R$5:$W$9,MATCH(ROUNDUP((X$1)/10,0)*10,[1]Hugst!$R$4:$W$4,0))))</f>
        <v>0</v>
      </c>
      <c r="Y123" s="168">
        <f ca="1">IF($C123-Y$1&lt;År1,0,X122*(1-VLOOKUP($A123,[1]Hugst!$R$5:$W$9,MATCH(ROUNDUP((Y$1)/10,0)*10,[1]Hugst!$R$4:$W$4,0))))</f>
        <v>0</v>
      </c>
      <c r="Z123" s="168">
        <f ca="1">IF($C123-Z$1&lt;År1,0,Y122*(1-VLOOKUP($A123,[1]Hugst!$R$5:$W$9,MATCH(ROUNDUP((Z$1)/10,0)*10,[1]Hugst!$R$4:$W$4,0))))</f>
        <v>0</v>
      </c>
      <c r="AA123" s="168">
        <f ca="1">IF($C123-AA$1&lt;År1,0,Z122*(1-VLOOKUP($A123,[1]Hugst!$R$5:$W$9,MATCH(ROUNDUP((AA$1)/10,0)*10,[1]Hugst!$R$4:$W$4,0))))</f>
        <v>0</v>
      </c>
      <c r="AB123" s="168">
        <f ca="1">IF($C123-AB$1&lt;År1,0,AA122*(1-VLOOKUP($A123,[1]Hugst!$R$5:$W$9,MATCH(ROUNDUP((AB$1)/10,0)*10,[1]Hugst!$R$4:$W$4,0))))</f>
        <v>0</v>
      </c>
      <c r="AC123" s="168">
        <f ca="1">IF($C123-AC$1&lt;År1,0,AB122*(1-VLOOKUP($A123,[1]Hugst!$R$5:$W$9,MATCH(ROUNDUP((AC$1)/10,0)*10,[1]Hugst!$R$4:$W$4,0))))</f>
        <v>0</v>
      </c>
      <c r="AD123" s="168">
        <f ca="1">IF($C123-AD$1&lt;År1,0,AC122*(1-VLOOKUP($A123,[1]Hugst!$R$5:$W$9,MATCH(ROUNDUP((AD$1)/10,0)*10,[1]Hugst!$R$4:$W$4,0))))</f>
        <v>0</v>
      </c>
      <c r="AE123" s="168">
        <f ca="1">IF($C123-AE$1&lt;År1,0,AD122*(1-VLOOKUP($A123,[1]Hugst!$R$5:$W$9,MATCH(ROUNDUP((AE$1)/10,0)*10,[1]Hugst!$R$4:$W$4,0))))</f>
        <v>0</v>
      </c>
      <c r="AF123" s="168">
        <f ca="1">IF($C123-AF$1&lt;År1,0,AE122*(1-VLOOKUP($A123,[1]Hugst!$R$5:$W$9,MATCH(ROUNDUP((AF$1)/10,0)*10,[1]Hugst!$R$4:$W$4,0))))</f>
        <v>0</v>
      </c>
      <c r="AG123" s="168">
        <f ca="1">IF($C123-AG$1&lt;År1,0,AF122*(1-VLOOKUP($A123,[1]Hugst!$R$5:$W$9,MATCH(ROUNDUP((AG$1)/10,0)*10,[1]Hugst!$R$4:$W$4,0))))</f>
        <v>0</v>
      </c>
      <c r="AH123" s="168">
        <f ca="1">IF($C123-AH$1&lt;År1,0,AG122*(1-VLOOKUP($A123,[1]Hugst!$R$5:$W$9,MATCH(ROUNDUP((AH$1)/10,0)*10,[1]Hugst!$R$4:$W$4,0))))</f>
        <v>0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*VLOOKUP(A124,Skovbrug!$A$13:$D$17,IF('Skovbrug-alder'!C124&lt;=År2,3,4),FALSE)-IF(C124&gt;2020,SUM(INDEX($C$1:$D$311,MATCH(1,(2020=$C$1:$C$311)*(B124=$B$1:$B$311)*(A124=$A$1:$A$311),0),2):D123),0))</f>
        <v>0</v>
      </c>
      <c r="E124" s="168">
        <f t="shared" ca="1" si="2"/>
        <v>0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8">
        <f ca="1">IF($C124-G$1&lt;År1,0,F123*(1-VLOOKUP($A124,[1]Hugst!$R$5:$W$9,MATCH(ROUNDUP((G$1)/10,0)*10,[1]Hugst!$R$4:$W$4,0))))</f>
        <v>0</v>
      </c>
      <c r="H124" s="168">
        <f ca="1">IF($C124-H$1&lt;År1,0,G123*(1-VLOOKUP($A124,[1]Hugst!$R$5:$W$9,MATCH(ROUNDUP((H$1)/10,0)*10,[1]Hugst!$R$4:$W$4,0))))</f>
        <v>0</v>
      </c>
      <c r="I124" s="168">
        <f ca="1">IF($C124-I$1&lt;År1,0,H123*(1-VLOOKUP($A124,[1]Hugst!$R$5:$W$9,MATCH(ROUNDUP((I$1)/10,0)*10,[1]Hugst!$R$4:$W$4,0))))</f>
        <v>0</v>
      </c>
      <c r="J124" s="168">
        <f ca="1">IF($C124-J$1&lt;År1,0,I123*(1-VLOOKUP($A124,[1]Hugst!$R$5:$W$9,MATCH(ROUNDUP((J$1)/10,0)*10,[1]Hugst!$R$4:$W$4,0))))</f>
        <v>0</v>
      </c>
      <c r="K124" s="168">
        <f ca="1">IF($C124-K$1&lt;År1,0,J123*(1-VLOOKUP($A124,[1]Hugst!$R$5:$W$9,MATCH(ROUNDUP((K$1)/10,0)*10,[1]Hugst!$R$4:$W$4,0))))</f>
        <v>0</v>
      </c>
      <c r="L124" s="168">
        <f ca="1">IF($C124-L$1&lt;År1,0,K123*(1-VLOOKUP($A124,[1]Hugst!$R$5:$W$9,MATCH(ROUNDUP((L$1)/10,0)*10,[1]Hugst!$R$4:$W$4,0))))</f>
        <v>0</v>
      </c>
      <c r="M124" s="168">
        <f ca="1">IF($C124-M$1&lt;År1,0,L123*(1-VLOOKUP($A124,[1]Hugst!$R$5:$W$9,MATCH(ROUNDUP((M$1)/10,0)*10,[1]Hugst!$R$4:$W$4,0))))</f>
        <v>0</v>
      </c>
      <c r="N124" s="168">
        <f ca="1">IF($C124-N$1&lt;År1,0,M123*(1-VLOOKUP($A124,[1]Hugst!$R$5:$W$9,MATCH(ROUNDUP((N$1)/10,0)*10,[1]Hugst!$R$4:$W$4,0))))</f>
        <v>0</v>
      </c>
      <c r="O124" s="168">
        <f ca="1">IF($C124-O$1&lt;År1,0,N123*(1-VLOOKUP($A124,[1]Hugst!$R$5:$W$9,MATCH(ROUNDUP((O$1)/10,0)*10,[1]Hugst!$R$4:$W$4,0))))</f>
        <v>0</v>
      </c>
      <c r="P124" s="168">
        <f ca="1">IF($C124-P$1&lt;År1,0,O123*(1-VLOOKUP($A124,[1]Hugst!$R$5:$W$9,MATCH(ROUNDUP((P$1)/10,0)*10,[1]Hugst!$R$4:$W$4,0))))</f>
        <v>0</v>
      </c>
      <c r="Q124" s="168">
        <f ca="1">IF($C124-Q$1&lt;År1,0,P123*(1-VLOOKUP($A124,[1]Hugst!$R$5:$W$9,MATCH(ROUNDUP((Q$1)/10,0)*10,[1]Hugst!$R$4:$W$4,0))))</f>
        <v>0</v>
      </c>
      <c r="R124" s="168">
        <f ca="1">IF($C124-R$1&lt;År1,0,Q123*(1-VLOOKUP($A124,[1]Hugst!$R$5:$W$9,MATCH(ROUNDUP((R$1)/10,0)*10,[1]Hugst!$R$4:$W$4,0))))</f>
        <v>0</v>
      </c>
      <c r="S124" s="168">
        <f ca="1">IF($C124-S$1&lt;År1,0,R123*(1-VLOOKUP($A124,[1]Hugst!$R$5:$W$9,MATCH(ROUNDUP((S$1)/10,0)*10,[1]Hugst!$R$4:$W$4,0))))</f>
        <v>0</v>
      </c>
      <c r="T124" s="168">
        <f ca="1">IF($C124-T$1&lt;År1,0,S123*(1-VLOOKUP($A124,[1]Hugst!$R$5:$W$9,MATCH(ROUNDUP((T$1)/10,0)*10,[1]Hugst!$R$4:$W$4,0))))</f>
        <v>0</v>
      </c>
      <c r="U124" s="168">
        <f ca="1">IF($C124-U$1&lt;År1,0,T123*(1-VLOOKUP($A124,[1]Hugst!$R$5:$W$9,MATCH(ROUNDUP((U$1)/10,0)*10,[1]Hugst!$R$4:$W$4,0))))</f>
        <v>0</v>
      </c>
      <c r="V124" s="168">
        <f ca="1">IF($C124-V$1&lt;År1,0,U123*(1-VLOOKUP($A124,[1]Hugst!$R$5:$W$9,MATCH(ROUNDUP((V$1)/10,0)*10,[1]Hugst!$R$4:$W$4,0))))</f>
        <v>0</v>
      </c>
      <c r="W124" s="168">
        <f ca="1">IF($C124-W$1&lt;År1,0,V123*(1-VLOOKUP($A124,[1]Hugst!$R$5:$W$9,MATCH(ROUNDUP((W$1)/10,0)*10,[1]Hugst!$R$4:$W$4,0))))</f>
        <v>0</v>
      </c>
      <c r="X124" s="168">
        <f ca="1">IF($C124-X$1&lt;År1,0,W123*(1-VLOOKUP($A124,[1]Hugst!$R$5:$W$9,MATCH(ROUNDUP((X$1)/10,0)*10,[1]Hugst!$R$4:$W$4,0))))</f>
        <v>0</v>
      </c>
      <c r="Y124" s="168">
        <f ca="1">IF($C124-Y$1&lt;År1,0,X123*(1-VLOOKUP($A124,[1]Hugst!$R$5:$W$9,MATCH(ROUNDUP((Y$1)/10,0)*10,[1]Hugst!$R$4:$W$4,0))))</f>
        <v>0</v>
      </c>
      <c r="Z124" s="168">
        <f ca="1">IF($C124-Z$1&lt;År1,0,Y123*(1-VLOOKUP($A124,[1]Hugst!$R$5:$W$9,MATCH(ROUNDUP((Z$1)/10,0)*10,[1]Hugst!$R$4:$W$4,0))))</f>
        <v>0</v>
      </c>
      <c r="AA124" s="168">
        <f ca="1">IF($C124-AA$1&lt;År1,0,Z123*(1-VLOOKUP($A124,[1]Hugst!$R$5:$W$9,MATCH(ROUNDUP((AA$1)/10,0)*10,[1]Hugst!$R$4:$W$4,0))))</f>
        <v>0</v>
      </c>
      <c r="AB124" s="168">
        <f ca="1">IF($C124-AB$1&lt;År1,0,AA123*(1-VLOOKUP($A124,[1]Hugst!$R$5:$W$9,MATCH(ROUNDUP((AB$1)/10,0)*10,[1]Hugst!$R$4:$W$4,0))))</f>
        <v>0</v>
      </c>
      <c r="AC124" s="168">
        <f ca="1">IF($C124-AC$1&lt;År1,0,AB123*(1-VLOOKUP($A124,[1]Hugst!$R$5:$W$9,MATCH(ROUNDUP((AC$1)/10,0)*10,[1]Hugst!$R$4:$W$4,0))))</f>
        <v>0</v>
      </c>
      <c r="AD124" s="168">
        <f ca="1">IF($C124-AD$1&lt;År1,0,AC123*(1-VLOOKUP($A124,[1]Hugst!$R$5:$W$9,MATCH(ROUNDUP((AD$1)/10,0)*10,[1]Hugst!$R$4:$W$4,0))))</f>
        <v>0</v>
      </c>
      <c r="AE124" s="168">
        <f ca="1">IF($C124-AE$1&lt;År1,0,AD123*(1-VLOOKUP($A124,[1]Hugst!$R$5:$W$9,MATCH(ROUNDUP((AE$1)/10,0)*10,[1]Hugst!$R$4:$W$4,0))))</f>
        <v>0</v>
      </c>
      <c r="AF124" s="168">
        <f ca="1">IF($C124-AF$1&lt;År1,0,AE123*(1-VLOOKUP($A124,[1]Hugst!$R$5:$W$9,MATCH(ROUNDUP((AF$1)/10,0)*10,[1]Hugst!$R$4:$W$4,0))))</f>
        <v>0</v>
      </c>
      <c r="AG124" s="168">
        <f ca="1">IF($C124-AG$1&lt;År1,0,AF123*(1-VLOOKUP($A124,[1]Hugst!$R$5:$W$9,MATCH(ROUNDUP((AG$1)/10,0)*10,[1]Hugst!$R$4:$W$4,0))))</f>
        <v>0</v>
      </c>
      <c r="AH124" s="168">
        <f ca="1">IF($C124-AH$1&lt;År1,0,AG123*(1-VLOOKUP($A124,[1]Hugst!$R$5:$W$9,MATCH(ROUNDUP((AH$1)/10,0)*10,[1]Hugst!$R$4:$W$4,0))))</f>
        <v>0</v>
      </c>
      <c r="AI124" s="168">
        <f ca="1">IF($C124-AI$1&lt;År1,0,AH123*(1-VLOOKUP($A124,[1]Hugst!$R$5:$W$9,MATCH(ROUNDUP((AI$1)/10,0)*10,[1]Hugst!$R$4:$W$4,0))))</f>
        <v>0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*VLOOKUP(A125,Skovbrug!$A$13:$D$17,IF('Skovbrug-alder'!C125&lt;=År2,3,4),FALSE)-IF(C125&gt;2020,SUM(INDEX($C$1:$D$311,MATCH(1,(2020=$C$1:$C$311)*(B125=$B$1:$B$311)*(A125=$A$1:$A$311),0),2):D124),0))</f>
        <v>0</v>
      </c>
      <c r="E125" s="168">
        <f ca="1">IF(C125=2020,SUM(G125:AJ125),SUM(F124:AJ124)-SUM(G125:AJ125))</f>
        <v>0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8">
        <f ca="1">IF($C125-G$1&lt;År1,0,F124*(1-VLOOKUP($A125,[1]Hugst!$R$5:$W$9,MATCH(ROUNDUP((G$1)/10,0)*10,[1]Hugst!$R$4:$W$4,0))))</f>
        <v>0</v>
      </c>
      <c r="H125" s="168">
        <f ca="1">IF($C125-H$1&lt;År1,0,G124*(1-VLOOKUP($A125,[1]Hugst!$R$5:$W$9,MATCH(ROUNDUP((H$1)/10,0)*10,[1]Hugst!$R$4:$W$4,0))))</f>
        <v>0</v>
      </c>
      <c r="I125" s="168">
        <f ca="1">IF($C125-I$1&lt;År1,0,H124*(1-VLOOKUP($A125,[1]Hugst!$R$5:$W$9,MATCH(ROUNDUP((I$1)/10,0)*10,[1]Hugst!$R$4:$W$4,0))))</f>
        <v>0</v>
      </c>
      <c r="J125" s="168">
        <f ca="1">IF($C125-J$1&lt;År1,0,I124*(1-VLOOKUP($A125,[1]Hugst!$R$5:$W$9,MATCH(ROUNDUP((J$1)/10,0)*10,[1]Hugst!$R$4:$W$4,0))))</f>
        <v>0</v>
      </c>
      <c r="K125" s="168">
        <f ca="1">IF($C125-K$1&lt;År1,0,J124*(1-VLOOKUP($A125,[1]Hugst!$R$5:$W$9,MATCH(ROUNDUP((K$1)/10,0)*10,[1]Hugst!$R$4:$W$4,0))))</f>
        <v>0</v>
      </c>
      <c r="L125" s="168">
        <f ca="1">IF($C125-L$1&lt;År1,0,K124*(1-VLOOKUP($A125,[1]Hugst!$R$5:$W$9,MATCH(ROUNDUP((L$1)/10,0)*10,[1]Hugst!$R$4:$W$4,0))))</f>
        <v>0</v>
      </c>
      <c r="M125" s="168">
        <f ca="1">IF($C125-M$1&lt;År1,0,L124*(1-VLOOKUP($A125,[1]Hugst!$R$5:$W$9,MATCH(ROUNDUP((M$1)/10,0)*10,[1]Hugst!$R$4:$W$4,0))))</f>
        <v>0</v>
      </c>
      <c r="N125" s="168">
        <f ca="1">IF($C125-N$1&lt;År1,0,M124*(1-VLOOKUP($A125,[1]Hugst!$R$5:$W$9,MATCH(ROUNDUP((N$1)/10,0)*10,[1]Hugst!$R$4:$W$4,0))))</f>
        <v>0</v>
      </c>
      <c r="O125" s="168">
        <f ca="1">IF($C125-O$1&lt;År1,0,N124*(1-VLOOKUP($A125,[1]Hugst!$R$5:$W$9,MATCH(ROUNDUP((O$1)/10,0)*10,[1]Hugst!$R$4:$W$4,0))))</f>
        <v>0</v>
      </c>
      <c r="P125" s="168">
        <f ca="1">IF($C125-P$1&lt;År1,0,O124*(1-VLOOKUP($A125,[1]Hugst!$R$5:$W$9,MATCH(ROUNDUP((P$1)/10,0)*10,[1]Hugst!$R$4:$W$4,0))))</f>
        <v>0</v>
      </c>
      <c r="Q125" s="168">
        <f ca="1">IF($C125-Q$1&lt;År1,0,P124*(1-VLOOKUP($A125,[1]Hugst!$R$5:$W$9,MATCH(ROUNDUP((Q$1)/10,0)*10,[1]Hugst!$R$4:$W$4,0))))</f>
        <v>0</v>
      </c>
      <c r="R125" s="168">
        <f ca="1">IF($C125-R$1&lt;År1,0,Q124*(1-VLOOKUP($A125,[1]Hugst!$R$5:$W$9,MATCH(ROUNDUP((R$1)/10,0)*10,[1]Hugst!$R$4:$W$4,0))))</f>
        <v>0</v>
      </c>
      <c r="S125" s="168">
        <f ca="1">IF($C125-S$1&lt;År1,0,R124*(1-VLOOKUP($A125,[1]Hugst!$R$5:$W$9,MATCH(ROUNDUP((S$1)/10,0)*10,[1]Hugst!$R$4:$W$4,0))))</f>
        <v>0</v>
      </c>
      <c r="T125" s="168">
        <f ca="1">IF($C125-T$1&lt;År1,0,S124*(1-VLOOKUP($A125,[1]Hugst!$R$5:$W$9,MATCH(ROUNDUP((T$1)/10,0)*10,[1]Hugst!$R$4:$W$4,0))))</f>
        <v>0</v>
      </c>
      <c r="U125" s="168">
        <f ca="1">IF($C125-U$1&lt;År1,0,T124*(1-VLOOKUP($A125,[1]Hugst!$R$5:$W$9,MATCH(ROUNDUP((U$1)/10,0)*10,[1]Hugst!$R$4:$W$4,0))))</f>
        <v>0</v>
      </c>
      <c r="V125" s="168">
        <f ca="1">IF($C125-V$1&lt;År1,0,U124*(1-VLOOKUP($A125,[1]Hugst!$R$5:$W$9,MATCH(ROUNDUP((V$1)/10,0)*10,[1]Hugst!$R$4:$W$4,0))))</f>
        <v>0</v>
      </c>
      <c r="W125" s="168">
        <f ca="1">IF($C125-W$1&lt;År1,0,V124*(1-VLOOKUP($A125,[1]Hugst!$R$5:$W$9,MATCH(ROUNDUP((W$1)/10,0)*10,[1]Hugst!$R$4:$W$4,0))))</f>
        <v>0</v>
      </c>
      <c r="X125" s="168">
        <f ca="1">IF($C125-X$1&lt;År1,0,W124*(1-VLOOKUP($A125,[1]Hugst!$R$5:$W$9,MATCH(ROUNDUP((X$1)/10,0)*10,[1]Hugst!$R$4:$W$4,0))))</f>
        <v>0</v>
      </c>
      <c r="Y125" s="168">
        <f ca="1">IF($C125-Y$1&lt;År1,0,X124*(1-VLOOKUP($A125,[1]Hugst!$R$5:$W$9,MATCH(ROUNDUP((Y$1)/10,0)*10,[1]Hugst!$R$4:$W$4,0))))</f>
        <v>0</v>
      </c>
      <c r="Z125" s="168">
        <f ca="1">IF($C125-Z$1&lt;År1,0,Y124*(1-VLOOKUP($A125,[1]Hugst!$R$5:$W$9,MATCH(ROUNDUP((Z$1)/10,0)*10,[1]Hugst!$R$4:$W$4,0))))</f>
        <v>0</v>
      </c>
      <c r="AA125" s="168">
        <f ca="1">IF($C125-AA$1&lt;År1,0,Z124*(1-VLOOKUP($A125,[1]Hugst!$R$5:$W$9,MATCH(ROUNDUP((AA$1)/10,0)*10,[1]Hugst!$R$4:$W$4,0))))</f>
        <v>0</v>
      </c>
      <c r="AB125" s="168">
        <f ca="1">IF($C125-AB$1&lt;År1,0,AA124*(1-VLOOKUP($A125,[1]Hugst!$R$5:$W$9,MATCH(ROUNDUP((AB$1)/10,0)*10,[1]Hugst!$R$4:$W$4,0))))</f>
        <v>0</v>
      </c>
      <c r="AC125" s="168">
        <f ca="1">IF($C125-AC$1&lt;År1,0,AB124*(1-VLOOKUP($A125,[1]Hugst!$R$5:$W$9,MATCH(ROUNDUP((AC$1)/10,0)*10,[1]Hugst!$R$4:$W$4,0))))</f>
        <v>0</v>
      </c>
      <c r="AD125" s="168">
        <f ca="1">IF($C125-AD$1&lt;År1,0,AC124*(1-VLOOKUP($A125,[1]Hugst!$R$5:$W$9,MATCH(ROUNDUP((AD$1)/10,0)*10,[1]Hugst!$R$4:$W$4,0))))</f>
        <v>0</v>
      </c>
      <c r="AE125" s="168">
        <f ca="1">IF($C125-AE$1&lt;År1,0,AD124*(1-VLOOKUP($A125,[1]Hugst!$R$5:$W$9,MATCH(ROUNDUP((AE$1)/10,0)*10,[1]Hugst!$R$4:$W$4,0))))</f>
        <v>0</v>
      </c>
      <c r="AF125" s="168">
        <f ca="1">IF($C125-AF$1&lt;År1,0,AE124*(1-VLOOKUP($A125,[1]Hugst!$R$5:$W$9,MATCH(ROUNDUP((AF$1)/10,0)*10,[1]Hugst!$R$4:$W$4,0))))</f>
        <v>0</v>
      </c>
      <c r="AG125" s="168">
        <f ca="1">IF($C125-AG$1&lt;År1,0,AF124*(1-VLOOKUP($A125,[1]Hugst!$R$5:$W$9,MATCH(ROUNDUP((AG$1)/10,0)*10,[1]Hugst!$R$4:$W$4,0))))</f>
        <v>0</v>
      </c>
      <c r="AH125" s="168">
        <f ca="1">IF($C125-AH$1&lt;År1,0,AG124*(1-VLOOKUP($A125,[1]Hugst!$R$5:$W$9,MATCH(ROUNDUP((AH$1)/10,0)*10,[1]Hugst!$R$4:$W$4,0))))</f>
        <v>0</v>
      </c>
      <c r="AI125" s="168">
        <f ca="1">IF($C125-AI$1&lt;År1,0,AH124*(1-VLOOKUP($A125,[1]Hugst!$R$5:$W$9,MATCH(ROUNDUP((AI$1)/10,0)*10,[1]Hugst!$R$4:$W$4,0))))</f>
        <v>0</v>
      </c>
      <c r="AJ125" s="168">
        <f ca="1">IF($C125-AJ$1&lt;År1,0,AI124*(1-VLOOKUP($A125,[1]Hugst!$R$5:$W$9,MATCH(ROUNDUP((AJ$1)/10,0)*10,[1]Hugst!$R$4:$W$4,0))))</f>
        <v>0</v>
      </c>
      <c r="AL125" s="168">
        <f ca="1">SUM(F125:AJ125)</f>
        <v>0</v>
      </c>
    </row>
    <row r="126" spans="1:38" x14ac:dyDescent="0.25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*VLOOKUP(A126,Skovbrug!$A$13:$D$17,IF('Skovbrug-alder'!C126&lt;=År2,3,4),FALSE)-IF(C126&gt;2020,SUM(INDEX($C$1:$D$311,MATCH(1,(2020=$C$1:$C$311)*(B126=$B$1:$B$311)*(A126=$A$1:$A$311),0),2):D125),0))</f>
        <v>1087.6613040576631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3518.4761188724765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*VLOOKUP(A127,Skovbrug!$A$13:$D$17,IF('Skovbrug-alder'!C127&lt;=År2,3,4),FALSE)-IF(C127&gt;2020,SUM(INDEX($C$1:$D$311,MATCH(1,(2020=$C$1:$C$311)*(B127=$B$1:$B$311)*(A127=$A$1:$A$311),0),2):D126),0))</f>
        <v>1082.2229975373484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3513.0378123521618</v>
      </c>
      <c r="G127" s="168">
        <f ca="1">IF($C127-G$1&lt;År1,0,F126*(1-VLOOKUP($A127,[1]Hugst!$R$5:$W$9,MATCH(ROUNDUP((G$1)/10,0)*10,[1]Hugst!$R$4:$W$4,0))))</f>
        <v>3518.4761188724765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481469.23000787059</v>
      </c>
    </row>
    <row r="128" spans="1:38" x14ac:dyDescent="0.25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*VLOOKUP(A128,Skovbrug!$A$13:$D$17,IF('Skovbrug-alder'!C128&lt;=År2,3,4),FALSE)-IF(C128&gt;2020,SUM(INDEX($C$1:$D$311,MATCH(1,(2020=$C$1:$C$311)*(B128=$B$1:$B$311)*(A128=$A$1:$A$311),0),2):D127),0))</f>
        <v>1076.8118825496931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3507.6266973645065</v>
      </c>
      <c r="G128" s="168">
        <f ca="1">IF($C128-G$1&lt;År1,0,F127*(1-VLOOKUP($A128,[1]Hugst!$R$5:$W$9,MATCH(ROUNDUP((G$1)/10,0)*10,[1]Hugst!$R$4:$W$4,0))))</f>
        <v>3513.0378123521618</v>
      </c>
      <c r="H128" s="168">
        <f ca="1">IF($C128-H$1&lt;År1,0,G127*(1-VLOOKUP($A128,[1]Hugst!$R$5:$W$9,MATCH(ROUNDUP((H$1)/10,0)*10,[1]Hugst!$R$4:$W$4,0))))</f>
        <v>3518.4761188724765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*VLOOKUP(A129,Skovbrug!$A$13:$D$17,IF('Skovbrug-alder'!C129&lt;=År2,3,4),FALSE)-IF(C129&gt;2020,SUM(INDEX($C$1:$D$311,MATCH(1,(2020=$C$1:$C$311)*(B129=$B$1:$B$311)*(A129=$A$1:$A$311),0),2):D128),0))</f>
        <v>1071.427823136939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3502.2426379517524</v>
      </c>
      <c r="G129" s="168">
        <f ca="1">IF($C129-G$1&lt;År1,0,F128*(1-VLOOKUP($A129,[1]Hugst!$R$5:$W$9,MATCH(ROUNDUP((G$1)/10,0)*10,[1]Hugst!$R$4:$W$4,0))))</f>
        <v>3507.6266973645065</v>
      </c>
      <c r="H129" s="168">
        <f ca="1">IF($C129-H$1&lt;År1,0,G128*(1-VLOOKUP($A129,[1]Hugst!$R$5:$W$9,MATCH(ROUNDUP((H$1)/10,0)*10,[1]Hugst!$R$4:$W$4,0))))</f>
        <v>3513.0378123521618</v>
      </c>
      <c r="I129" s="168">
        <f ca="1">IF($C129-I$1&lt;År1,0,H128*(1-VLOOKUP($A129,[1]Hugst!$R$5:$W$9,MATCH(ROUNDUP((I$1)/10,0)*10,[1]Hugst!$R$4:$W$4,0))))</f>
        <v>3518.4761188724765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*VLOOKUP(A130,Skovbrug!$A$13:$D$17,IF('Skovbrug-alder'!C130&lt;=År2,3,4),FALSE)-IF(C130&gt;2020,SUM(INDEX($C$1:$D$311,MATCH(1,(2020=$C$1:$C$311)*(B130=$B$1:$B$311)*(A130=$A$1:$A$311),0),2):D129),0))</f>
        <v>1066.0706840212515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3496.8854988360649</v>
      </c>
      <c r="G130" s="168">
        <f ca="1">IF($C130-G$1&lt;År1,0,F129*(1-VLOOKUP($A130,[1]Hugst!$R$5:$W$9,MATCH(ROUNDUP((G$1)/10,0)*10,[1]Hugst!$R$4:$W$4,0))))</f>
        <v>3502.2426379517524</v>
      </c>
      <c r="H130" s="168">
        <f ca="1">IF($C130-H$1&lt;År1,0,G129*(1-VLOOKUP($A130,[1]Hugst!$R$5:$W$9,MATCH(ROUNDUP((H$1)/10,0)*10,[1]Hugst!$R$4:$W$4,0))))</f>
        <v>3507.6266973645065</v>
      </c>
      <c r="I130" s="168">
        <f ca="1">IF($C130-I$1&lt;År1,0,H129*(1-VLOOKUP($A130,[1]Hugst!$R$5:$W$9,MATCH(ROUNDUP((I$1)/10,0)*10,[1]Hugst!$R$4:$W$4,0))))</f>
        <v>3513.0378123521618</v>
      </c>
      <c r="J130" s="168">
        <f ca="1">IF($C130-J$1&lt;År1,0,I129*(1-VLOOKUP($A130,[1]Hugst!$R$5:$W$9,MATCH(ROUNDUP((J$1)/10,0)*10,[1]Hugst!$R$4:$W$4,0))))</f>
        <v>3518.4761188724765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*VLOOKUP(A131,Skovbrug!$A$13:$D$17,IF('Skovbrug-alder'!C131&lt;=År2,3,4),FALSE)-IF(C131&gt;2020,SUM(INDEX($C$1:$D$311,MATCH(1,(2020=$C$1:$C$311)*(B131=$B$1:$B$311)*(A131=$A$1:$A$311),0),2):D130),0))</f>
        <v>1060.7403306011402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3491.5551454159536</v>
      </c>
      <c r="G131" s="168">
        <f ca="1">IF($C131-G$1&lt;År1,0,F130*(1-VLOOKUP($A131,[1]Hugst!$R$5:$W$9,MATCH(ROUNDUP((G$1)/10,0)*10,[1]Hugst!$R$4:$W$4,0))))</f>
        <v>3496.8854988360649</v>
      </c>
      <c r="H131" s="168">
        <f ca="1">IF($C131-H$1&lt;År1,0,G130*(1-VLOOKUP($A131,[1]Hugst!$R$5:$W$9,MATCH(ROUNDUP((H$1)/10,0)*10,[1]Hugst!$R$4:$W$4,0))))</f>
        <v>3502.2426379517524</v>
      </c>
      <c r="I131" s="168">
        <f ca="1">IF($C131-I$1&lt;År1,0,H130*(1-VLOOKUP($A131,[1]Hugst!$R$5:$W$9,MATCH(ROUNDUP((I$1)/10,0)*10,[1]Hugst!$R$4:$W$4,0))))</f>
        <v>3507.6266973645065</v>
      </c>
      <c r="J131" s="168">
        <f ca="1">IF($C131-J$1&lt;År1,0,I130*(1-VLOOKUP($A131,[1]Hugst!$R$5:$W$9,MATCH(ROUNDUP((J$1)/10,0)*10,[1]Hugst!$R$4:$W$4,0))))</f>
        <v>3513.0378123521618</v>
      </c>
      <c r="K131" s="168">
        <f ca="1">IF($C131-K$1&lt;År1,0,J130*(1-VLOOKUP($A131,[1]Hugst!$R$5:$W$9,MATCH(ROUNDUP((K$1)/10,0)*10,[1]Hugst!$R$4:$W$4,0))))</f>
        <v>3518.4761188724765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*VLOOKUP(A132,Skovbrug!$A$13:$D$17,IF('Skovbrug-alder'!C132&lt;=År2,3,4),FALSE)-IF(C132&gt;2020,SUM(INDEX($C$1:$D$311,MATCH(1,(2020=$C$1:$C$311)*(B132=$B$1:$B$311)*(A132=$A$1:$A$311),0),2):D131),0))</f>
        <v>1055.4366289481404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3486.2514437629538</v>
      </c>
      <c r="G132" s="168">
        <f ca="1">IF($C132-G$1&lt;År1,0,F131*(1-VLOOKUP($A132,[1]Hugst!$R$5:$W$9,MATCH(ROUNDUP((G$1)/10,0)*10,[1]Hugst!$R$4:$W$4,0))))</f>
        <v>3491.5551454159536</v>
      </c>
      <c r="H132" s="168">
        <f ca="1">IF($C132-H$1&lt;År1,0,G131*(1-VLOOKUP($A132,[1]Hugst!$R$5:$W$9,MATCH(ROUNDUP((H$1)/10,0)*10,[1]Hugst!$R$4:$W$4,0))))</f>
        <v>3496.8854988360649</v>
      </c>
      <c r="I132" s="168">
        <f ca="1">IF($C132-I$1&lt;År1,0,H131*(1-VLOOKUP($A132,[1]Hugst!$R$5:$W$9,MATCH(ROUNDUP((I$1)/10,0)*10,[1]Hugst!$R$4:$W$4,0))))</f>
        <v>3502.2426379517524</v>
      </c>
      <c r="J132" s="168">
        <f ca="1">IF($C132-J$1&lt;År1,0,I131*(1-VLOOKUP($A132,[1]Hugst!$R$5:$W$9,MATCH(ROUNDUP((J$1)/10,0)*10,[1]Hugst!$R$4:$W$4,0))))</f>
        <v>3507.6266973645065</v>
      </c>
      <c r="K132" s="168">
        <f ca="1">IF($C132-K$1&lt;År1,0,J131*(1-VLOOKUP($A132,[1]Hugst!$R$5:$W$9,MATCH(ROUNDUP((K$1)/10,0)*10,[1]Hugst!$R$4:$W$4,0))))</f>
        <v>3513.0378123521618</v>
      </c>
      <c r="L132" s="168">
        <f ca="1">IF($C132-L$1&lt;År1,0,K131*(1-VLOOKUP($A132,[1]Hugst!$R$5:$W$9,MATCH(ROUNDUP((L$1)/10,0)*10,[1]Hugst!$R$4:$W$4,0))))</f>
        <v>3518.4761188724765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*VLOOKUP(A133,Skovbrug!$A$13:$D$17,IF('Skovbrug-alder'!C133&lt;=År2,3,4),FALSE)-IF(C133&gt;2020,SUM(INDEX($C$1:$D$311,MATCH(1,(2020=$C$1:$C$311)*(B133=$B$1:$B$311)*(A133=$A$1:$A$311),0),2):D132),0))</f>
        <v>1050.1594458034087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3480.9742606182222</v>
      </c>
      <c r="G133" s="168">
        <f ca="1">IF($C133-G$1&lt;År1,0,F132*(1-VLOOKUP($A133,[1]Hugst!$R$5:$W$9,MATCH(ROUNDUP((G$1)/10,0)*10,[1]Hugst!$R$4:$W$4,0))))</f>
        <v>3486.2514437629538</v>
      </c>
      <c r="H133" s="168">
        <f ca="1">IF($C133-H$1&lt;År1,0,G132*(1-VLOOKUP($A133,[1]Hugst!$R$5:$W$9,MATCH(ROUNDUP((H$1)/10,0)*10,[1]Hugst!$R$4:$W$4,0))))</f>
        <v>3491.5551454159536</v>
      </c>
      <c r="I133" s="168">
        <f ca="1">IF($C133-I$1&lt;År1,0,H132*(1-VLOOKUP($A133,[1]Hugst!$R$5:$W$9,MATCH(ROUNDUP((I$1)/10,0)*10,[1]Hugst!$R$4:$W$4,0))))</f>
        <v>3496.8854988360649</v>
      </c>
      <c r="J133" s="168">
        <f ca="1">IF($C133-J$1&lt;År1,0,I132*(1-VLOOKUP($A133,[1]Hugst!$R$5:$W$9,MATCH(ROUNDUP((J$1)/10,0)*10,[1]Hugst!$R$4:$W$4,0))))</f>
        <v>3502.2426379517524</v>
      </c>
      <c r="K133" s="168">
        <f ca="1">IF($C133-K$1&lt;År1,0,J132*(1-VLOOKUP($A133,[1]Hugst!$R$5:$W$9,MATCH(ROUNDUP((K$1)/10,0)*10,[1]Hugst!$R$4:$W$4,0))))</f>
        <v>3507.6266973645065</v>
      </c>
      <c r="L133" s="168">
        <f ca="1">IF($C133-L$1&lt;År1,0,K132*(1-VLOOKUP($A133,[1]Hugst!$R$5:$W$9,MATCH(ROUNDUP((L$1)/10,0)*10,[1]Hugst!$R$4:$W$4,0))))</f>
        <v>3513.0378123521618</v>
      </c>
      <c r="M133" s="168">
        <f ca="1">IF($C133-M$1&lt;År1,0,L132*(1-VLOOKUP($A133,[1]Hugst!$R$5:$W$9,MATCH(ROUNDUP((M$1)/10,0)*10,[1]Hugst!$R$4:$W$4,0))))</f>
        <v>3518.4761188724765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*VLOOKUP(A134,Skovbrug!$A$13:$D$17,IF('Skovbrug-alder'!C134&lt;=År2,3,4),FALSE)-IF(C134&gt;2020,SUM(INDEX($C$1:$D$311,MATCH(1,(2020=$C$1:$C$311)*(B134=$B$1:$B$311)*(A134=$A$1:$A$311),0),2):D133),0))</f>
        <v>1044.9086485744047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3475.7234633892181</v>
      </c>
      <c r="G134" s="168">
        <f ca="1">IF($C134-G$1&lt;År1,0,F133*(1-VLOOKUP($A134,[1]Hugst!$R$5:$W$9,MATCH(ROUNDUP((G$1)/10,0)*10,[1]Hugst!$R$4:$W$4,0))))</f>
        <v>3480.9742606182222</v>
      </c>
      <c r="H134" s="168">
        <f ca="1">IF($C134-H$1&lt;År1,0,G133*(1-VLOOKUP($A134,[1]Hugst!$R$5:$W$9,MATCH(ROUNDUP((H$1)/10,0)*10,[1]Hugst!$R$4:$W$4,0))))</f>
        <v>3486.2514437629538</v>
      </c>
      <c r="I134" s="168">
        <f ca="1">IF($C134-I$1&lt;År1,0,H133*(1-VLOOKUP($A134,[1]Hugst!$R$5:$W$9,MATCH(ROUNDUP((I$1)/10,0)*10,[1]Hugst!$R$4:$W$4,0))))</f>
        <v>3491.5551454159536</v>
      </c>
      <c r="J134" s="168">
        <f ca="1">IF($C134-J$1&lt;År1,0,I133*(1-VLOOKUP($A134,[1]Hugst!$R$5:$W$9,MATCH(ROUNDUP((J$1)/10,0)*10,[1]Hugst!$R$4:$W$4,0))))</f>
        <v>3496.8854988360649</v>
      </c>
      <c r="K134" s="168">
        <f ca="1">IF($C134-K$1&lt;År1,0,J133*(1-VLOOKUP($A134,[1]Hugst!$R$5:$W$9,MATCH(ROUNDUP((K$1)/10,0)*10,[1]Hugst!$R$4:$W$4,0))))</f>
        <v>3502.2426379517524</v>
      </c>
      <c r="L134" s="168">
        <f ca="1">IF($C134-L$1&lt;År1,0,K133*(1-VLOOKUP($A134,[1]Hugst!$R$5:$W$9,MATCH(ROUNDUP((L$1)/10,0)*10,[1]Hugst!$R$4:$W$4,0))))</f>
        <v>3507.6266973645065</v>
      </c>
      <c r="M134" s="168">
        <f ca="1">IF($C134-M$1&lt;År1,0,L133*(1-VLOOKUP($A134,[1]Hugst!$R$5:$W$9,MATCH(ROUNDUP((M$1)/10,0)*10,[1]Hugst!$R$4:$W$4,0))))</f>
        <v>3513.0378123521618</v>
      </c>
      <c r="N134" s="168">
        <f ca="1">IF($C134-N$1&lt;År1,0,M133*(1-VLOOKUP($A134,[1]Hugst!$R$5:$W$9,MATCH(ROUNDUP((N$1)/10,0)*10,[1]Hugst!$R$4:$W$4,0))))</f>
        <v>3518.4761188724765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*VLOOKUP(A135,Skovbrug!$A$13:$D$17,IF('Skovbrug-alder'!C135&lt;=År2,3,4),FALSE)-IF(C135&gt;2020,SUM(INDEX($C$1:$D$311,MATCH(1,(2020=$C$1:$C$311)*(B135=$B$1:$B$311)*(A135=$A$1:$A$311),0),2):D134),0))</f>
        <v>1039.6841053314856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3470.498920146299</v>
      </c>
      <c r="G135" s="168">
        <f ca="1">IF($C135-G$1&lt;År1,0,F134*(1-VLOOKUP($A135,[1]Hugst!$R$5:$W$9,MATCH(ROUNDUP((G$1)/10,0)*10,[1]Hugst!$R$4:$W$4,0))))</f>
        <v>3475.7234633892181</v>
      </c>
      <c r="H135" s="168">
        <f ca="1">IF($C135-H$1&lt;År1,0,G134*(1-VLOOKUP($A135,[1]Hugst!$R$5:$W$9,MATCH(ROUNDUP((H$1)/10,0)*10,[1]Hugst!$R$4:$W$4,0))))</f>
        <v>3480.9742606182222</v>
      </c>
      <c r="I135" s="168">
        <f ca="1">IF($C135-I$1&lt;År1,0,H134*(1-VLOOKUP($A135,[1]Hugst!$R$5:$W$9,MATCH(ROUNDUP((I$1)/10,0)*10,[1]Hugst!$R$4:$W$4,0))))</f>
        <v>3486.2514437629538</v>
      </c>
      <c r="J135" s="168">
        <f ca="1">IF($C135-J$1&lt;År1,0,I134*(1-VLOOKUP($A135,[1]Hugst!$R$5:$W$9,MATCH(ROUNDUP((J$1)/10,0)*10,[1]Hugst!$R$4:$W$4,0))))</f>
        <v>3491.5551454159536</v>
      </c>
      <c r="K135" s="168">
        <f ca="1">IF($C135-K$1&lt;År1,0,J134*(1-VLOOKUP($A135,[1]Hugst!$R$5:$W$9,MATCH(ROUNDUP((K$1)/10,0)*10,[1]Hugst!$R$4:$W$4,0))))</f>
        <v>3496.8854988360649</v>
      </c>
      <c r="L135" s="168">
        <f ca="1">IF($C135-L$1&lt;År1,0,K134*(1-VLOOKUP($A135,[1]Hugst!$R$5:$W$9,MATCH(ROUNDUP((L$1)/10,0)*10,[1]Hugst!$R$4:$W$4,0))))</f>
        <v>3502.2426379517524</v>
      </c>
      <c r="M135" s="168">
        <f ca="1">IF($C135-M$1&lt;År1,0,L134*(1-VLOOKUP($A135,[1]Hugst!$R$5:$W$9,MATCH(ROUNDUP((M$1)/10,0)*10,[1]Hugst!$R$4:$W$4,0))))</f>
        <v>3507.6266973645065</v>
      </c>
      <c r="N135" s="168">
        <f ca="1">IF($C135-N$1&lt;År1,0,M134*(1-VLOOKUP($A135,[1]Hugst!$R$5:$W$9,MATCH(ROUNDUP((N$1)/10,0)*10,[1]Hugst!$R$4:$W$4,0))))</f>
        <v>3513.0378123521618</v>
      </c>
      <c r="O135" s="168">
        <f ca="1">IF($C135-O$1&lt;År1,0,N134*(1-VLOOKUP($A135,[1]Hugst!$R$5:$W$9,MATCH(ROUNDUP((O$1)/10,0)*10,[1]Hugst!$R$4:$W$4,0))))</f>
        <v>3518.4761188724765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*VLOOKUP(A136,Skovbrug!$A$13:$D$17,IF('Skovbrug-alder'!C136&lt;=År2,3,4),FALSE)-IF(C136&gt;2020,SUM(INDEX($C$1:$D$311,MATCH(1,(2020=$C$1:$C$311)*(B136=$B$1:$B$311)*(A136=$A$1:$A$311),0),2):D135),0))</f>
        <v>1034.4856848048803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3465.3004996196937</v>
      </c>
      <c r="G136" s="168">
        <f ca="1">IF($C136-G$1&lt;År1,0,F135*(1-VLOOKUP($A136,[1]Hugst!$R$5:$W$9,MATCH(ROUNDUP((G$1)/10,0)*10,[1]Hugst!$R$4:$W$4,0))))</f>
        <v>3470.498920146299</v>
      </c>
      <c r="H136" s="168">
        <f ca="1">IF($C136-H$1&lt;År1,0,G135*(1-VLOOKUP($A136,[1]Hugst!$R$5:$W$9,MATCH(ROUNDUP((H$1)/10,0)*10,[1]Hugst!$R$4:$W$4,0))))</f>
        <v>3475.7234633892181</v>
      </c>
      <c r="I136" s="168">
        <f ca="1">IF($C136-I$1&lt;År1,0,H135*(1-VLOOKUP($A136,[1]Hugst!$R$5:$W$9,MATCH(ROUNDUP((I$1)/10,0)*10,[1]Hugst!$R$4:$W$4,0))))</f>
        <v>3480.9742606182222</v>
      </c>
      <c r="J136" s="168">
        <f ca="1">IF($C136-J$1&lt;År1,0,I135*(1-VLOOKUP($A136,[1]Hugst!$R$5:$W$9,MATCH(ROUNDUP((J$1)/10,0)*10,[1]Hugst!$R$4:$W$4,0))))</f>
        <v>3486.2514437629538</v>
      </c>
      <c r="K136" s="168">
        <f ca="1">IF($C136-K$1&lt;År1,0,J135*(1-VLOOKUP($A136,[1]Hugst!$R$5:$W$9,MATCH(ROUNDUP((K$1)/10,0)*10,[1]Hugst!$R$4:$W$4,0))))</f>
        <v>3491.5551454159536</v>
      </c>
      <c r="L136" s="168">
        <f ca="1">IF($C136-L$1&lt;År1,0,K135*(1-VLOOKUP($A136,[1]Hugst!$R$5:$W$9,MATCH(ROUNDUP((L$1)/10,0)*10,[1]Hugst!$R$4:$W$4,0))))</f>
        <v>3496.8854988360649</v>
      </c>
      <c r="M136" s="168">
        <f ca="1">IF($C136-M$1&lt;År1,0,L135*(1-VLOOKUP($A136,[1]Hugst!$R$5:$W$9,MATCH(ROUNDUP((M$1)/10,0)*10,[1]Hugst!$R$4:$W$4,0))))</f>
        <v>3502.2426379517524</v>
      </c>
      <c r="N136" s="168">
        <f ca="1">IF($C136-N$1&lt;År1,0,M135*(1-VLOOKUP($A136,[1]Hugst!$R$5:$W$9,MATCH(ROUNDUP((N$1)/10,0)*10,[1]Hugst!$R$4:$W$4,0))))</f>
        <v>3507.6266973645065</v>
      </c>
      <c r="O136" s="168">
        <f ca="1">IF($C136-O$1&lt;År1,0,N135*(1-VLOOKUP($A136,[1]Hugst!$R$5:$W$9,MATCH(ROUNDUP((O$1)/10,0)*10,[1]Hugst!$R$4:$W$4,0))))</f>
        <v>3513.0378123521618</v>
      </c>
      <c r="P136" s="168">
        <f ca="1">IF($C136-P$1&lt;År1,0,O135*(1-VLOOKUP($A136,[1]Hugst!$R$5:$W$9,MATCH(ROUNDUP((P$1)/10,0)*10,[1]Hugst!$R$4:$W$4,0))))</f>
        <v>3518.4761188724765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*VLOOKUP(A137,Skovbrug!$A$13:$D$17,IF('Skovbrug-alder'!C137&lt;=År2,3,4),FALSE)-IF(C137&gt;2020,SUM(INDEX($C$1:$D$311,MATCH(1,(2020=$C$1:$C$311)*(B137=$B$1:$B$311)*(A137=$A$1:$A$311),0),2):D136),0))</f>
        <v>1029.3132563807885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3460.1280711956033</v>
      </c>
      <c r="G137" s="168">
        <f ca="1">IF($C137-G$1&lt;År1,0,F136*(1-VLOOKUP($A137,[1]Hugst!$R$5:$W$9,MATCH(ROUNDUP((G$1)/10,0)*10,[1]Hugst!$R$4:$W$4,0))))</f>
        <v>3465.3004996196937</v>
      </c>
      <c r="H137" s="168">
        <f ca="1">IF($C137-H$1&lt;År1,0,G136*(1-VLOOKUP($A137,[1]Hugst!$R$5:$W$9,MATCH(ROUNDUP((H$1)/10,0)*10,[1]Hugst!$R$4:$W$4,0))))</f>
        <v>3470.498920146299</v>
      </c>
      <c r="I137" s="168">
        <f ca="1">IF($C137-I$1&lt;År1,0,H136*(1-VLOOKUP($A137,[1]Hugst!$R$5:$W$9,MATCH(ROUNDUP((I$1)/10,0)*10,[1]Hugst!$R$4:$W$4,0))))</f>
        <v>3475.7234633892181</v>
      </c>
      <c r="J137" s="168">
        <f ca="1">IF($C137-J$1&lt;År1,0,I136*(1-VLOOKUP($A137,[1]Hugst!$R$5:$W$9,MATCH(ROUNDUP((J$1)/10,0)*10,[1]Hugst!$R$4:$W$4,0))))</f>
        <v>3480.9742606182222</v>
      </c>
      <c r="K137" s="168">
        <f ca="1">IF($C137-K$1&lt;År1,0,J136*(1-VLOOKUP($A137,[1]Hugst!$R$5:$W$9,MATCH(ROUNDUP((K$1)/10,0)*10,[1]Hugst!$R$4:$W$4,0))))</f>
        <v>3486.2514437629538</v>
      </c>
      <c r="L137" s="168">
        <f ca="1">IF($C137-L$1&lt;År1,0,K136*(1-VLOOKUP($A137,[1]Hugst!$R$5:$W$9,MATCH(ROUNDUP((L$1)/10,0)*10,[1]Hugst!$R$4:$W$4,0))))</f>
        <v>3491.5551454159536</v>
      </c>
      <c r="M137" s="168">
        <f ca="1">IF($C137-M$1&lt;År1,0,L136*(1-VLOOKUP($A137,[1]Hugst!$R$5:$W$9,MATCH(ROUNDUP((M$1)/10,0)*10,[1]Hugst!$R$4:$W$4,0))))</f>
        <v>3496.8854988360649</v>
      </c>
      <c r="N137" s="168">
        <f ca="1">IF($C137-N$1&lt;År1,0,M136*(1-VLOOKUP($A137,[1]Hugst!$R$5:$W$9,MATCH(ROUNDUP((N$1)/10,0)*10,[1]Hugst!$R$4:$W$4,0))))</f>
        <v>3502.2426379517524</v>
      </c>
      <c r="O137" s="168">
        <f ca="1">IF($C137-O$1&lt;År1,0,N136*(1-VLOOKUP($A137,[1]Hugst!$R$5:$W$9,MATCH(ROUNDUP((O$1)/10,0)*10,[1]Hugst!$R$4:$W$4,0))))</f>
        <v>3507.6266973645065</v>
      </c>
      <c r="P137" s="168">
        <f ca="1">IF($C137-P$1&lt;År1,0,O136*(1-VLOOKUP($A137,[1]Hugst!$R$5:$W$9,MATCH(ROUNDUP((P$1)/10,0)*10,[1]Hugst!$R$4:$W$4,0))))</f>
        <v>3513.0378123521618</v>
      </c>
      <c r="Q137" s="168">
        <f ca="1">IF($C137-Q$1&lt;År1,0,P136*(1-VLOOKUP($A137,[1]Hugst!$R$5:$W$9,MATCH(ROUNDUP((Q$1)/10,0)*10,[1]Hugst!$R$4:$W$4,0))))</f>
        <v>3518.4761188724765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*VLOOKUP(A138,Skovbrug!$A$13:$D$17,IF('Skovbrug-alder'!C138&lt;=År2,3,4),FALSE)-IF(C138&gt;2020,SUM(INDEX($C$1:$D$311,MATCH(1,(2020=$C$1:$C$311)*(B138=$B$1:$B$311)*(A138=$A$1:$A$311),0),2):D137),0))</f>
        <v>1024.1666900989367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3454.9815049137515</v>
      </c>
      <c r="G138" s="168">
        <f ca="1">IF($C138-G$1&lt;År1,0,F137*(1-VLOOKUP($A138,[1]Hugst!$R$5:$W$9,MATCH(ROUNDUP((G$1)/10,0)*10,[1]Hugst!$R$4:$W$4,0))))</f>
        <v>3460.1280711956033</v>
      </c>
      <c r="H138" s="168">
        <f ca="1">IF($C138-H$1&lt;År1,0,G137*(1-VLOOKUP($A138,[1]Hugst!$R$5:$W$9,MATCH(ROUNDUP((H$1)/10,0)*10,[1]Hugst!$R$4:$W$4,0))))</f>
        <v>3465.3004996196937</v>
      </c>
      <c r="I138" s="168">
        <f ca="1">IF($C138-I$1&lt;År1,0,H137*(1-VLOOKUP($A138,[1]Hugst!$R$5:$W$9,MATCH(ROUNDUP((I$1)/10,0)*10,[1]Hugst!$R$4:$W$4,0))))</f>
        <v>3470.498920146299</v>
      </c>
      <c r="J138" s="168">
        <f ca="1">IF($C138-J$1&lt;År1,0,I137*(1-VLOOKUP($A138,[1]Hugst!$R$5:$W$9,MATCH(ROUNDUP((J$1)/10,0)*10,[1]Hugst!$R$4:$W$4,0))))</f>
        <v>3475.7234633892181</v>
      </c>
      <c r="K138" s="168">
        <f ca="1">IF($C138-K$1&lt;År1,0,J137*(1-VLOOKUP($A138,[1]Hugst!$R$5:$W$9,MATCH(ROUNDUP((K$1)/10,0)*10,[1]Hugst!$R$4:$W$4,0))))</f>
        <v>3480.9742606182222</v>
      </c>
      <c r="L138" s="168">
        <f ca="1">IF($C138-L$1&lt;År1,0,K137*(1-VLOOKUP($A138,[1]Hugst!$R$5:$W$9,MATCH(ROUNDUP((L$1)/10,0)*10,[1]Hugst!$R$4:$W$4,0))))</f>
        <v>3486.2514437629538</v>
      </c>
      <c r="M138" s="168">
        <f ca="1">IF($C138-M$1&lt;År1,0,L137*(1-VLOOKUP($A138,[1]Hugst!$R$5:$W$9,MATCH(ROUNDUP((M$1)/10,0)*10,[1]Hugst!$R$4:$W$4,0))))</f>
        <v>3491.5551454159536</v>
      </c>
      <c r="N138" s="168">
        <f ca="1">IF($C138-N$1&lt;År1,0,M137*(1-VLOOKUP($A138,[1]Hugst!$R$5:$W$9,MATCH(ROUNDUP((N$1)/10,0)*10,[1]Hugst!$R$4:$W$4,0))))</f>
        <v>3496.8854988360649</v>
      </c>
      <c r="O138" s="168">
        <f ca="1">IF($C138-O$1&lt;År1,0,N137*(1-VLOOKUP($A138,[1]Hugst!$R$5:$W$9,MATCH(ROUNDUP((O$1)/10,0)*10,[1]Hugst!$R$4:$W$4,0))))</f>
        <v>3502.2426379517524</v>
      </c>
      <c r="P138" s="168">
        <f ca="1">IF($C138-P$1&lt;År1,0,O137*(1-VLOOKUP($A138,[1]Hugst!$R$5:$W$9,MATCH(ROUNDUP((P$1)/10,0)*10,[1]Hugst!$R$4:$W$4,0))))</f>
        <v>3507.6266973645065</v>
      </c>
      <c r="Q138" s="168">
        <f ca="1">IF($C138-Q$1&lt;År1,0,P137*(1-VLOOKUP($A138,[1]Hugst!$R$5:$W$9,MATCH(ROUNDUP((Q$1)/10,0)*10,[1]Hugst!$R$4:$W$4,0))))</f>
        <v>3513.0378123521618</v>
      </c>
      <c r="R138" s="168">
        <f ca="1">IF($C138-R$1&lt;År1,0,Q137*(1-VLOOKUP($A138,[1]Hugst!$R$5:$W$9,MATCH(ROUNDUP((R$1)/10,0)*10,[1]Hugst!$R$4:$W$4,0))))</f>
        <v>3518.4761188724765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*VLOOKUP(A139,Skovbrug!$A$13:$D$17,IF('Skovbrug-alder'!C139&lt;=År2,3,4),FALSE)-IF(C139&gt;2020,SUM(INDEX($C$1:$D$311,MATCH(1,(2020=$C$1:$C$311)*(B139=$B$1:$B$311)*(A139=$A$1:$A$311),0),2):D138),0))</f>
        <v>1019.0458566484158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3449.8606714632306</v>
      </c>
      <c r="G139" s="168">
        <f ca="1">IF($C139-G$1&lt;År1,0,F138*(1-VLOOKUP($A139,[1]Hugst!$R$5:$W$9,MATCH(ROUNDUP((G$1)/10,0)*10,[1]Hugst!$R$4:$W$4,0))))</f>
        <v>3454.9815049137515</v>
      </c>
      <c r="H139" s="168">
        <f ca="1">IF($C139-H$1&lt;År1,0,G138*(1-VLOOKUP($A139,[1]Hugst!$R$5:$W$9,MATCH(ROUNDUP((H$1)/10,0)*10,[1]Hugst!$R$4:$W$4,0))))</f>
        <v>3460.1280711956033</v>
      </c>
      <c r="I139" s="168">
        <f ca="1">IF($C139-I$1&lt;År1,0,H138*(1-VLOOKUP($A139,[1]Hugst!$R$5:$W$9,MATCH(ROUNDUP((I$1)/10,0)*10,[1]Hugst!$R$4:$W$4,0))))</f>
        <v>3465.3004996196937</v>
      </c>
      <c r="J139" s="168">
        <f ca="1">IF($C139-J$1&lt;År1,0,I138*(1-VLOOKUP($A139,[1]Hugst!$R$5:$W$9,MATCH(ROUNDUP((J$1)/10,0)*10,[1]Hugst!$R$4:$W$4,0))))</f>
        <v>3470.498920146299</v>
      </c>
      <c r="K139" s="168">
        <f ca="1">IF($C139-K$1&lt;År1,0,J138*(1-VLOOKUP($A139,[1]Hugst!$R$5:$W$9,MATCH(ROUNDUP((K$1)/10,0)*10,[1]Hugst!$R$4:$W$4,0))))</f>
        <v>3475.7234633892181</v>
      </c>
      <c r="L139" s="168">
        <f ca="1">IF($C139-L$1&lt;År1,0,K138*(1-VLOOKUP($A139,[1]Hugst!$R$5:$W$9,MATCH(ROUNDUP((L$1)/10,0)*10,[1]Hugst!$R$4:$W$4,0))))</f>
        <v>3480.9742606182222</v>
      </c>
      <c r="M139" s="168">
        <f ca="1">IF($C139-M$1&lt;År1,0,L138*(1-VLOOKUP($A139,[1]Hugst!$R$5:$W$9,MATCH(ROUNDUP((M$1)/10,0)*10,[1]Hugst!$R$4:$W$4,0))))</f>
        <v>3486.2514437629538</v>
      </c>
      <c r="N139" s="168">
        <f ca="1">IF($C139-N$1&lt;År1,0,M138*(1-VLOOKUP($A139,[1]Hugst!$R$5:$W$9,MATCH(ROUNDUP((N$1)/10,0)*10,[1]Hugst!$R$4:$W$4,0))))</f>
        <v>3491.5551454159536</v>
      </c>
      <c r="O139" s="168">
        <f ca="1">IF($C139-O$1&lt;År1,0,N138*(1-VLOOKUP($A139,[1]Hugst!$R$5:$W$9,MATCH(ROUNDUP((O$1)/10,0)*10,[1]Hugst!$R$4:$W$4,0))))</f>
        <v>3496.8854988360649</v>
      </c>
      <c r="P139" s="168">
        <f ca="1">IF($C139-P$1&lt;År1,0,O138*(1-VLOOKUP($A139,[1]Hugst!$R$5:$W$9,MATCH(ROUNDUP((P$1)/10,0)*10,[1]Hugst!$R$4:$W$4,0))))</f>
        <v>3502.2426379517524</v>
      </c>
      <c r="Q139" s="168">
        <f ca="1">IF($C139-Q$1&lt;År1,0,P138*(1-VLOOKUP($A139,[1]Hugst!$R$5:$W$9,MATCH(ROUNDUP((Q$1)/10,0)*10,[1]Hugst!$R$4:$W$4,0))))</f>
        <v>3507.6266973645065</v>
      </c>
      <c r="R139" s="168">
        <f ca="1">IF($C139-R$1&lt;År1,0,Q138*(1-VLOOKUP($A139,[1]Hugst!$R$5:$W$9,MATCH(ROUNDUP((R$1)/10,0)*10,[1]Hugst!$R$4:$W$4,0))))</f>
        <v>3513.0378123521618</v>
      </c>
      <c r="S139" s="168">
        <f ca="1">IF($C139-S$1&lt;År1,0,R138*(1-VLOOKUP($A139,[1]Hugst!$R$5:$W$9,MATCH(ROUNDUP((S$1)/10,0)*10,[1]Hugst!$R$4:$W$4,0))))</f>
        <v>3518.4761188724765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*VLOOKUP(A140,Skovbrug!$A$13:$D$17,IF('Skovbrug-alder'!C140&lt;=År2,3,4),FALSE)-IF(C140&gt;2020,SUM(INDEX($C$1:$D$311,MATCH(1,(2020=$C$1:$C$311)*(B140=$B$1:$B$311)*(A140=$A$1:$A$311),0),2):D139),0))</f>
        <v>1013.9506273651787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3444.7654421799934</v>
      </c>
      <c r="G140" s="168">
        <f ca="1">IF($C140-G$1&lt;År1,0,F139*(1-VLOOKUP($A140,[1]Hugst!$R$5:$W$9,MATCH(ROUNDUP((G$1)/10,0)*10,[1]Hugst!$R$4:$W$4,0))))</f>
        <v>3449.8606714632306</v>
      </c>
      <c r="H140" s="168">
        <f ca="1">IF($C140-H$1&lt;År1,0,G139*(1-VLOOKUP($A140,[1]Hugst!$R$5:$W$9,MATCH(ROUNDUP((H$1)/10,0)*10,[1]Hugst!$R$4:$W$4,0))))</f>
        <v>3454.9815049137515</v>
      </c>
      <c r="I140" s="168">
        <f ca="1">IF($C140-I$1&lt;År1,0,H139*(1-VLOOKUP($A140,[1]Hugst!$R$5:$W$9,MATCH(ROUNDUP((I$1)/10,0)*10,[1]Hugst!$R$4:$W$4,0))))</f>
        <v>3460.1280711956033</v>
      </c>
      <c r="J140" s="168">
        <f ca="1">IF($C140-J$1&lt;År1,0,I139*(1-VLOOKUP($A140,[1]Hugst!$R$5:$W$9,MATCH(ROUNDUP((J$1)/10,0)*10,[1]Hugst!$R$4:$W$4,0))))</f>
        <v>3465.3004996196937</v>
      </c>
      <c r="K140" s="168">
        <f ca="1">IF($C140-K$1&lt;År1,0,J139*(1-VLOOKUP($A140,[1]Hugst!$R$5:$W$9,MATCH(ROUNDUP((K$1)/10,0)*10,[1]Hugst!$R$4:$W$4,0))))</f>
        <v>3470.498920146299</v>
      </c>
      <c r="L140" s="168">
        <f ca="1">IF($C140-L$1&lt;År1,0,K139*(1-VLOOKUP($A140,[1]Hugst!$R$5:$W$9,MATCH(ROUNDUP((L$1)/10,0)*10,[1]Hugst!$R$4:$W$4,0))))</f>
        <v>3475.7234633892181</v>
      </c>
      <c r="M140" s="168">
        <f ca="1">IF($C140-M$1&lt;År1,0,L139*(1-VLOOKUP($A140,[1]Hugst!$R$5:$W$9,MATCH(ROUNDUP((M$1)/10,0)*10,[1]Hugst!$R$4:$W$4,0))))</f>
        <v>3480.9742606182222</v>
      </c>
      <c r="N140" s="168">
        <f ca="1">IF($C140-N$1&lt;År1,0,M139*(1-VLOOKUP($A140,[1]Hugst!$R$5:$W$9,MATCH(ROUNDUP((N$1)/10,0)*10,[1]Hugst!$R$4:$W$4,0))))</f>
        <v>3486.2514437629538</v>
      </c>
      <c r="O140" s="168">
        <f ca="1">IF($C140-O$1&lt;År1,0,N139*(1-VLOOKUP($A140,[1]Hugst!$R$5:$W$9,MATCH(ROUNDUP((O$1)/10,0)*10,[1]Hugst!$R$4:$W$4,0))))</f>
        <v>3491.5551454159536</v>
      </c>
      <c r="P140" s="168">
        <f ca="1">IF($C140-P$1&lt;År1,0,O139*(1-VLOOKUP($A140,[1]Hugst!$R$5:$W$9,MATCH(ROUNDUP((P$1)/10,0)*10,[1]Hugst!$R$4:$W$4,0))))</f>
        <v>3496.8854988360649</v>
      </c>
      <c r="Q140" s="168">
        <f ca="1">IF($C140-Q$1&lt;År1,0,P139*(1-VLOOKUP($A140,[1]Hugst!$R$5:$W$9,MATCH(ROUNDUP((Q$1)/10,0)*10,[1]Hugst!$R$4:$W$4,0))))</f>
        <v>3502.2426379517524</v>
      </c>
      <c r="R140" s="168">
        <f ca="1">IF($C140-R$1&lt;År1,0,Q139*(1-VLOOKUP($A140,[1]Hugst!$R$5:$W$9,MATCH(ROUNDUP((R$1)/10,0)*10,[1]Hugst!$R$4:$W$4,0))))</f>
        <v>3507.6266973645065</v>
      </c>
      <c r="S140" s="168">
        <f ca="1">IF($C140-S$1&lt;År1,0,R139*(1-VLOOKUP($A140,[1]Hugst!$R$5:$W$9,MATCH(ROUNDUP((S$1)/10,0)*10,[1]Hugst!$R$4:$W$4,0))))</f>
        <v>3513.0378123521618</v>
      </c>
      <c r="T140" s="168">
        <f ca="1">IF($C140-T$1&lt;År1,0,S139*(1-VLOOKUP($A140,[1]Hugst!$R$5:$W$9,MATCH(ROUNDUP((T$1)/10,0)*10,[1]Hugst!$R$4:$W$4,0))))</f>
        <v>3518.4761188724765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*VLOOKUP(A141,Skovbrug!$A$13:$D$17,IF('Skovbrug-alder'!C141&lt;=År2,3,4),FALSE)-IF(C141&gt;2020,SUM(INDEX($C$1:$D$311,MATCH(1,(2020=$C$1:$C$311)*(B141=$B$1:$B$311)*(A141=$A$1:$A$311),0),2):D140),0))</f>
        <v>1008.8808742283727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3439.6956890431875</v>
      </c>
      <c r="G141" s="168">
        <f ca="1">IF($C141-G$1&lt;År1,0,F140*(1-VLOOKUP($A141,[1]Hugst!$R$5:$W$9,MATCH(ROUNDUP((G$1)/10,0)*10,[1]Hugst!$R$4:$W$4,0))))</f>
        <v>3444.7654421799934</v>
      </c>
      <c r="H141" s="168">
        <f ca="1">IF($C141-H$1&lt;År1,0,G140*(1-VLOOKUP($A141,[1]Hugst!$R$5:$W$9,MATCH(ROUNDUP((H$1)/10,0)*10,[1]Hugst!$R$4:$W$4,0))))</f>
        <v>3449.8606714632306</v>
      </c>
      <c r="I141" s="168">
        <f ca="1">IF($C141-I$1&lt;År1,0,H140*(1-VLOOKUP($A141,[1]Hugst!$R$5:$W$9,MATCH(ROUNDUP((I$1)/10,0)*10,[1]Hugst!$R$4:$W$4,0))))</f>
        <v>3454.9815049137515</v>
      </c>
      <c r="J141" s="168">
        <f ca="1">IF($C141-J$1&lt;År1,0,I140*(1-VLOOKUP($A141,[1]Hugst!$R$5:$W$9,MATCH(ROUNDUP((J$1)/10,0)*10,[1]Hugst!$R$4:$W$4,0))))</f>
        <v>3460.1280711956033</v>
      </c>
      <c r="K141" s="168">
        <f ca="1">IF($C141-K$1&lt;År1,0,J140*(1-VLOOKUP($A141,[1]Hugst!$R$5:$W$9,MATCH(ROUNDUP((K$1)/10,0)*10,[1]Hugst!$R$4:$W$4,0))))</f>
        <v>3465.3004996196937</v>
      </c>
      <c r="L141" s="168">
        <f ca="1">IF($C141-L$1&lt;År1,0,K140*(1-VLOOKUP($A141,[1]Hugst!$R$5:$W$9,MATCH(ROUNDUP((L$1)/10,0)*10,[1]Hugst!$R$4:$W$4,0))))</f>
        <v>3470.498920146299</v>
      </c>
      <c r="M141" s="168">
        <f ca="1">IF($C141-M$1&lt;År1,0,L140*(1-VLOOKUP($A141,[1]Hugst!$R$5:$W$9,MATCH(ROUNDUP((M$1)/10,0)*10,[1]Hugst!$R$4:$W$4,0))))</f>
        <v>3475.7234633892181</v>
      </c>
      <c r="N141" s="168">
        <f ca="1">IF($C141-N$1&lt;År1,0,M140*(1-VLOOKUP($A141,[1]Hugst!$R$5:$W$9,MATCH(ROUNDUP((N$1)/10,0)*10,[1]Hugst!$R$4:$W$4,0))))</f>
        <v>3480.9742606182222</v>
      </c>
      <c r="O141" s="168">
        <f ca="1">IF($C141-O$1&lt;År1,0,N140*(1-VLOOKUP($A141,[1]Hugst!$R$5:$W$9,MATCH(ROUNDUP((O$1)/10,0)*10,[1]Hugst!$R$4:$W$4,0))))</f>
        <v>3486.2514437629538</v>
      </c>
      <c r="P141" s="168">
        <f ca="1">IF($C141-P$1&lt;År1,0,O140*(1-VLOOKUP($A141,[1]Hugst!$R$5:$W$9,MATCH(ROUNDUP((P$1)/10,0)*10,[1]Hugst!$R$4:$W$4,0))))</f>
        <v>3491.5551454159536</v>
      </c>
      <c r="Q141" s="168">
        <f ca="1">IF($C141-Q$1&lt;År1,0,P140*(1-VLOOKUP($A141,[1]Hugst!$R$5:$W$9,MATCH(ROUNDUP((Q$1)/10,0)*10,[1]Hugst!$R$4:$W$4,0))))</f>
        <v>3496.8854988360649</v>
      </c>
      <c r="R141" s="168">
        <f ca="1">IF($C141-R$1&lt;År1,0,Q140*(1-VLOOKUP($A141,[1]Hugst!$R$5:$W$9,MATCH(ROUNDUP((R$1)/10,0)*10,[1]Hugst!$R$4:$W$4,0))))</f>
        <v>3502.2426379517524</v>
      </c>
      <c r="S141" s="168">
        <f ca="1">IF($C141-S$1&lt;År1,0,R140*(1-VLOOKUP($A141,[1]Hugst!$R$5:$W$9,MATCH(ROUNDUP((S$1)/10,0)*10,[1]Hugst!$R$4:$W$4,0))))</f>
        <v>3507.6266973645065</v>
      </c>
      <c r="T141" s="168">
        <f ca="1">IF($C141-T$1&lt;År1,0,S140*(1-VLOOKUP($A141,[1]Hugst!$R$5:$W$9,MATCH(ROUNDUP((T$1)/10,0)*10,[1]Hugst!$R$4:$W$4,0))))</f>
        <v>3513.0378123521618</v>
      </c>
      <c r="U141" s="168">
        <f ca="1">IF($C141-U$1&lt;År1,0,T140*(1-VLOOKUP($A141,[1]Hugst!$R$5:$W$9,MATCH(ROUNDUP((U$1)/10,0)*10,[1]Hugst!$R$4:$W$4,0))))</f>
        <v>3518.4761188724765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*VLOOKUP(A142,Skovbrug!$A$13:$D$17,IF('Skovbrug-alder'!C142&lt;=År2,3,4),FALSE)-IF(C142&gt;2020,SUM(INDEX($C$1:$D$311,MATCH(1,(2020=$C$1:$C$311)*(B142=$B$1:$B$311)*(A142=$A$1:$A$311),0),2):D141),0))</f>
        <v>1003.8364698572259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3434.6512846720407</v>
      </c>
      <c r="G142" s="168">
        <f ca="1">IF($C142-G$1&lt;År1,0,F141*(1-VLOOKUP($A142,[1]Hugst!$R$5:$W$9,MATCH(ROUNDUP((G$1)/10,0)*10,[1]Hugst!$R$4:$W$4,0))))</f>
        <v>3439.6956890431875</v>
      </c>
      <c r="H142" s="168">
        <f ca="1">IF($C142-H$1&lt;År1,0,G141*(1-VLOOKUP($A142,[1]Hugst!$R$5:$W$9,MATCH(ROUNDUP((H$1)/10,0)*10,[1]Hugst!$R$4:$W$4,0))))</f>
        <v>3444.7654421799934</v>
      </c>
      <c r="I142" s="168">
        <f ca="1">IF($C142-I$1&lt;År1,0,H141*(1-VLOOKUP($A142,[1]Hugst!$R$5:$W$9,MATCH(ROUNDUP((I$1)/10,0)*10,[1]Hugst!$R$4:$W$4,0))))</f>
        <v>3449.8606714632306</v>
      </c>
      <c r="J142" s="168">
        <f ca="1">IF($C142-J$1&lt;År1,0,I141*(1-VLOOKUP($A142,[1]Hugst!$R$5:$W$9,MATCH(ROUNDUP((J$1)/10,0)*10,[1]Hugst!$R$4:$W$4,0))))</f>
        <v>3454.9815049137515</v>
      </c>
      <c r="K142" s="168">
        <f ca="1">IF($C142-K$1&lt;År1,0,J141*(1-VLOOKUP($A142,[1]Hugst!$R$5:$W$9,MATCH(ROUNDUP((K$1)/10,0)*10,[1]Hugst!$R$4:$W$4,0))))</f>
        <v>3460.1280711956033</v>
      </c>
      <c r="L142" s="168">
        <f ca="1">IF($C142-L$1&lt;År1,0,K141*(1-VLOOKUP($A142,[1]Hugst!$R$5:$W$9,MATCH(ROUNDUP((L$1)/10,0)*10,[1]Hugst!$R$4:$W$4,0))))</f>
        <v>3465.3004996196937</v>
      </c>
      <c r="M142" s="168">
        <f ca="1">IF($C142-M$1&lt;År1,0,L141*(1-VLOOKUP($A142,[1]Hugst!$R$5:$W$9,MATCH(ROUNDUP((M$1)/10,0)*10,[1]Hugst!$R$4:$W$4,0))))</f>
        <v>3470.498920146299</v>
      </c>
      <c r="N142" s="168">
        <f ca="1">IF($C142-N$1&lt;År1,0,M141*(1-VLOOKUP($A142,[1]Hugst!$R$5:$W$9,MATCH(ROUNDUP((N$1)/10,0)*10,[1]Hugst!$R$4:$W$4,0))))</f>
        <v>3475.7234633892181</v>
      </c>
      <c r="O142" s="168">
        <f ca="1">IF($C142-O$1&lt;År1,0,N141*(1-VLOOKUP($A142,[1]Hugst!$R$5:$W$9,MATCH(ROUNDUP((O$1)/10,0)*10,[1]Hugst!$R$4:$W$4,0))))</f>
        <v>3480.9742606182222</v>
      </c>
      <c r="P142" s="168">
        <f ca="1">IF($C142-P$1&lt;År1,0,O141*(1-VLOOKUP($A142,[1]Hugst!$R$5:$W$9,MATCH(ROUNDUP((P$1)/10,0)*10,[1]Hugst!$R$4:$W$4,0))))</f>
        <v>3486.2514437629538</v>
      </c>
      <c r="Q142" s="168">
        <f ca="1">IF($C142-Q$1&lt;År1,0,P141*(1-VLOOKUP($A142,[1]Hugst!$R$5:$W$9,MATCH(ROUNDUP((Q$1)/10,0)*10,[1]Hugst!$R$4:$W$4,0))))</f>
        <v>3491.5551454159536</v>
      </c>
      <c r="R142" s="168">
        <f ca="1">IF($C142-R$1&lt;År1,0,Q141*(1-VLOOKUP($A142,[1]Hugst!$R$5:$W$9,MATCH(ROUNDUP((R$1)/10,0)*10,[1]Hugst!$R$4:$W$4,0))))</f>
        <v>3496.8854988360649</v>
      </c>
      <c r="S142" s="168">
        <f ca="1">IF($C142-S$1&lt;År1,0,R141*(1-VLOOKUP($A142,[1]Hugst!$R$5:$W$9,MATCH(ROUNDUP((S$1)/10,0)*10,[1]Hugst!$R$4:$W$4,0))))</f>
        <v>3502.2426379517524</v>
      </c>
      <c r="T142" s="168">
        <f ca="1">IF($C142-T$1&lt;År1,0,S141*(1-VLOOKUP($A142,[1]Hugst!$R$5:$W$9,MATCH(ROUNDUP((T$1)/10,0)*10,[1]Hugst!$R$4:$W$4,0))))</f>
        <v>3507.6266973645065</v>
      </c>
      <c r="U142" s="168">
        <f ca="1">IF($C142-U$1&lt;År1,0,T141*(1-VLOOKUP($A142,[1]Hugst!$R$5:$W$9,MATCH(ROUNDUP((U$1)/10,0)*10,[1]Hugst!$R$4:$W$4,0))))</f>
        <v>3513.0378123521618</v>
      </c>
      <c r="V142" s="168">
        <f ca="1">IF($C142-V$1&lt;År1,0,U141*(1-VLOOKUP($A142,[1]Hugst!$R$5:$W$9,MATCH(ROUNDUP((V$1)/10,0)*10,[1]Hugst!$R$4:$W$4,0))))</f>
        <v>3518.4761188724765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*VLOOKUP(A143,Skovbrug!$A$13:$D$17,IF('Skovbrug-alder'!C143&lt;=År2,3,4),FALSE)-IF(C143&gt;2020,SUM(INDEX($C$1:$D$311,MATCH(1,(2020=$C$1:$C$311)*(B143=$B$1:$B$311)*(A143=$A$1:$A$311),0),2):D142),0))</f>
        <v>998.81728750793263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3429.6321023227474</v>
      </c>
      <c r="G143" s="168">
        <f ca="1">IF($C143-G$1&lt;År1,0,F142*(1-VLOOKUP($A143,[1]Hugst!$R$5:$W$9,MATCH(ROUNDUP((G$1)/10,0)*10,[1]Hugst!$R$4:$W$4,0))))</f>
        <v>3434.6512846720407</v>
      </c>
      <c r="H143" s="168">
        <f ca="1">IF($C143-H$1&lt;År1,0,G142*(1-VLOOKUP($A143,[1]Hugst!$R$5:$W$9,MATCH(ROUNDUP((H$1)/10,0)*10,[1]Hugst!$R$4:$W$4,0))))</f>
        <v>3439.6956890431875</v>
      </c>
      <c r="I143" s="168">
        <f ca="1">IF($C143-I$1&lt;År1,0,H142*(1-VLOOKUP($A143,[1]Hugst!$R$5:$W$9,MATCH(ROUNDUP((I$1)/10,0)*10,[1]Hugst!$R$4:$W$4,0))))</f>
        <v>3444.7654421799934</v>
      </c>
      <c r="J143" s="168">
        <f ca="1">IF($C143-J$1&lt;År1,0,I142*(1-VLOOKUP($A143,[1]Hugst!$R$5:$W$9,MATCH(ROUNDUP((J$1)/10,0)*10,[1]Hugst!$R$4:$W$4,0))))</f>
        <v>3449.8606714632306</v>
      </c>
      <c r="K143" s="168">
        <f ca="1">IF($C143-K$1&lt;År1,0,J142*(1-VLOOKUP($A143,[1]Hugst!$R$5:$W$9,MATCH(ROUNDUP((K$1)/10,0)*10,[1]Hugst!$R$4:$W$4,0))))</f>
        <v>3454.9815049137515</v>
      </c>
      <c r="L143" s="168">
        <f ca="1">IF($C143-L$1&lt;År1,0,K142*(1-VLOOKUP($A143,[1]Hugst!$R$5:$W$9,MATCH(ROUNDUP((L$1)/10,0)*10,[1]Hugst!$R$4:$W$4,0))))</f>
        <v>3460.1280711956033</v>
      </c>
      <c r="M143" s="168">
        <f ca="1">IF($C143-M$1&lt;År1,0,L142*(1-VLOOKUP($A143,[1]Hugst!$R$5:$W$9,MATCH(ROUNDUP((M$1)/10,0)*10,[1]Hugst!$R$4:$W$4,0))))</f>
        <v>3465.3004996196937</v>
      </c>
      <c r="N143" s="168">
        <f ca="1">IF($C143-N$1&lt;År1,0,M142*(1-VLOOKUP($A143,[1]Hugst!$R$5:$W$9,MATCH(ROUNDUP((N$1)/10,0)*10,[1]Hugst!$R$4:$W$4,0))))</f>
        <v>3470.498920146299</v>
      </c>
      <c r="O143" s="168">
        <f ca="1">IF($C143-O$1&lt;År1,0,N142*(1-VLOOKUP($A143,[1]Hugst!$R$5:$W$9,MATCH(ROUNDUP((O$1)/10,0)*10,[1]Hugst!$R$4:$W$4,0))))</f>
        <v>3475.7234633892181</v>
      </c>
      <c r="P143" s="168">
        <f ca="1">IF($C143-P$1&lt;År1,0,O142*(1-VLOOKUP($A143,[1]Hugst!$R$5:$W$9,MATCH(ROUNDUP((P$1)/10,0)*10,[1]Hugst!$R$4:$W$4,0))))</f>
        <v>3480.9742606182222</v>
      </c>
      <c r="Q143" s="168">
        <f ca="1">IF($C143-Q$1&lt;År1,0,P142*(1-VLOOKUP($A143,[1]Hugst!$R$5:$W$9,MATCH(ROUNDUP((Q$1)/10,0)*10,[1]Hugst!$R$4:$W$4,0))))</f>
        <v>3486.2514437629538</v>
      </c>
      <c r="R143" s="168">
        <f ca="1">IF($C143-R$1&lt;År1,0,Q142*(1-VLOOKUP($A143,[1]Hugst!$R$5:$W$9,MATCH(ROUNDUP((R$1)/10,0)*10,[1]Hugst!$R$4:$W$4,0))))</f>
        <v>3491.5551454159536</v>
      </c>
      <c r="S143" s="168">
        <f ca="1">IF($C143-S$1&lt;År1,0,R142*(1-VLOOKUP($A143,[1]Hugst!$R$5:$W$9,MATCH(ROUNDUP((S$1)/10,0)*10,[1]Hugst!$R$4:$W$4,0))))</f>
        <v>3496.8854988360649</v>
      </c>
      <c r="T143" s="168">
        <f ca="1">IF($C143-T$1&lt;År1,0,S142*(1-VLOOKUP($A143,[1]Hugst!$R$5:$W$9,MATCH(ROUNDUP((T$1)/10,0)*10,[1]Hugst!$R$4:$W$4,0))))</f>
        <v>3502.2426379517524</v>
      </c>
      <c r="U143" s="168">
        <f ca="1">IF($C143-U$1&lt;År1,0,T142*(1-VLOOKUP($A143,[1]Hugst!$R$5:$W$9,MATCH(ROUNDUP((U$1)/10,0)*10,[1]Hugst!$R$4:$W$4,0))))</f>
        <v>3507.6266973645065</v>
      </c>
      <c r="V143" s="168">
        <f ca="1">IF($C143-V$1&lt;År1,0,U142*(1-VLOOKUP($A143,[1]Hugst!$R$5:$W$9,MATCH(ROUNDUP((V$1)/10,0)*10,[1]Hugst!$R$4:$W$4,0))))</f>
        <v>3513.0378123521618</v>
      </c>
      <c r="W143" s="168">
        <f ca="1">IF($C143-W$1&lt;År1,0,V142*(1-VLOOKUP($A143,[1]Hugst!$R$5:$W$9,MATCH(ROUNDUP((W$1)/10,0)*10,[1]Hugst!$R$4:$W$4,0))))</f>
        <v>3518.4761188724765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*VLOOKUP(A144,Skovbrug!$A$13:$D$17,IF('Skovbrug-alder'!C144&lt;=År2,3,4),FALSE)-IF(C144&gt;2020,SUM(INDEX($C$1:$D$311,MATCH(1,(2020=$C$1:$C$311)*(B144=$B$1:$B$311)*(A144=$A$1:$A$311),0),2):D143),0))</f>
        <v>993.82320107042324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3424.638015885238</v>
      </c>
      <c r="G144" s="168">
        <f ca="1">IF($C144-G$1&lt;År1,0,F143*(1-VLOOKUP($A144,[1]Hugst!$R$5:$W$9,MATCH(ROUNDUP((G$1)/10,0)*10,[1]Hugst!$R$4:$W$4,0))))</f>
        <v>3429.6321023227474</v>
      </c>
      <c r="H144" s="168">
        <f ca="1">IF($C144-H$1&lt;År1,0,G143*(1-VLOOKUP($A144,[1]Hugst!$R$5:$W$9,MATCH(ROUNDUP((H$1)/10,0)*10,[1]Hugst!$R$4:$W$4,0))))</f>
        <v>3434.6512846720407</v>
      </c>
      <c r="I144" s="168">
        <f ca="1">IF($C144-I$1&lt;År1,0,H143*(1-VLOOKUP($A144,[1]Hugst!$R$5:$W$9,MATCH(ROUNDUP((I$1)/10,0)*10,[1]Hugst!$R$4:$W$4,0))))</f>
        <v>3439.6956890431875</v>
      </c>
      <c r="J144" s="168">
        <f ca="1">IF($C144-J$1&lt;År1,0,I143*(1-VLOOKUP($A144,[1]Hugst!$R$5:$W$9,MATCH(ROUNDUP((J$1)/10,0)*10,[1]Hugst!$R$4:$W$4,0))))</f>
        <v>3444.7654421799934</v>
      </c>
      <c r="K144" s="168">
        <f ca="1">IF($C144-K$1&lt;År1,0,J143*(1-VLOOKUP($A144,[1]Hugst!$R$5:$W$9,MATCH(ROUNDUP((K$1)/10,0)*10,[1]Hugst!$R$4:$W$4,0))))</f>
        <v>3449.8606714632306</v>
      </c>
      <c r="L144" s="168">
        <f ca="1">IF($C144-L$1&lt;År1,0,K143*(1-VLOOKUP($A144,[1]Hugst!$R$5:$W$9,MATCH(ROUNDUP((L$1)/10,0)*10,[1]Hugst!$R$4:$W$4,0))))</f>
        <v>3454.9815049137515</v>
      </c>
      <c r="M144" s="168">
        <f ca="1">IF($C144-M$1&lt;År1,0,L143*(1-VLOOKUP($A144,[1]Hugst!$R$5:$W$9,MATCH(ROUNDUP((M$1)/10,0)*10,[1]Hugst!$R$4:$W$4,0))))</f>
        <v>3460.1280711956033</v>
      </c>
      <c r="N144" s="168">
        <f ca="1">IF($C144-N$1&lt;År1,0,M143*(1-VLOOKUP($A144,[1]Hugst!$R$5:$W$9,MATCH(ROUNDUP((N$1)/10,0)*10,[1]Hugst!$R$4:$W$4,0))))</f>
        <v>3465.3004996196937</v>
      </c>
      <c r="O144" s="168">
        <f ca="1">IF($C144-O$1&lt;År1,0,N143*(1-VLOOKUP($A144,[1]Hugst!$R$5:$W$9,MATCH(ROUNDUP((O$1)/10,0)*10,[1]Hugst!$R$4:$W$4,0))))</f>
        <v>3470.498920146299</v>
      </c>
      <c r="P144" s="168">
        <f ca="1">IF($C144-P$1&lt;År1,0,O143*(1-VLOOKUP($A144,[1]Hugst!$R$5:$W$9,MATCH(ROUNDUP((P$1)/10,0)*10,[1]Hugst!$R$4:$W$4,0))))</f>
        <v>3475.7234633892181</v>
      </c>
      <c r="Q144" s="168">
        <f ca="1">IF($C144-Q$1&lt;År1,0,P143*(1-VLOOKUP($A144,[1]Hugst!$R$5:$W$9,MATCH(ROUNDUP((Q$1)/10,0)*10,[1]Hugst!$R$4:$W$4,0))))</f>
        <v>3480.9742606182222</v>
      </c>
      <c r="R144" s="168">
        <f ca="1">IF($C144-R$1&lt;År1,0,Q143*(1-VLOOKUP($A144,[1]Hugst!$R$5:$W$9,MATCH(ROUNDUP((R$1)/10,0)*10,[1]Hugst!$R$4:$W$4,0))))</f>
        <v>3486.2514437629538</v>
      </c>
      <c r="S144" s="168">
        <f ca="1">IF($C144-S$1&lt;År1,0,R143*(1-VLOOKUP($A144,[1]Hugst!$R$5:$W$9,MATCH(ROUNDUP((S$1)/10,0)*10,[1]Hugst!$R$4:$W$4,0))))</f>
        <v>3491.5551454159536</v>
      </c>
      <c r="T144" s="168">
        <f ca="1">IF($C144-T$1&lt;År1,0,S143*(1-VLOOKUP($A144,[1]Hugst!$R$5:$W$9,MATCH(ROUNDUP((T$1)/10,0)*10,[1]Hugst!$R$4:$W$4,0))))</f>
        <v>3496.8854988360649</v>
      </c>
      <c r="U144" s="168">
        <f ca="1">IF($C144-U$1&lt;År1,0,T143*(1-VLOOKUP($A144,[1]Hugst!$R$5:$W$9,MATCH(ROUNDUP((U$1)/10,0)*10,[1]Hugst!$R$4:$W$4,0))))</f>
        <v>3502.2426379517524</v>
      </c>
      <c r="V144" s="168">
        <f ca="1">IF($C144-V$1&lt;År1,0,U143*(1-VLOOKUP($A144,[1]Hugst!$R$5:$W$9,MATCH(ROUNDUP((V$1)/10,0)*10,[1]Hugst!$R$4:$W$4,0))))</f>
        <v>3507.6266973645065</v>
      </c>
      <c r="W144" s="168">
        <f ca="1">IF($C144-W$1&lt;År1,0,V143*(1-VLOOKUP($A144,[1]Hugst!$R$5:$W$9,MATCH(ROUNDUP((W$1)/10,0)*10,[1]Hugst!$R$4:$W$4,0))))</f>
        <v>3513.0378123521618</v>
      </c>
      <c r="X144" s="168">
        <f ca="1">IF($C144-X$1&lt;År1,0,W143*(1-VLOOKUP($A144,[1]Hugst!$R$5:$W$9,MATCH(ROUNDUP((X$1)/10,0)*10,[1]Hugst!$R$4:$W$4,0))))</f>
        <v>3518.4761188724765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*VLOOKUP(A145,Skovbrug!$A$13:$D$17,IF('Skovbrug-alder'!C145&lt;=År2,3,4),FALSE)-IF(C145&gt;2020,SUM(INDEX($C$1:$D$311,MATCH(1,(2020=$C$1:$C$311)*(B145=$B$1:$B$311)*(A145=$A$1:$A$311),0),2):D144),0))</f>
        <v>988.85408506501699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3419.6688998798318</v>
      </c>
      <c r="G145" s="168">
        <f ca="1">IF($C145-G$1&lt;År1,0,F144*(1-VLOOKUP($A145,[1]Hugst!$R$5:$W$9,MATCH(ROUNDUP((G$1)/10,0)*10,[1]Hugst!$R$4:$W$4,0))))</f>
        <v>3424.638015885238</v>
      </c>
      <c r="H145" s="168">
        <f ca="1">IF($C145-H$1&lt;År1,0,G144*(1-VLOOKUP($A145,[1]Hugst!$R$5:$W$9,MATCH(ROUNDUP((H$1)/10,0)*10,[1]Hugst!$R$4:$W$4,0))))</f>
        <v>3429.6321023227474</v>
      </c>
      <c r="I145" s="168">
        <f ca="1">IF($C145-I$1&lt;År1,0,H144*(1-VLOOKUP($A145,[1]Hugst!$R$5:$W$9,MATCH(ROUNDUP((I$1)/10,0)*10,[1]Hugst!$R$4:$W$4,0))))</f>
        <v>3434.6512846720407</v>
      </c>
      <c r="J145" s="168">
        <f ca="1">IF($C145-J$1&lt;År1,0,I144*(1-VLOOKUP($A145,[1]Hugst!$R$5:$W$9,MATCH(ROUNDUP((J$1)/10,0)*10,[1]Hugst!$R$4:$W$4,0))))</f>
        <v>3439.6956890431875</v>
      </c>
      <c r="K145" s="168">
        <f ca="1">IF($C145-K$1&lt;År1,0,J144*(1-VLOOKUP($A145,[1]Hugst!$R$5:$W$9,MATCH(ROUNDUP((K$1)/10,0)*10,[1]Hugst!$R$4:$W$4,0))))</f>
        <v>3444.7654421799934</v>
      </c>
      <c r="L145" s="168">
        <f ca="1">IF($C145-L$1&lt;År1,0,K144*(1-VLOOKUP($A145,[1]Hugst!$R$5:$W$9,MATCH(ROUNDUP((L$1)/10,0)*10,[1]Hugst!$R$4:$W$4,0))))</f>
        <v>3449.8606714632306</v>
      </c>
      <c r="M145" s="168">
        <f ca="1">IF($C145-M$1&lt;År1,0,L144*(1-VLOOKUP($A145,[1]Hugst!$R$5:$W$9,MATCH(ROUNDUP((M$1)/10,0)*10,[1]Hugst!$R$4:$W$4,0))))</f>
        <v>3454.9815049137515</v>
      </c>
      <c r="N145" s="168">
        <f ca="1">IF($C145-N$1&lt;År1,0,M144*(1-VLOOKUP($A145,[1]Hugst!$R$5:$W$9,MATCH(ROUNDUP((N$1)/10,0)*10,[1]Hugst!$R$4:$W$4,0))))</f>
        <v>3460.1280711956033</v>
      </c>
      <c r="O145" s="168">
        <f ca="1">IF($C145-O$1&lt;År1,0,N144*(1-VLOOKUP($A145,[1]Hugst!$R$5:$W$9,MATCH(ROUNDUP((O$1)/10,0)*10,[1]Hugst!$R$4:$W$4,0))))</f>
        <v>3465.3004996196937</v>
      </c>
      <c r="P145" s="168">
        <f ca="1">IF($C145-P$1&lt;År1,0,O144*(1-VLOOKUP($A145,[1]Hugst!$R$5:$W$9,MATCH(ROUNDUP((P$1)/10,0)*10,[1]Hugst!$R$4:$W$4,0))))</f>
        <v>3470.498920146299</v>
      </c>
      <c r="Q145" s="168">
        <f ca="1">IF($C145-Q$1&lt;År1,0,P144*(1-VLOOKUP($A145,[1]Hugst!$R$5:$W$9,MATCH(ROUNDUP((Q$1)/10,0)*10,[1]Hugst!$R$4:$W$4,0))))</f>
        <v>3475.7234633892181</v>
      </c>
      <c r="R145" s="168">
        <f ca="1">IF($C145-R$1&lt;År1,0,Q144*(1-VLOOKUP($A145,[1]Hugst!$R$5:$W$9,MATCH(ROUNDUP((R$1)/10,0)*10,[1]Hugst!$R$4:$W$4,0))))</f>
        <v>3480.9742606182222</v>
      </c>
      <c r="S145" s="168">
        <f ca="1">IF($C145-S$1&lt;År1,0,R144*(1-VLOOKUP($A145,[1]Hugst!$R$5:$W$9,MATCH(ROUNDUP((S$1)/10,0)*10,[1]Hugst!$R$4:$W$4,0))))</f>
        <v>3486.2514437629538</v>
      </c>
      <c r="T145" s="168">
        <f ca="1">IF($C145-T$1&lt;År1,0,S144*(1-VLOOKUP($A145,[1]Hugst!$R$5:$W$9,MATCH(ROUNDUP((T$1)/10,0)*10,[1]Hugst!$R$4:$W$4,0))))</f>
        <v>3491.5551454159536</v>
      </c>
      <c r="U145" s="168">
        <f ca="1">IF($C145-U$1&lt;År1,0,T144*(1-VLOOKUP($A145,[1]Hugst!$R$5:$W$9,MATCH(ROUNDUP((U$1)/10,0)*10,[1]Hugst!$R$4:$W$4,0))))</f>
        <v>3496.8854988360649</v>
      </c>
      <c r="V145" s="168">
        <f ca="1">IF($C145-V$1&lt;År1,0,U144*(1-VLOOKUP($A145,[1]Hugst!$R$5:$W$9,MATCH(ROUNDUP((V$1)/10,0)*10,[1]Hugst!$R$4:$W$4,0))))</f>
        <v>3502.2426379517524</v>
      </c>
      <c r="W145" s="168">
        <f ca="1">IF($C145-W$1&lt;År1,0,V144*(1-VLOOKUP($A145,[1]Hugst!$R$5:$W$9,MATCH(ROUNDUP((W$1)/10,0)*10,[1]Hugst!$R$4:$W$4,0))))</f>
        <v>3507.6266973645065</v>
      </c>
      <c r="X145" s="168">
        <f ca="1">IF($C145-X$1&lt;År1,0,W144*(1-VLOOKUP($A145,[1]Hugst!$R$5:$W$9,MATCH(ROUNDUP((X$1)/10,0)*10,[1]Hugst!$R$4:$W$4,0))))</f>
        <v>3513.0378123521618</v>
      </c>
      <c r="Y145" s="168">
        <f ca="1">IF($C145-Y$1&lt;År1,0,X144*(1-VLOOKUP($A145,[1]Hugst!$R$5:$W$9,MATCH(ROUNDUP((Y$1)/10,0)*10,[1]Hugst!$R$4:$W$4,0))))</f>
        <v>3518.4761188724765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*VLOOKUP(A146,Skovbrug!$A$13:$D$17,IF('Skovbrug-alder'!C146&lt;=År2,3,4),FALSE)-IF(C146&gt;2020,SUM(INDEX($C$1:$D$311,MATCH(1,(2020=$C$1:$C$311)*(B146=$B$1:$B$311)*(A146=$A$1:$A$311),0),2):D145),0))</f>
        <v>983.90981463971548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3414.7246294545303</v>
      </c>
      <c r="G146" s="168">
        <f ca="1">IF($C146-G$1&lt;År1,0,F145*(1-VLOOKUP($A146,[1]Hugst!$R$5:$W$9,MATCH(ROUNDUP((G$1)/10,0)*10,[1]Hugst!$R$4:$W$4,0))))</f>
        <v>3419.6688998798318</v>
      </c>
      <c r="H146" s="168">
        <f ca="1">IF($C146-H$1&lt;År1,0,G145*(1-VLOOKUP($A146,[1]Hugst!$R$5:$W$9,MATCH(ROUNDUP((H$1)/10,0)*10,[1]Hugst!$R$4:$W$4,0))))</f>
        <v>3424.638015885238</v>
      </c>
      <c r="I146" s="168">
        <f ca="1">IF($C146-I$1&lt;År1,0,H145*(1-VLOOKUP($A146,[1]Hugst!$R$5:$W$9,MATCH(ROUNDUP((I$1)/10,0)*10,[1]Hugst!$R$4:$W$4,0))))</f>
        <v>3429.6321023227474</v>
      </c>
      <c r="J146" s="168">
        <f ca="1">IF($C146-J$1&lt;År1,0,I145*(1-VLOOKUP($A146,[1]Hugst!$R$5:$W$9,MATCH(ROUNDUP((J$1)/10,0)*10,[1]Hugst!$R$4:$W$4,0))))</f>
        <v>3434.6512846720407</v>
      </c>
      <c r="K146" s="168">
        <f ca="1">IF($C146-K$1&lt;År1,0,J145*(1-VLOOKUP($A146,[1]Hugst!$R$5:$W$9,MATCH(ROUNDUP((K$1)/10,0)*10,[1]Hugst!$R$4:$W$4,0))))</f>
        <v>3439.6956890431875</v>
      </c>
      <c r="L146" s="168">
        <f ca="1">IF($C146-L$1&lt;År1,0,K145*(1-VLOOKUP($A146,[1]Hugst!$R$5:$W$9,MATCH(ROUNDUP((L$1)/10,0)*10,[1]Hugst!$R$4:$W$4,0))))</f>
        <v>3444.7654421799934</v>
      </c>
      <c r="M146" s="168">
        <f ca="1">IF($C146-M$1&lt;År1,0,L145*(1-VLOOKUP($A146,[1]Hugst!$R$5:$W$9,MATCH(ROUNDUP((M$1)/10,0)*10,[1]Hugst!$R$4:$W$4,0))))</f>
        <v>3449.8606714632306</v>
      </c>
      <c r="N146" s="168">
        <f ca="1">IF($C146-N$1&lt;År1,0,M145*(1-VLOOKUP($A146,[1]Hugst!$R$5:$W$9,MATCH(ROUNDUP((N$1)/10,0)*10,[1]Hugst!$R$4:$W$4,0))))</f>
        <v>3454.9815049137515</v>
      </c>
      <c r="O146" s="168">
        <f ca="1">IF($C146-O$1&lt;År1,0,N145*(1-VLOOKUP($A146,[1]Hugst!$R$5:$W$9,MATCH(ROUNDUP((O$1)/10,0)*10,[1]Hugst!$R$4:$W$4,0))))</f>
        <v>3460.1280711956033</v>
      </c>
      <c r="P146" s="168">
        <f ca="1">IF($C146-P$1&lt;År1,0,O145*(1-VLOOKUP($A146,[1]Hugst!$R$5:$W$9,MATCH(ROUNDUP((P$1)/10,0)*10,[1]Hugst!$R$4:$W$4,0))))</f>
        <v>3465.3004996196937</v>
      </c>
      <c r="Q146" s="168">
        <f ca="1">IF($C146-Q$1&lt;År1,0,P145*(1-VLOOKUP($A146,[1]Hugst!$R$5:$W$9,MATCH(ROUNDUP((Q$1)/10,0)*10,[1]Hugst!$R$4:$W$4,0))))</f>
        <v>3470.498920146299</v>
      </c>
      <c r="R146" s="168">
        <f ca="1">IF($C146-R$1&lt;År1,0,Q145*(1-VLOOKUP($A146,[1]Hugst!$R$5:$W$9,MATCH(ROUNDUP((R$1)/10,0)*10,[1]Hugst!$R$4:$W$4,0))))</f>
        <v>3475.7234633892181</v>
      </c>
      <c r="S146" s="168">
        <f ca="1">IF($C146-S$1&lt;År1,0,R145*(1-VLOOKUP($A146,[1]Hugst!$R$5:$W$9,MATCH(ROUNDUP((S$1)/10,0)*10,[1]Hugst!$R$4:$W$4,0))))</f>
        <v>3480.9742606182222</v>
      </c>
      <c r="T146" s="168">
        <f ca="1">IF($C146-T$1&lt;År1,0,S145*(1-VLOOKUP($A146,[1]Hugst!$R$5:$W$9,MATCH(ROUNDUP((T$1)/10,0)*10,[1]Hugst!$R$4:$W$4,0))))</f>
        <v>3486.2514437629538</v>
      </c>
      <c r="U146" s="168">
        <f ca="1">IF($C146-U$1&lt;År1,0,T145*(1-VLOOKUP($A146,[1]Hugst!$R$5:$W$9,MATCH(ROUNDUP((U$1)/10,0)*10,[1]Hugst!$R$4:$W$4,0))))</f>
        <v>3491.5551454159536</v>
      </c>
      <c r="V146" s="168">
        <f ca="1">IF($C146-V$1&lt;År1,0,U145*(1-VLOOKUP($A146,[1]Hugst!$R$5:$W$9,MATCH(ROUNDUP((V$1)/10,0)*10,[1]Hugst!$R$4:$W$4,0))))</f>
        <v>3496.8854988360649</v>
      </c>
      <c r="W146" s="168">
        <f ca="1">IF($C146-W$1&lt;År1,0,V145*(1-VLOOKUP($A146,[1]Hugst!$R$5:$W$9,MATCH(ROUNDUP((W$1)/10,0)*10,[1]Hugst!$R$4:$W$4,0))))</f>
        <v>3502.2426379517524</v>
      </c>
      <c r="X146" s="168">
        <f ca="1">IF($C146-X$1&lt;År1,0,W145*(1-VLOOKUP($A146,[1]Hugst!$R$5:$W$9,MATCH(ROUNDUP((X$1)/10,0)*10,[1]Hugst!$R$4:$W$4,0))))</f>
        <v>3507.6266973645065</v>
      </c>
      <c r="Y146" s="168">
        <f ca="1">IF($C146-Y$1&lt;År1,0,X145*(1-VLOOKUP($A146,[1]Hugst!$R$5:$W$9,MATCH(ROUNDUP((Y$1)/10,0)*10,[1]Hugst!$R$4:$W$4,0))))</f>
        <v>3513.0378123521618</v>
      </c>
      <c r="Z146" s="168">
        <f ca="1">IF($C146-Z$1&lt;År1,0,Y145*(1-VLOOKUP($A146,[1]Hugst!$R$5:$W$9,MATCH(ROUNDUP((Z$1)/10,0)*10,[1]Hugst!$R$4:$W$4,0))))</f>
        <v>3518.4761188724765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*VLOOKUP(A147,Skovbrug!$A$13:$D$17,IF('Skovbrug-alder'!C147&lt;=År2,3,4),FALSE)-IF(C147&gt;2020,SUM(INDEX($C$1:$D$311,MATCH(1,(2020=$C$1:$C$311)*(B147=$B$1:$B$311)*(A147=$A$1:$A$311),0),2):D146),0))</f>
        <v>978.99026556653553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3409.8050803813503</v>
      </c>
      <c r="G147" s="168">
        <f ca="1">IF($C147-G$1&lt;År1,0,F146*(1-VLOOKUP($A147,[1]Hugst!$R$5:$W$9,MATCH(ROUNDUP((G$1)/10,0)*10,[1]Hugst!$R$4:$W$4,0))))</f>
        <v>3414.7246294545303</v>
      </c>
      <c r="H147" s="168">
        <f ca="1">IF($C147-H$1&lt;År1,0,G146*(1-VLOOKUP($A147,[1]Hugst!$R$5:$W$9,MATCH(ROUNDUP((H$1)/10,0)*10,[1]Hugst!$R$4:$W$4,0))))</f>
        <v>3419.6688998798318</v>
      </c>
      <c r="I147" s="168">
        <f ca="1">IF($C147-I$1&lt;År1,0,H146*(1-VLOOKUP($A147,[1]Hugst!$R$5:$W$9,MATCH(ROUNDUP((I$1)/10,0)*10,[1]Hugst!$R$4:$W$4,0))))</f>
        <v>3424.638015885238</v>
      </c>
      <c r="J147" s="168">
        <f ca="1">IF($C147-J$1&lt;År1,0,I146*(1-VLOOKUP($A147,[1]Hugst!$R$5:$W$9,MATCH(ROUNDUP((J$1)/10,0)*10,[1]Hugst!$R$4:$W$4,0))))</f>
        <v>3429.6321023227474</v>
      </c>
      <c r="K147" s="168">
        <f ca="1">IF($C147-K$1&lt;År1,0,J146*(1-VLOOKUP($A147,[1]Hugst!$R$5:$W$9,MATCH(ROUNDUP((K$1)/10,0)*10,[1]Hugst!$R$4:$W$4,0))))</f>
        <v>3434.6512846720407</v>
      </c>
      <c r="L147" s="168">
        <f ca="1">IF($C147-L$1&lt;År1,0,K146*(1-VLOOKUP($A147,[1]Hugst!$R$5:$W$9,MATCH(ROUNDUP((L$1)/10,0)*10,[1]Hugst!$R$4:$W$4,0))))</f>
        <v>3439.6956890431875</v>
      </c>
      <c r="M147" s="168">
        <f ca="1">IF($C147-M$1&lt;År1,0,L146*(1-VLOOKUP($A147,[1]Hugst!$R$5:$W$9,MATCH(ROUNDUP((M$1)/10,0)*10,[1]Hugst!$R$4:$W$4,0))))</f>
        <v>3444.7654421799934</v>
      </c>
      <c r="N147" s="168">
        <f ca="1">IF($C147-N$1&lt;År1,0,M146*(1-VLOOKUP($A147,[1]Hugst!$R$5:$W$9,MATCH(ROUNDUP((N$1)/10,0)*10,[1]Hugst!$R$4:$W$4,0))))</f>
        <v>3449.8606714632306</v>
      </c>
      <c r="O147" s="168">
        <f ca="1">IF($C147-O$1&lt;År1,0,N146*(1-VLOOKUP($A147,[1]Hugst!$R$5:$W$9,MATCH(ROUNDUP((O$1)/10,0)*10,[1]Hugst!$R$4:$W$4,0))))</f>
        <v>3454.9815049137515</v>
      </c>
      <c r="P147" s="168">
        <f ca="1">IF($C147-P$1&lt;År1,0,O146*(1-VLOOKUP($A147,[1]Hugst!$R$5:$W$9,MATCH(ROUNDUP((P$1)/10,0)*10,[1]Hugst!$R$4:$W$4,0))))</f>
        <v>3460.1280711956033</v>
      </c>
      <c r="Q147" s="168">
        <f ca="1">IF($C147-Q$1&lt;År1,0,P146*(1-VLOOKUP($A147,[1]Hugst!$R$5:$W$9,MATCH(ROUNDUP((Q$1)/10,0)*10,[1]Hugst!$R$4:$W$4,0))))</f>
        <v>3465.3004996196937</v>
      </c>
      <c r="R147" s="168">
        <f ca="1">IF($C147-R$1&lt;År1,0,Q146*(1-VLOOKUP($A147,[1]Hugst!$R$5:$W$9,MATCH(ROUNDUP((R$1)/10,0)*10,[1]Hugst!$R$4:$W$4,0))))</f>
        <v>3470.498920146299</v>
      </c>
      <c r="S147" s="168">
        <f ca="1">IF($C147-S$1&lt;År1,0,R146*(1-VLOOKUP($A147,[1]Hugst!$R$5:$W$9,MATCH(ROUNDUP((S$1)/10,0)*10,[1]Hugst!$R$4:$W$4,0))))</f>
        <v>3475.7234633892181</v>
      </c>
      <c r="T147" s="168">
        <f ca="1">IF($C147-T$1&lt;År1,0,S146*(1-VLOOKUP($A147,[1]Hugst!$R$5:$W$9,MATCH(ROUNDUP((T$1)/10,0)*10,[1]Hugst!$R$4:$W$4,0))))</f>
        <v>3480.9742606182222</v>
      </c>
      <c r="U147" s="168">
        <f ca="1">IF($C147-U$1&lt;År1,0,T146*(1-VLOOKUP($A147,[1]Hugst!$R$5:$W$9,MATCH(ROUNDUP((U$1)/10,0)*10,[1]Hugst!$R$4:$W$4,0))))</f>
        <v>3486.2514437629538</v>
      </c>
      <c r="V147" s="168">
        <f ca="1">IF($C147-V$1&lt;År1,0,U146*(1-VLOOKUP($A147,[1]Hugst!$R$5:$W$9,MATCH(ROUNDUP((V$1)/10,0)*10,[1]Hugst!$R$4:$W$4,0))))</f>
        <v>3491.5551454159536</v>
      </c>
      <c r="W147" s="168">
        <f ca="1">IF($C147-W$1&lt;År1,0,V146*(1-VLOOKUP($A147,[1]Hugst!$R$5:$W$9,MATCH(ROUNDUP((W$1)/10,0)*10,[1]Hugst!$R$4:$W$4,0))))</f>
        <v>3496.8854988360649</v>
      </c>
      <c r="X147" s="168">
        <f ca="1">IF($C147-X$1&lt;År1,0,W146*(1-VLOOKUP($A147,[1]Hugst!$R$5:$W$9,MATCH(ROUNDUP((X$1)/10,0)*10,[1]Hugst!$R$4:$W$4,0))))</f>
        <v>3502.2426379517524</v>
      </c>
      <c r="Y147" s="168">
        <f ca="1">IF($C147-Y$1&lt;År1,0,X146*(1-VLOOKUP($A147,[1]Hugst!$R$5:$W$9,MATCH(ROUNDUP((Y$1)/10,0)*10,[1]Hugst!$R$4:$W$4,0))))</f>
        <v>3507.6266973645065</v>
      </c>
      <c r="Z147" s="168">
        <f ca="1">IF($C147-Z$1&lt;År1,0,Y146*(1-VLOOKUP($A147,[1]Hugst!$R$5:$W$9,MATCH(ROUNDUP((Z$1)/10,0)*10,[1]Hugst!$R$4:$W$4,0))))</f>
        <v>3513.0378123521618</v>
      </c>
      <c r="AA147" s="168">
        <f ca="1">IF($C147-AA$1&lt;År1,0,Z146*(1-VLOOKUP($A147,[1]Hugst!$R$5:$W$9,MATCH(ROUNDUP((AA$1)/10,0)*10,[1]Hugst!$R$4:$W$4,0))))</f>
        <v>3518.4761188724765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*VLOOKUP(A148,Skovbrug!$A$13:$D$17,IF('Skovbrug-alder'!C148&lt;=År2,3,4),FALSE)-IF(C148&gt;2020,SUM(INDEX($C$1:$D$311,MATCH(1,(2020=$C$1:$C$311)*(B148=$B$1:$B$311)*(A148=$A$1:$A$311),0),2):D147),0))</f>
        <v>974.09531423868611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3404.9101290535009</v>
      </c>
      <c r="G148" s="168">
        <f ca="1">IF($C148-G$1&lt;År1,0,F147*(1-VLOOKUP($A148,[1]Hugst!$R$5:$W$9,MATCH(ROUNDUP((G$1)/10,0)*10,[1]Hugst!$R$4:$W$4,0))))</f>
        <v>3409.8050803813503</v>
      </c>
      <c r="H148" s="168">
        <f ca="1">IF($C148-H$1&lt;År1,0,G147*(1-VLOOKUP($A148,[1]Hugst!$R$5:$W$9,MATCH(ROUNDUP((H$1)/10,0)*10,[1]Hugst!$R$4:$W$4,0))))</f>
        <v>3414.7246294545303</v>
      </c>
      <c r="I148" s="168">
        <f ca="1">IF($C148-I$1&lt;År1,0,H147*(1-VLOOKUP($A148,[1]Hugst!$R$5:$W$9,MATCH(ROUNDUP((I$1)/10,0)*10,[1]Hugst!$R$4:$W$4,0))))</f>
        <v>3419.6688998798318</v>
      </c>
      <c r="J148" s="168">
        <f ca="1">IF($C148-J$1&lt;År1,0,I147*(1-VLOOKUP($A148,[1]Hugst!$R$5:$W$9,MATCH(ROUNDUP((J$1)/10,0)*10,[1]Hugst!$R$4:$W$4,0))))</f>
        <v>3424.638015885238</v>
      </c>
      <c r="K148" s="168">
        <f ca="1">IF($C148-K$1&lt;År1,0,J147*(1-VLOOKUP($A148,[1]Hugst!$R$5:$W$9,MATCH(ROUNDUP((K$1)/10,0)*10,[1]Hugst!$R$4:$W$4,0))))</f>
        <v>3429.6321023227474</v>
      </c>
      <c r="L148" s="168">
        <f ca="1">IF($C148-L$1&lt;År1,0,K147*(1-VLOOKUP($A148,[1]Hugst!$R$5:$W$9,MATCH(ROUNDUP((L$1)/10,0)*10,[1]Hugst!$R$4:$W$4,0))))</f>
        <v>3434.6512846720407</v>
      </c>
      <c r="M148" s="168">
        <f ca="1">IF($C148-M$1&lt;År1,0,L147*(1-VLOOKUP($A148,[1]Hugst!$R$5:$W$9,MATCH(ROUNDUP((M$1)/10,0)*10,[1]Hugst!$R$4:$W$4,0))))</f>
        <v>3439.6956890431875</v>
      </c>
      <c r="N148" s="168">
        <f ca="1">IF($C148-N$1&lt;År1,0,M147*(1-VLOOKUP($A148,[1]Hugst!$R$5:$W$9,MATCH(ROUNDUP((N$1)/10,0)*10,[1]Hugst!$R$4:$W$4,0))))</f>
        <v>3444.7654421799934</v>
      </c>
      <c r="O148" s="168">
        <f ca="1">IF($C148-O$1&lt;År1,0,N147*(1-VLOOKUP($A148,[1]Hugst!$R$5:$W$9,MATCH(ROUNDUP((O$1)/10,0)*10,[1]Hugst!$R$4:$W$4,0))))</f>
        <v>3449.8606714632306</v>
      </c>
      <c r="P148" s="168">
        <f ca="1">IF($C148-P$1&lt;År1,0,O147*(1-VLOOKUP($A148,[1]Hugst!$R$5:$W$9,MATCH(ROUNDUP((P$1)/10,0)*10,[1]Hugst!$R$4:$W$4,0))))</f>
        <v>3454.9815049137515</v>
      </c>
      <c r="Q148" s="168">
        <f ca="1">IF($C148-Q$1&lt;År1,0,P147*(1-VLOOKUP($A148,[1]Hugst!$R$5:$W$9,MATCH(ROUNDUP((Q$1)/10,0)*10,[1]Hugst!$R$4:$W$4,0))))</f>
        <v>3460.1280711956033</v>
      </c>
      <c r="R148" s="168">
        <f ca="1">IF($C148-R$1&lt;År1,0,Q147*(1-VLOOKUP($A148,[1]Hugst!$R$5:$W$9,MATCH(ROUNDUP((R$1)/10,0)*10,[1]Hugst!$R$4:$W$4,0))))</f>
        <v>3465.3004996196937</v>
      </c>
      <c r="S148" s="168">
        <f ca="1">IF($C148-S$1&lt;År1,0,R147*(1-VLOOKUP($A148,[1]Hugst!$R$5:$W$9,MATCH(ROUNDUP((S$1)/10,0)*10,[1]Hugst!$R$4:$W$4,0))))</f>
        <v>3470.498920146299</v>
      </c>
      <c r="T148" s="168">
        <f ca="1">IF($C148-T$1&lt;År1,0,S147*(1-VLOOKUP($A148,[1]Hugst!$R$5:$W$9,MATCH(ROUNDUP((T$1)/10,0)*10,[1]Hugst!$R$4:$W$4,0))))</f>
        <v>3475.7234633892181</v>
      </c>
      <c r="U148" s="168">
        <f ca="1">IF($C148-U$1&lt;År1,0,T147*(1-VLOOKUP($A148,[1]Hugst!$R$5:$W$9,MATCH(ROUNDUP((U$1)/10,0)*10,[1]Hugst!$R$4:$W$4,0))))</f>
        <v>3480.9742606182222</v>
      </c>
      <c r="V148" s="168">
        <f ca="1">IF($C148-V$1&lt;År1,0,U147*(1-VLOOKUP($A148,[1]Hugst!$R$5:$W$9,MATCH(ROUNDUP((V$1)/10,0)*10,[1]Hugst!$R$4:$W$4,0))))</f>
        <v>3486.2514437629538</v>
      </c>
      <c r="W148" s="168">
        <f ca="1">IF($C148-W$1&lt;År1,0,V147*(1-VLOOKUP($A148,[1]Hugst!$R$5:$W$9,MATCH(ROUNDUP((W$1)/10,0)*10,[1]Hugst!$R$4:$W$4,0))))</f>
        <v>3491.5551454159536</v>
      </c>
      <c r="X148" s="168">
        <f ca="1">IF($C148-X$1&lt;År1,0,W147*(1-VLOOKUP($A148,[1]Hugst!$R$5:$W$9,MATCH(ROUNDUP((X$1)/10,0)*10,[1]Hugst!$R$4:$W$4,0))))</f>
        <v>3496.8854988360649</v>
      </c>
      <c r="Y148" s="168">
        <f ca="1">IF($C148-Y$1&lt;År1,0,X147*(1-VLOOKUP($A148,[1]Hugst!$R$5:$W$9,MATCH(ROUNDUP((Y$1)/10,0)*10,[1]Hugst!$R$4:$W$4,0))))</f>
        <v>3502.2426379517524</v>
      </c>
      <c r="Z148" s="168">
        <f ca="1">IF($C148-Z$1&lt;År1,0,Y147*(1-VLOOKUP($A148,[1]Hugst!$R$5:$W$9,MATCH(ROUNDUP((Z$1)/10,0)*10,[1]Hugst!$R$4:$W$4,0))))</f>
        <v>3507.6266973645065</v>
      </c>
      <c r="AA148" s="168">
        <f ca="1">IF($C148-AA$1&lt;År1,0,Z147*(1-VLOOKUP($A148,[1]Hugst!$R$5:$W$9,MATCH(ROUNDUP((AA$1)/10,0)*10,[1]Hugst!$R$4:$W$4,0))))</f>
        <v>3513.0378123521618</v>
      </c>
      <c r="AB148" s="168">
        <f ca="1">IF($C148-AB$1&lt;År1,0,AA147*(1-VLOOKUP($A148,[1]Hugst!$R$5:$W$9,MATCH(ROUNDUP((AB$1)/10,0)*10,[1]Hugst!$R$4:$W$4,0))))</f>
        <v>3518.4761188724765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*VLOOKUP(A149,Skovbrug!$A$13:$D$17,IF('Skovbrug-alder'!C149&lt;=År2,3,4),FALSE)-IF(C149&gt;2020,SUM(INDEX($C$1:$D$311,MATCH(1,(2020=$C$1:$C$311)*(B149=$B$1:$B$311)*(A149=$A$1:$A$311),0),2):D148),0))</f>
        <v>969.22483766748337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3400.0396524822982</v>
      </c>
      <c r="G149" s="168">
        <f ca="1">IF($C149-G$1&lt;År1,0,F148*(1-VLOOKUP($A149,[1]Hugst!$R$5:$W$9,MATCH(ROUNDUP((G$1)/10,0)*10,[1]Hugst!$R$4:$W$4,0))))</f>
        <v>3404.9101290535009</v>
      </c>
      <c r="H149" s="168">
        <f ca="1">IF($C149-H$1&lt;År1,0,G148*(1-VLOOKUP($A149,[1]Hugst!$R$5:$W$9,MATCH(ROUNDUP((H$1)/10,0)*10,[1]Hugst!$R$4:$W$4,0))))</f>
        <v>3409.8050803813503</v>
      </c>
      <c r="I149" s="168">
        <f ca="1">IF($C149-I$1&lt;År1,0,H148*(1-VLOOKUP($A149,[1]Hugst!$R$5:$W$9,MATCH(ROUNDUP((I$1)/10,0)*10,[1]Hugst!$R$4:$W$4,0))))</f>
        <v>3414.7246294545303</v>
      </c>
      <c r="J149" s="168">
        <f ca="1">IF($C149-J$1&lt;År1,0,I148*(1-VLOOKUP($A149,[1]Hugst!$R$5:$W$9,MATCH(ROUNDUP((J$1)/10,0)*10,[1]Hugst!$R$4:$W$4,0))))</f>
        <v>3419.6688998798318</v>
      </c>
      <c r="K149" s="168">
        <f ca="1">IF($C149-K$1&lt;År1,0,J148*(1-VLOOKUP($A149,[1]Hugst!$R$5:$W$9,MATCH(ROUNDUP((K$1)/10,0)*10,[1]Hugst!$R$4:$W$4,0))))</f>
        <v>3424.638015885238</v>
      </c>
      <c r="L149" s="168">
        <f ca="1">IF($C149-L$1&lt;År1,0,K148*(1-VLOOKUP($A149,[1]Hugst!$R$5:$W$9,MATCH(ROUNDUP((L$1)/10,0)*10,[1]Hugst!$R$4:$W$4,0))))</f>
        <v>3429.6321023227474</v>
      </c>
      <c r="M149" s="168">
        <f ca="1">IF($C149-M$1&lt;År1,0,L148*(1-VLOOKUP($A149,[1]Hugst!$R$5:$W$9,MATCH(ROUNDUP((M$1)/10,0)*10,[1]Hugst!$R$4:$W$4,0))))</f>
        <v>3434.6512846720407</v>
      </c>
      <c r="N149" s="168">
        <f ca="1">IF($C149-N$1&lt;År1,0,M148*(1-VLOOKUP($A149,[1]Hugst!$R$5:$W$9,MATCH(ROUNDUP((N$1)/10,0)*10,[1]Hugst!$R$4:$W$4,0))))</f>
        <v>3439.6956890431875</v>
      </c>
      <c r="O149" s="168">
        <f ca="1">IF($C149-O$1&lt;År1,0,N148*(1-VLOOKUP($A149,[1]Hugst!$R$5:$W$9,MATCH(ROUNDUP((O$1)/10,0)*10,[1]Hugst!$R$4:$W$4,0))))</f>
        <v>3444.7654421799934</v>
      </c>
      <c r="P149" s="168">
        <f ca="1">IF($C149-P$1&lt;År1,0,O148*(1-VLOOKUP($A149,[1]Hugst!$R$5:$W$9,MATCH(ROUNDUP((P$1)/10,0)*10,[1]Hugst!$R$4:$W$4,0))))</f>
        <v>3449.8606714632306</v>
      </c>
      <c r="Q149" s="168">
        <f ca="1">IF($C149-Q$1&lt;År1,0,P148*(1-VLOOKUP($A149,[1]Hugst!$R$5:$W$9,MATCH(ROUNDUP((Q$1)/10,0)*10,[1]Hugst!$R$4:$W$4,0))))</f>
        <v>3454.9815049137515</v>
      </c>
      <c r="R149" s="168">
        <f ca="1">IF($C149-R$1&lt;År1,0,Q148*(1-VLOOKUP($A149,[1]Hugst!$R$5:$W$9,MATCH(ROUNDUP((R$1)/10,0)*10,[1]Hugst!$R$4:$W$4,0))))</f>
        <v>3460.1280711956033</v>
      </c>
      <c r="S149" s="168">
        <f ca="1">IF($C149-S$1&lt;År1,0,R148*(1-VLOOKUP($A149,[1]Hugst!$R$5:$W$9,MATCH(ROUNDUP((S$1)/10,0)*10,[1]Hugst!$R$4:$W$4,0))))</f>
        <v>3465.3004996196937</v>
      </c>
      <c r="T149" s="168">
        <f ca="1">IF($C149-T$1&lt;År1,0,S148*(1-VLOOKUP($A149,[1]Hugst!$R$5:$W$9,MATCH(ROUNDUP((T$1)/10,0)*10,[1]Hugst!$R$4:$W$4,0))))</f>
        <v>3470.498920146299</v>
      </c>
      <c r="U149" s="168">
        <f ca="1">IF($C149-U$1&lt;År1,0,T148*(1-VLOOKUP($A149,[1]Hugst!$R$5:$W$9,MATCH(ROUNDUP((U$1)/10,0)*10,[1]Hugst!$R$4:$W$4,0))))</f>
        <v>3475.7234633892181</v>
      </c>
      <c r="V149" s="168">
        <f ca="1">IF($C149-V$1&lt;År1,0,U148*(1-VLOOKUP($A149,[1]Hugst!$R$5:$W$9,MATCH(ROUNDUP((V$1)/10,0)*10,[1]Hugst!$R$4:$W$4,0))))</f>
        <v>3480.9742606182222</v>
      </c>
      <c r="W149" s="168">
        <f ca="1">IF($C149-W$1&lt;År1,0,V148*(1-VLOOKUP($A149,[1]Hugst!$R$5:$W$9,MATCH(ROUNDUP((W$1)/10,0)*10,[1]Hugst!$R$4:$W$4,0))))</f>
        <v>3486.2514437629538</v>
      </c>
      <c r="X149" s="168">
        <f ca="1">IF($C149-X$1&lt;År1,0,W148*(1-VLOOKUP($A149,[1]Hugst!$R$5:$W$9,MATCH(ROUNDUP((X$1)/10,0)*10,[1]Hugst!$R$4:$W$4,0))))</f>
        <v>3491.5551454159536</v>
      </c>
      <c r="Y149" s="168">
        <f ca="1">IF($C149-Y$1&lt;År1,0,X148*(1-VLOOKUP($A149,[1]Hugst!$R$5:$W$9,MATCH(ROUNDUP((Y$1)/10,0)*10,[1]Hugst!$R$4:$W$4,0))))</f>
        <v>3496.8854988360649</v>
      </c>
      <c r="Z149" s="168">
        <f ca="1">IF($C149-Z$1&lt;År1,0,Y148*(1-VLOOKUP($A149,[1]Hugst!$R$5:$W$9,MATCH(ROUNDUP((Z$1)/10,0)*10,[1]Hugst!$R$4:$W$4,0))))</f>
        <v>3502.2426379517524</v>
      </c>
      <c r="AA149" s="168">
        <f ca="1">IF($C149-AA$1&lt;År1,0,Z148*(1-VLOOKUP($A149,[1]Hugst!$R$5:$W$9,MATCH(ROUNDUP((AA$1)/10,0)*10,[1]Hugst!$R$4:$W$4,0))))</f>
        <v>3507.6266973645065</v>
      </c>
      <c r="AB149" s="168">
        <f ca="1">IF($C149-AB$1&lt;År1,0,AA148*(1-VLOOKUP($A149,[1]Hugst!$R$5:$W$9,MATCH(ROUNDUP((AB$1)/10,0)*10,[1]Hugst!$R$4:$W$4,0))))</f>
        <v>3513.0378123521618</v>
      </c>
      <c r="AC149" s="168">
        <f ca="1">IF($C149-AC$1&lt;År1,0,AB148*(1-VLOOKUP($A149,[1]Hugst!$R$5:$W$9,MATCH(ROUNDUP((AC$1)/10,0)*10,[1]Hugst!$R$4:$W$4,0))))</f>
        <v>3518.4761188724765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*VLOOKUP(A150,Skovbrug!$A$13:$D$17,IF('Skovbrug-alder'!C150&lt;=År2,3,4),FALSE)-IF(C150&gt;2020,SUM(INDEX($C$1:$D$311,MATCH(1,(2020=$C$1:$C$311)*(B150=$B$1:$B$311)*(A150=$A$1:$A$311),0),2):D149),0))</f>
        <v>964.37871347914916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3395.1935282939639</v>
      </c>
      <c r="G150" s="168">
        <f ca="1">IF($C150-G$1&lt;År1,0,F149*(1-VLOOKUP($A150,[1]Hugst!$R$5:$W$9,MATCH(ROUNDUP((G$1)/10,0)*10,[1]Hugst!$R$4:$W$4,0))))</f>
        <v>3400.0396524822982</v>
      </c>
      <c r="H150" s="168">
        <f ca="1">IF($C150-H$1&lt;År1,0,G149*(1-VLOOKUP($A150,[1]Hugst!$R$5:$W$9,MATCH(ROUNDUP((H$1)/10,0)*10,[1]Hugst!$R$4:$W$4,0))))</f>
        <v>3404.9101290535009</v>
      </c>
      <c r="I150" s="168">
        <f ca="1">IF($C150-I$1&lt;År1,0,H149*(1-VLOOKUP($A150,[1]Hugst!$R$5:$W$9,MATCH(ROUNDUP((I$1)/10,0)*10,[1]Hugst!$R$4:$W$4,0))))</f>
        <v>3409.8050803813503</v>
      </c>
      <c r="J150" s="168">
        <f ca="1">IF($C150-J$1&lt;År1,0,I149*(1-VLOOKUP($A150,[1]Hugst!$R$5:$W$9,MATCH(ROUNDUP((J$1)/10,0)*10,[1]Hugst!$R$4:$W$4,0))))</f>
        <v>3414.7246294545303</v>
      </c>
      <c r="K150" s="168">
        <f ca="1">IF($C150-K$1&lt;År1,0,J149*(1-VLOOKUP($A150,[1]Hugst!$R$5:$W$9,MATCH(ROUNDUP((K$1)/10,0)*10,[1]Hugst!$R$4:$W$4,0))))</f>
        <v>3419.6688998798318</v>
      </c>
      <c r="L150" s="168">
        <f ca="1">IF($C150-L$1&lt;År1,0,K149*(1-VLOOKUP($A150,[1]Hugst!$R$5:$W$9,MATCH(ROUNDUP((L$1)/10,0)*10,[1]Hugst!$R$4:$W$4,0))))</f>
        <v>3424.638015885238</v>
      </c>
      <c r="M150" s="168">
        <f ca="1">IF($C150-M$1&lt;År1,0,L149*(1-VLOOKUP($A150,[1]Hugst!$R$5:$W$9,MATCH(ROUNDUP((M$1)/10,0)*10,[1]Hugst!$R$4:$W$4,0))))</f>
        <v>3429.6321023227474</v>
      </c>
      <c r="N150" s="168">
        <f ca="1">IF($C150-N$1&lt;År1,0,M149*(1-VLOOKUP($A150,[1]Hugst!$R$5:$W$9,MATCH(ROUNDUP((N$1)/10,0)*10,[1]Hugst!$R$4:$W$4,0))))</f>
        <v>3434.6512846720407</v>
      </c>
      <c r="O150" s="168">
        <f ca="1">IF($C150-O$1&lt;År1,0,N149*(1-VLOOKUP($A150,[1]Hugst!$R$5:$W$9,MATCH(ROUNDUP((O$1)/10,0)*10,[1]Hugst!$R$4:$W$4,0))))</f>
        <v>3439.6956890431875</v>
      </c>
      <c r="P150" s="168">
        <f ca="1">IF($C150-P$1&lt;År1,0,O149*(1-VLOOKUP($A150,[1]Hugst!$R$5:$W$9,MATCH(ROUNDUP((P$1)/10,0)*10,[1]Hugst!$R$4:$W$4,0))))</f>
        <v>3444.7654421799934</v>
      </c>
      <c r="Q150" s="168">
        <f ca="1">IF($C150-Q$1&lt;År1,0,P149*(1-VLOOKUP($A150,[1]Hugst!$R$5:$W$9,MATCH(ROUNDUP((Q$1)/10,0)*10,[1]Hugst!$R$4:$W$4,0))))</f>
        <v>3449.8606714632306</v>
      </c>
      <c r="R150" s="168">
        <f ca="1">IF($C150-R$1&lt;År1,0,Q149*(1-VLOOKUP($A150,[1]Hugst!$R$5:$W$9,MATCH(ROUNDUP((R$1)/10,0)*10,[1]Hugst!$R$4:$W$4,0))))</f>
        <v>3454.9815049137515</v>
      </c>
      <c r="S150" s="168">
        <f ca="1">IF($C150-S$1&lt;År1,0,R149*(1-VLOOKUP($A150,[1]Hugst!$R$5:$W$9,MATCH(ROUNDUP((S$1)/10,0)*10,[1]Hugst!$R$4:$W$4,0))))</f>
        <v>3460.1280711956033</v>
      </c>
      <c r="T150" s="168">
        <f ca="1">IF($C150-T$1&lt;År1,0,S149*(1-VLOOKUP($A150,[1]Hugst!$R$5:$W$9,MATCH(ROUNDUP((T$1)/10,0)*10,[1]Hugst!$R$4:$W$4,0))))</f>
        <v>3465.3004996196937</v>
      </c>
      <c r="U150" s="168">
        <f ca="1">IF($C150-U$1&lt;År1,0,T149*(1-VLOOKUP($A150,[1]Hugst!$R$5:$W$9,MATCH(ROUNDUP((U$1)/10,0)*10,[1]Hugst!$R$4:$W$4,0))))</f>
        <v>3470.498920146299</v>
      </c>
      <c r="V150" s="168">
        <f ca="1">IF($C150-V$1&lt;År1,0,U149*(1-VLOOKUP($A150,[1]Hugst!$R$5:$W$9,MATCH(ROUNDUP((V$1)/10,0)*10,[1]Hugst!$R$4:$W$4,0))))</f>
        <v>3475.7234633892181</v>
      </c>
      <c r="W150" s="168">
        <f ca="1">IF($C150-W$1&lt;År1,0,V149*(1-VLOOKUP($A150,[1]Hugst!$R$5:$W$9,MATCH(ROUNDUP((W$1)/10,0)*10,[1]Hugst!$R$4:$W$4,0))))</f>
        <v>3480.9742606182222</v>
      </c>
      <c r="X150" s="168">
        <f ca="1">IF($C150-X$1&lt;År1,0,W149*(1-VLOOKUP($A150,[1]Hugst!$R$5:$W$9,MATCH(ROUNDUP((X$1)/10,0)*10,[1]Hugst!$R$4:$W$4,0))))</f>
        <v>3486.2514437629538</v>
      </c>
      <c r="Y150" s="168">
        <f ca="1">IF($C150-Y$1&lt;År1,0,X149*(1-VLOOKUP($A150,[1]Hugst!$R$5:$W$9,MATCH(ROUNDUP((Y$1)/10,0)*10,[1]Hugst!$R$4:$W$4,0))))</f>
        <v>3491.5551454159536</v>
      </c>
      <c r="Z150" s="168">
        <f ca="1">IF($C150-Z$1&lt;År1,0,Y149*(1-VLOOKUP($A150,[1]Hugst!$R$5:$W$9,MATCH(ROUNDUP((Z$1)/10,0)*10,[1]Hugst!$R$4:$W$4,0))))</f>
        <v>3496.8854988360649</v>
      </c>
      <c r="AA150" s="168">
        <f ca="1">IF($C150-AA$1&lt;År1,0,Z149*(1-VLOOKUP($A150,[1]Hugst!$R$5:$W$9,MATCH(ROUNDUP((AA$1)/10,0)*10,[1]Hugst!$R$4:$W$4,0))))</f>
        <v>3502.2426379517524</v>
      </c>
      <c r="AB150" s="168">
        <f ca="1">IF($C150-AB$1&lt;År1,0,AA149*(1-VLOOKUP($A150,[1]Hugst!$R$5:$W$9,MATCH(ROUNDUP((AB$1)/10,0)*10,[1]Hugst!$R$4:$W$4,0))))</f>
        <v>3507.6266973645065</v>
      </c>
      <c r="AC150" s="168">
        <f ca="1">IF($C150-AC$1&lt;År1,0,AB149*(1-VLOOKUP($A150,[1]Hugst!$R$5:$W$9,MATCH(ROUNDUP((AC$1)/10,0)*10,[1]Hugst!$R$4:$W$4,0))))</f>
        <v>3513.0378123521618</v>
      </c>
      <c r="AD150" s="168">
        <f ca="1">IF($C150-AD$1&lt;År1,0,AC149*(1-VLOOKUP($A150,[1]Hugst!$R$5:$W$9,MATCH(ROUNDUP((AD$1)/10,0)*10,[1]Hugst!$R$4:$W$4,0))))</f>
        <v>3518.4761188724765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*VLOOKUP(A151,Skovbrug!$A$13:$D$17,IF('Skovbrug-alder'!C151&lt;=År2,3,4),FALSE)-IF(C151&gt;2020,SUM(INDEX($C$1:$D$311,MATCH(1,(2020=$C$1:$C$311)*(B151=$B$1:$B$311)*(A151=$A$1:$A$311),0),2):D150),0))</f>
        <v>959.55681991175516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3390.3716347265699</v>
      </c>
      <c r="G151" s="168">
        <f ca="1">IF($C151-G$1&lt;År1,0,F150*(1-VLOOKUP($A151,[1]Hugst!$R$5:$W$9,MATCH(ROUNDUP((G$1)/10,0)*10,[1]Hugst!$R$4:$W$4,0))))</f>
        <v>3395.1935282939639</v>
      </c>
      <c r="H151" s="168">
        <f ca="1">IF($C151-H$1&lt;År1,0,G150*(1-VLOOKUP($A151,[1]Hugst!$R$5:$W$9,MATCH(ROUNDUP((H$1)/10,0)*10,[1]Hugst!$R$4:$W$4,0))))</f>
        <v>3400.0396524822982</v>
      </c>
      <c r="I151" s="168">
        <f ca="1">IF($C151-I$1&lt;År1,0,H150*(1-VLOOKUP($A151,[1]Hugst!$R$5:$W$9,MATCH(ROUNDUP((I$1)/10,0)*10,[1]Hugst!$R$4:$W$4,0))))</f>
        <v>3404.9101290535009</v>
      </c>
      <c r="J151" s="168">
        <f ca="1">IF($C151-J$1&lt;År1,0,I150*(1-VLOOKUP($A151,[1]Hugst!$R$5:$W$9,MATCH(ROUNDUP((J$1)/10,0)*10,[1]Hugst!$R$4:$W$4,0))))</f>
        <v>3409.8050803813503</v>
      </c>
      <c r="K151" s="168">
        <f ca="1">IF($C151-K$1&lt;År1,0,J150*(1-VLOOKUP($A151,[1]Hugst!$R$5:$W$9,MATCH(ROUNDUP((K$1)/10,0)*10,[1]Hugst!$R$4:$W$4,0))))</f>
        <v>3414.7246294545303</v>
      </c>
      <c r="L151" s="168">
        <f ca="1">IF($C151-L$1&lt;År1,0,K150*(1-VLOOKUP($A151,[1]Hugst!$R$5:$W$9,MATCH(ROUNDUP((L$1)/10,0)*10,[1]Hugst!$R$4:$W$4,0))))</f>
        <v>3419.6688998798318</v>
      </c>
      <c r="M151" s="168">
        <f ca="1">IF($C151-M$1&lt;År1,0,L150*(1-VLOOKUP($A151,[1]Hugst!$R$5:$W$9,MATCH(ROUNDUP((M$1)/10,0)*10,[1]Hugst!$R$4:$W$4,0))))</f>
        <v>3424.638015885238</v>
      </c>
      <c r="N151" s="168">
        <f ca="1">IF($C151-N$1&lt;År1,0,M150*(1-VLOOKUP($A151,[1]Hugst!$R$5:$W$9,MATCH(ROUNDUP((N$1)/10,0)*10,[1]Hugst!$R$4:$W$4,0))))</f>
        <v>3429.6321023227474</v>
      </c>
      <c r="O151" s="168">
        <f ca="1">IF($C151-O$1&lt;År1,0,N150*(1-VLOOKUP($A151,[1]Hugst!$R$5:$W$9,MATCH(ROUNDUP((O$1)/10,0)*10,[1]Hugst!$R$4:$W$4,0))))</f>
        <v>3434.6512846720407</v>
      </c>
      <c r="P151" s="168">
        <f ca="1">IF($C151-P$1&lt;År1,0,O150*(1-VLOOKUP($A151,[1]Hugst!$R$5:$W$9,MATCH(ROUNDUP((P$1)/10,0)*10,[1]Hugst!$R$4:$W$4,0))))</f>
        <v>3439.6956890431875</v>
      </c>
      <c r="Q151" s="168">
        <f ca="1">IF($C151-Q$1&lt;År1,0,P150*(1-VLOOKUP($A151,[1]Hugst!$R$5:$W$9,MATCH(ROUNDUP((Q$1)/10,0)*10,[1]Hugst!$R$4:$W$4,0))))</f>
        <v>3444.7654421799934</v>
      </c>
      <c r="R151" s="168">
        <f ca="1">IF($C151-R$1&lt;År1,0,Q150*(1-VLOOKUP($A151,[1]Hugst!$R$5:$W$9,MATCH(ROUNDUP((R$1)/10,0)*10,[1]Hugst!$R$4:$W$4,0))))</f>
        <v>3449.8606714632306</v>
      </c>
      <c r="S151" s="168">
        <f ca="1">IF($C151-S$1&lt;År1,0,R150*(1-VLOOKUP($A151,[1]Hugst!$R$5:$W$9,MATCH(ROUNDUP((S$1)/10,0)*10,[1]Hugst!$R$4:$W$4,0))))</f>
        <v>3454.9815049137515</v>
      </c>
      <c r="T151" s="168">
        <f ca="1">IF($C151-T$1&lt;År1,0,S150*(1-VLOOKUP($A151,[1]Hugst!$R$5:$W$9,MATCH(ROUNDUP((T$1)/10,0)*10,[1]Hugst!$R$4:$W$4,0))))</f>
        <v>3460.1280711956033</v>
      </c>
      <c r="U151" s="168">
        <f ca="1">IF($C151-U$1&lt;År1,0,T150*(1-VLOOKUP($A151,[1]Hugst!$R$5:$W$9,MATCH(ROUNDUP((U$1)/10,0)*10,[1]Hugst!$R$4:$W$4,0))))</f>
        <v>3465.3004996196937</v>
      </c>
      <c r="V151" s="168">
        <f ca="1">IF($C151-V$1&lt;År1,0,U150*(1-VLOOKUP($A151,[1]Hugst!$R$5:$W$9,MATCH(ROUNDUP((V$1)/10,0)*10,[1]Hugst!$R$4:$W$4,0))))</f>
        <v>3470.498920146299</v>
      </c>
      <c r="W151" s="168">
        <f ca="1">IF($C151-W$1&lt;År1,0,V150*(1-VLOOKUP($A151,[1]Hugst!$R$5:$W$9,MATCH(ROUNDUP((W$1)/10,0)*10,[1]Hugst!$R$4:$W$4,0))))</f>
        <v>3475.7234633892181</v>
      </c>
      <c r="X151" s="168">
        <f ca="1">IF($C151-X$1&lt;År1,0,W150*(1-VLOOKUP($A151,[1]Hugst!$R$5:$W$9,MATCH(ROUNDUP((X$1)/10,0)*10,[1]Hugst!$R$4:$W$4,0))))</f>
        <v>3480.9742606182222</v>
      </c>
      <c r="Y151" s="168">
        <f ca="1">IF($C151-Y$1&lt;År1,0,X150*(1-VLOOKUP($A151,[1]Hugst!$R$5:$W$9,MATCH(ROUNDUP((Y$1)/10,0)*10,[1]Hugst!$R$4:$W$4,0))))</f>
        <v>3486.2514437629538</v>
      </c>
      <c r="Z151" s="168">
        <f ca="1">IF($C151-Z$1&lt;År1,0,Y150*(1-VLOOKUP($A151,[1]Hugst!$R$5:$W$9,MATCH(ROUNDUP((Z$1)/10,0)*10,[1]Hugst!$R$4:$W$4,0))))</f>
        <v>3491.5551454159536</v>
      </c>
      <c r="AA151" s="168">
        <f ca="1">IF($C151-AA$1&lt;År1,0,Z150*(1-VLOOKUP($A151,[1]Hugst!$R$5:$W$9,MATCH(ROUNDUP((AA$1)/10,0)*10,[1]Hugst!$R$4:$W$4,0))))</f>
        <v>3496.8854988360649</v>
      </c>
      <c r="AB151" s="168">
        <f ca="1">IF($C151-AB$1&lt;År1,0,AA150*(1-VLOOKUP($A151,[1]Hugst!$R$5:$W$9,MATCH(ROUNDUP((AB$1)/10,0)*10,[1]Hugst!$R$4:$W$4,0))))</f>
        <v>3502.2426379517524</v>
      </c>
      <c r="AC151" s="168">
        <f ca="1">IF($C151-AC$1&lt;År1,0,AB150*(1-VLOOKUP($A151,[1]Hugst!$R$5:$W$9,MATCH(ROUNDUP((AC$1)/10,0)*10,[1]Hugst!$R$4:$W$4,0))))</f>
        <v>3507.6266973645065</v>
      </c>
      <c r="AD151" s="168">
        <f ca="1">IF($C151-AD$1&lt;År1,0,AC150*(1-VLOOKUP($A151,[1]Hugst!$R$5:$W$9,MATCH(ROUNDUP((AD$1)/10,0)*10,[1]Hugst!$R$4:$W$4,0))))</f>
        <v>3513.0378123521618</v>
      </c>
      <c r="AE151" s="168">
        <f ca="1">IF($C151-AE$1&lt;År1,0,AD150*(1-VLOOKUP($A151,[1]Hugst!$R$5:$W$9,MATCH(ROUNDUP((AE$1)/10,0)*10,[1]Hugst!$R$4:$W$4,0))))</f>
        <v>3518.4761188724765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*VLOOKUP(A152,Skovbrug!$A$13:$D$17,IF('Skovbrug-alder'!C152&lt;=År2,3,4),FALSE)-IF(C152&gt;2020,SUM(INDEX($C$1:$D$311,MATCH(1,(2020=$C$1:$C$311)*(B152=$B$1:$B$311)*(A152=$A$1:$A$311),0),2):D151),0))</f>
        <v>954.75903581222519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3385.57385062704</v>
      </c>
      <c r="G152" s="168">
        <f ca="1">IF($C152-G$1&lt;År1,0,F151*(1-VLOOKUP($A152,[1]Hugst!$R$5:$W$9,MATCH(ROUNDUP((G$1)/10,0)*10,[1]Hugst!$R$4:$W$4,0))))</f>
        <v>3390.3716347265699</v>
      </c>
      <c r="H152" s="168">
        <f ca="1">IF($C152-H$1&lt;År1,0,G151*(1-VLOOKUP($A152,[1]Hugst!$R$5:$W$9,MATCH(ROUNDUP((H$1)/10,0)*10,[1]Hugst!$R$4:$W$4,0))))</f>
        <v>3395.1935282939639</v>
      </c>
      <c r="I152" s="168">
        <f ca="1">IF($C152-I$1&lt;År1,0,H151*(1-VLOOKUP($A152,[1]Hugst!$R$5:$W$9,MATCH(ROUNDUP((I$1)/10,0)*10,[1]Hugst!$R$4:$W$4,0))))</f>
        <v>3400.0396524822982</v>
      </c>
      <c r="J152" s="168">
        <f ca="1">IF($C152-J$1&lt;År1,0,I151*(1-VLOOKUP($A152,[1]Hugst!$R$5:$W$9,MATCH(ROUNDUP((J$1)/10,0)*10,[1]Hugst!$R$4:$W$4,0))))</f>
        <v>3404.9101290535009</v>
      </c>
      <c r="K152" s="168">
        <f ca="1">IF($C152-K$1&lt;År1,0,J151*(1-VLOOKUP($A152,[1]Hugst!$R$5:$W$9,MATCH(ROUNDUP((K$1)/10,0)*10,[1]Hugst!$R$4:$W$4,0))))</f>
        <v>3409.8050803813503</v>
      </c>
      <c r="L152" s="168">
        <f ca="1">IF($C152-L$1&lt;År1,0,K151*(1-VLOOKUP($A152,[1]Hugst!$R$5:$W$9,MATCH(ROUNDUP((L$1)/10,0)*10,[1]Hugst!$R$4:$W$4,0))))</f>
        <v>3414.7246294545303</v>
      </c>
      <c r="M152" s="168">
        <f ca="1">IF($C152-M$1&lt;År1,0,L151*(1-VLOOKUP($A152,[1]Hugst!$R$5:$W$9,MATCH(ROUNDUP((M$1)/10,0)*10,[1]Hugst!$R$4:$W$4,0))))</f>
        <v>3419.6688998798318</v>
      </c>
      <c r="N152" s="168">
        <f ca="1">IF($C152-N$1&lt;År1,0,M151*(1-VLOOKUP($A152,[1]Hugst!$R$5:$W$9,MATCH(ROUNDUP((N$1)/10,0)*10,[1]Hugst!$R$4:$W$4,0))))</f>
        <v>3424.638015885238</v>
      </c>
      <c r="O152" s="168">
        <f ca="1">IF($C152-O$1&lt;År1,0,N151*(1-VLOOKUP($A152,[1]Hugst!$R$5:$W$9,MATCH(ROUNDUP((O$1)/10,0)*10,[1]Hugst!$R$4:$W$4,0))))</f>
        <v>3429.6321023227474</v>
      </c>
      <c r="P152" s="168">
        <f ca="1">IF($C152-P$1&lt;År1,0,O151*(1-VLOOKUP($A152,[1]Hugst!$R$5:$W$9,MATCH(ROUNDUP((P$1)/10,0)*10,[1]Hugst!$R$4:$W$4,0))))</f>
        <v>3434.6512846720407</v>
      </c>
      <c r="Q152" s="168">
        <f ca="1">IF($C152-Q$1&lt;År1,0,P151*(1-VLOOKUP($A152,[1]Hugst!$R$5:$W$9,MATCH(ROUNDUP((Q$1)/10,0)*10,[1]Hugst!$R$4:$W$4,0))))</f>
        <v>3439.6956890431875</v>
      </c>
      <c r="R152" s="168">
        <f ca="1">IF($C152-R$1&lt;År1,0,Q151*(1-VLOOKUP($A152,[1]Hugst!$R$5:$W$9,MATCH(ROUNDUP((R$1)/10,0)*10,[1]Hugst!$R$4:$W$4,0))))</f>
        <v>3444.7654421799934</v>
      </c>
      <c r="S152" s="168">
        <f ca="1">IF($C152-S$1&lt;År1,0,R151*(1-VLOOKUP($A152,[1]Hugst!$R$5:$W$9,MATCH(ROUNDUP((S$1)/10,0)*10,[1]Hugst!$R$4:$W$4,0))))</f>
        <v>3449.8606714632306</v>
      </c>
      <c r="T152" s="168">
        <f ca="1">IF($C152-T$1&lt;År1,0,S151*(1-VLOOKUP($A152,[1]Hugst!$R$5:$W$9,MATCH(ROUNDUP((T$1)/10,0)*10,[1]Hugst!$R$4:$W$4,0))))</f>
        <v>3454.9815049137515</v>
      </c>
      <c r="U152" s="168">
        <f ca="1">IF($C152-U$1&lt;År1,0,T151*(1-VLOOKUP($A152,[1]Hugst!$R$5:$W$9,MATCH(ROUNDUP((U$1)/10,0)*10,[1]Hugst!$R$4:$W$4,0))))</f>
        <v>3460.1280711956033</v>
      </c>
      <c r="V152" s="168">
        <f ca="1">IF($C152-V$1&lt;År1,0,U151*(1-VLOOKUP($A152,[1]Hugst!$R$5:$W$9,MATCH(ROUNDUP((V$1)/10,0)*10,[1]Hugst!$R$4:$W$4,0))))</f>
        <v>3465.3004996196937</v>
      </c>
      <c r="W152" s="168">
        <f ca="1">IF($C152-W$1&lt;År1,0,V151*(1-VLOOKUP($A152,[1]Hugst!$R$5:$W$9,MATCH(ROUNDUP((W$1)/10,0)*10,[1]Hugst!$R$4:$W$4,0))))</f>
        <v>3470.498920146299</v>
      </c>
      <c r="X152" s="168">
        <f ca="1">IF($C152-X$1&lt;År1,0,W151*(1-VLOOKUP($A152,[1]Hugst!$R$5:$W$9,MATCH(ROUNDUP((X$1)/10,0)*10,[1]Hugst!$R$4:$W$4,0))))</f>
        <v>3475.7234633892181</v>
      </c>
      <c r="Y152" s="168">
        <f ca="1">IF($C152-Y$1&lt;År1,0,X151*(1-VLOOKUP($A152,[1]Hugst!$R$5:$W$9,MATCH(ROUNDUP((Y$1)/10,0)*10,[1]Hugst!$R$4:$W$4,0))))</f>
        <v>3480.9742606182222</v>
      </c>
      <c r="Z152" s="168">
        <f ca="1">IF($C152-Z$1&lt;År1,0,Y151*(1-VLOOKUP($A152,[1]Hugst!$R$5:$W$9,MATCH(ROUNDUP((Z$1)/10,0)*10,[1]Hugst!$R$4:$W$4,0))))</f>
        <v>3486.2514437629538</v>
      </c>
      <c r="AA152" s="168">
        <f ca="1">IF($C152-AA$1&lt;År1,0,Z151*(1-VLOOKUP($A152,[1]Hugst!$R$5:$W$9,MATCH(ROUNDUP((AA$1)/10,0)*10,[1]Hugst!$R$4:$W$4,0))))</f>
        <v>3491.5551454159536</v>
      </c>
      <c r="AB152" s="168">
        <f ca="1">IF($C152-AB$1&lt;År1,0,AA151*(1-VLOOKUP($A152,[1]Hugst!$R$5:$W$9,MATCH(ROUNDUP((AB$1)/10,0)*10,[1]Hugst!$R$4:$W$4,0))))</f>
        <v>3496.8854988360649</v>
      </c>
      <c r="AC152" s="168">
        <f ca="1">IF($C152-AC$1&lt;År1,0,AB151*(1-VLOOKUP($A152,[1]Hugst!$R$5:$W$9,MATCH(ROUNDUP((AC$1)/10,0)*10,[1]Hugst!$R$4:$W$4,0))))</f>
        <v>3502.2426379517524</v>
      </c>
      <c r="AD152" s="168">
        <f ca="1">IF($C152-AD$1&lt;År1,0,AC151*(1-VLOOKUP($A152,[1]Hugst!$R$5:$W$9,MATCH(ROUNDUP((AD$1)/10,0)*10,[1]Hugst!$R$4:$W$4,0))))</f>
        <v>3507.6266973645065</v>
      </c>
      <c r="AE152" s="168">
        <f ca="1">IF($C152-AE$1&lt;År1,0,AD151*(1-VLOOKUP($A152,[1]Hugst!$R$5:$W$9,MATCH(ROUNDUP((AE$1)/10,0)*10,[1]Hugst!$R$4:$W$4,0))))</f>
        <v>3513.0378123521618</v>
      </c>
      <c r="AF152" s="168">
        <f ca="1">IF($C152-AF$1&lt;År1,0,AE151*(1-VLOOKUP($A152,[1]Hugst!$R$5:$W$9,MATCH(ROUNDUP((AF$1)/10,0)*10,[1]Hugst!$R$4:$W$4,0))))</f>
        <v>3518.4761188724765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*VLOOKUP(A153,Skovbrug!$A$13:$D$17,IF('Skovbrug-alder'!C153&lt;=År2,3,4),FALSE)-IF(C153&gt;2020,SUM(INDEX($C$1:$D$311,MATCH(1,(2020=$C$1:$C$311)*(B153=$B$1:$B$311)*(A153=$A$1:$A$311),0),2):D152),0))</f>
        <v>949.9852406331047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3380.8000554479195</v>
      </c>
      <c r="G153" s="168">
        <f ca="1">IF($C153-G$1&lt;År1,0,F152*(1-VLOOKUP($A153,[1]Hugst!$R$5:$W$9,MATCH(ROUNDUP((G$1)/10,0)*10,[1]Hugst!$R$4:$W$4,0))))</f>
        <v>3385.57385062704</v>
      </c>
      <c r="H153" s="168">
        <f ca="1">IF($C153-H$1&lt;År1,0,G152*(1-VLOOKUP($A153,[1]Hugst!$R$5:$W$9,MATCH(ROUNDUP((H$1)/10,0)*10,[1]Hugst!$R$4:$W$4,0))))</f>
        <v>3390.3716347265699</v>
      </c>
      <c r="I153" s="168">
        <f ca="1">IF($C153-I$1&lt;År1,0,H152*(1-VLOOKUP($A153,[1]Hugst!$R$5:$W$9,MATCH(ROUNDUP((I$1)/10,0)*10,[1]Hugst!$R$4:$W$4,0))))</f>
        <v>3395.1935282939639</v>
      </c>
      <c r="J153" s="168">
        <f ca="1">IF($C153-J$1&lt;År1,0,I152*(1-VLOOKUP($A153,[1]Hugst!$R$5:$W$9,MATCH(ROUNDUP((J$1)/10,0)*10,[1]Hugst!$R$4:$W$4,0))))</f>
        <v>3400.0396524822982</v>
      </c>
      <c r="K153" s="168">
        <f ca="1">IF($C153-K$1&lt;År1,0,J152*(1-VLOOKUP($A153,[1]Hugst!$R$5:$W$9,MATCH(ROUNDUP((K$1)/10,0)*10,[1]Hugst!$R$4:$W$4,0))))</f>
        <v>3404.9101290535009</v>
      </c>
      <c r="L153" s="168">
        <f ca="1">IF($C153-L$1&lt;År1,0,K152*(1-VLOOKUP($A153,[1]Hugst!$R$5:$W$9,MATCH(ROUNDUP((L$1)/10,0)*10,[1]Hugst!$R$4:$W$4,0))))</f>
        <v>3409.8050803813503</v>
      </c>
      <c r="M153" s="168">
        <f ca="1">IF($C153-M$1&lt;År1,0,L152*(1-VLOOKUP($A153,[1]Hugst!$R$5:$W$9,MATCH(ROUNDUP((M$1)/10,0)*10,[1]Hugst!$R$4:$W$4,0))))</f>
        <v>3414.7246294545303</v>
      </c>
      <c r="N153" s="168">
        <f ca="1">IF($C153-N$1&lt;År1,0,M152*(1-VLOOKUP($A153,[1]Hugst!$R$5:$W$9,MATCH(ROUNDUP((N$1)/10,0)*10,[1]Hugst!$R$4:$W$4,0))))</f>
        <v>3419.6688998798318</v>
      </c>
      <c r="O153" s="168">
        <f ca="1">IF($C153-O$1&lt;År1,0,N152*(1-VLOOKUP($A153,[1]Hugst!$R$5:$W$9,MATCH(ROUNDUP((O$1)/10,0)*10,[1]Hugst!$R$4:$W$4,0))))</f>
        <v>3424.638015885238</v>
      </c>
      <c r="P153" s="168">
        <f ca="1">IF($C153-P$1&lt;År1,0,O152*(1-VLOOKUP($A153,[1]Hugst!$R$5:$W$9,MATCH(ROUNDUP((P$1)/10,0)*10,[1]Hugst!$R$4:$W$4,0))))</f>
        <v>3429.6321023227474</v>
      </c>
      <c r="Q153" s="168">
        <f ca="1">IF($C153-Q$1&lt;År1,0,P152*(1-VLOOKUP($A153,[1]Hugst!$R$5:$W$9,MATCH(ROUNDUP((Q$1)/10,0)*10,[1]Hugst!$R$4:$W$4,0))))</f>
        <v>3434.6512846720407</v>
      </c>
      <c r="R153" s="168">
        <f ca="1">IF($C153-R$1&lt;År1,0,Q152*(1-VLOOKUP($A153,[1]Hugst!$R$5:$W$9,MATCH(ROUNDUP((R$1)/10,0)*10,[1]Hugst!$R$4:$W$4,0))))</f>
        <v>3439.6956890431875</v>
      </c>
      <c r="S153" s="168">
        <f ca="1">IF($C153-S$1&lt;År1,0,R152*(1-VLOOKUP($A153,[1]Hugst!$R$5:$W$9,MATCH(ROUNDUP((S$1)/10,0)*10,[1]Hugst!$R$4:$W$4,0))))</f>
        <v>3444.7654421799934</v>
      </c>
      <c r="T153" s="168">
        <f ca="1">IF($C153-T$1&lt;År1,0,S152*(1-VLOOKUP($A153,[1]Hugst!$R$5:$W$9,MATCH(ROUNDUP((T$1)/10,0)*10,[1]Hugst!$R$4:$W$4,0))))</f>
        <v>3449.8606714632306</v>
      </c>
      <c r="U153" s="168">
        <f ca="1">IF($C153-U$1&lt;År1,0,T152*(1-VLOOKUP($A153,[1]Hugst!$R$5:$W$9,MATCH(ROUNDUP((U$1)/10,0)*10,[1]Hugst!$R$4:$W$4,0))))</f>
        <v>3454.9815049137515</v>
      </c>
      <c r="V153" s="168">
        <f ca="1">IF($C153-V$1&lt;År1,0,U152*(1-VLOOKUP($A153,[1]Hugst!$R$5:$W$9,MATCH(ROUNDUP((V$1)/10,0)*10,[1]Hugst!$R$4:$W$4,0))))</f>
        <v>3460.1280711956033</v>
      </c>
      <c r="W153" s="168">
        <f ca="1">IF($C153-W$1&lt;År1,0,V152*(1-VLOOKUP($A153,[1]Hugst!$R$5:$W$9,MATCH(ROUNDUP((W$1)/10,0)*10,[1]Hugst!$R$4:$W$4,0))))</f>
        <v>3465.3004996196937</v>
      </c>
      <c r="X153" s="168">
        <f ca="1">IF($C153-X$1&lt;År1,0,W152*(1-VLOOKUP($A153,[1]Hugst!$R$5:$W$9,MATCH(ROUNDUP((X$1)/10,0)*10,[1]Hugst!$R$4:$W$4,0))))</f>
        <v>3470.498920146299</v>
      </c>
      <c r="Y153" s="168">
        <f ca="1">IF($C153-Y$1&lt;År1,0,X152*(1-VLOOKUP($A153,[1]Hugst!$R$5:$W$9,MATCH(ROUNDUP((Y$1)/10,0)*10,[1]Hugst!$R$4:$W$4,0))))</f>
        <v>3475.7234633892181</v>
      </c>
      <c r="Z153" s="168">
        <f ca="1">IF($C153-Z$1&lt;År1,0,Y152*(1-VLOOKUP($A153,[1]Hugst!$R$5:$W$9,MATCH(ROUNDUP((Z$1)/10,0)*10,[1]Hugst!$R$4:$W$4,0))))</f>
        <v>3480.9742606182222</v>
      </c>
      <c r="AA153" s="168">
        <f ca="1">IF($C153-AA$1&lt;År1,0,Z152*(1-VLOOKUP($A153,[1]Hugst!$R$5:$W$9,MATCH(ROUNDUP((AA$1)/10,0)*10,[1]Hugst!$R$4:$W$4,0))))</f>
        <v>3486.2514437629538</v>
      </c>
      <c r="AB153" s="168">
        <f ca="1">IF($C153-AB$1&lt;År1,0,AA152*(1-VLOOKUP($A153,[1]Hugst!$R$5:$W$9,MATCH(ROUNDUP((AB$1)/10,0)*10,[1]Hugst!$R$4:$W$4,0))))</f>
        <v>3491.5551454159536</v>
      </c>
      <c r="AC153" s="168">
        <f ca="1">IF($C153-AC$1&lt;År1,0,AB152*(1-VLOOKUP($A153,[1]Hugst!$R$5:$W$9,MATCH(ROUNDUP((AC$1)/10,0)*10,[1]Hugst!$R$4:$W$4,0))))</f>
        <v>3496.8854988360649</v>
      </c>
      <c r="AD153" s="168">
        <f ca="1">IF($C153-AD$1&lt;År1,0,AC152*(1-VLOOKUP($A153,[1]Hugst!$R$5:$W$9,MATCH(ROUNDUP((AD$1)/10,0)*10,[1]Hugst!$R$4:$W$4,0))))</f>
        <v>3502.2426379517524</v>
      </c>
      <c r="AE153" s="168">
        <f ca="1">IF($C153-AE$1&lt;År1,0,AD152*(1-VLOOKUP($A153,[1]Hugst!$R$5:$W$9,MATCH(ROUNDUP((AE$1)/10,0)*10,[1]Hugst!$R$4:$W$4,0))))</f>
        <v>3507.6266973645065</v>
      </c>
      <c r="AF153" s="168">
        <f ca="1">IF($C153-AF$1&lt;År1,0,AE152*(1-VLOOKUP($A153,[1]Hugst!$R$5:$W$9,MATCH(ROUNDUP((AF$1)/10,0)*10,[1]Hugst!$R$4:$W$4,0))))</f>
        <v>3513.0378123521618</v>
      </c>
      <c r="AG153" s="168">
        <f ca="1">IF($C153-AG$1&lt;År1,0,AF152*(1-VLOOKUP($A153,[1]Hugst!$R$5:$W$9,MATCH(ROUNDUP((AG$1)/10,0)*10,[1]Hugst!$R$4:$W$4,0))))</f>
        <v>3518.4761188724765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*VLOOKUP(A154,Skovbrug!$A$13:$D$17,IF('Skovbrug-alder'!C154&lt;=År2,3,4),FALSE)-IF(C154&gt;2020,SUM(INDEX($C$1:$D$311,MATCH(1,(2020=$C$1:$C$311)*(B154=$B$1:$B$311)*(A154=$A$1:$A$311),0),2):D153),0))</f>
        <v>945.23531442997046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3376.0501292447852</v>
      </c>
      <c r="G154" s="168">
        <f ca="1">IF($C154-G$1&lt;År1,0,F153*(1-VLOOKUP($A154,[1]Hugst!$R$5:$W$9,MATCH(ROUNDUP((G$1)/10,0)*10,[1]Hugst!$R$4:$W$4,0))))</f>
        <v>3380.8000554479195</v>
      </c>
      <c r="H154" s="168">
        <f ca="1">IF($C154-H$1&lt;År1,0,G153*(1-VLOOKUP($A154,[1]Hugst!$R$5:$W$9,MATCH(ROUNDUP((H$1)/10,0)*10,[1]Hugst!$R$4:$W$4,0))))</f>
        <v>3385.57385062704</v>
      </c>
      <c r="I154" s="168">
        <f ca="1">IF($C154-I$1&lt;År1,0,H153*(1-VLOOKUP($A154,[1]Hugst!$R$5:$W$9,MATCH(ROUNDUP((I$1)/10,0)*10,[1]Hugst!$R$4:$W$4,0))))</f>
        <v>3390.3716347265699</v>
      </c>
      <c r="J154" s="168">
        <f ca="1">IF($C154-J$1&lt;År1,0,I153*(1-VLOOKUP($A154,[1]Hugst!$R$5:$W$9,MATCH(ROUNDUP((J$1)/10,0)*10,[1]Hugst!$R$4:$W$4,0))))</f>
        <v>3395.1935282939639</v>
      </c>
      <c r="K154" s="168">
        <f ca="1">IF($C154-K$1&lt;År1,0,J153*(1-VLOOKUP($A154,[1]Hugst!$R$5:$W$9,MATCH(ROUNDUP((K$1)/10,0)*10,[1]Hugst!$R$4:$W$4,0))))</f>
        <v>3400.0396524822982</v>
      </c>
      <c r="L154" s="168">
        <f ca="1">IF($C154-L$1&lt;År1,0,K153*(1-VLOOKUP($A154,[1]Hugst!$R$5:$W$9,MATCH(ROUNDUP((L$1)/10,0)*10,[1]Hugst!$R$4:$W$4,0))))</f>
        <v>3404.9101290535009</v>
      </c>
      <c r="M154" s="168">
        <f ca="1">IF($C154-M$1&lt;År1,0,L153*(1-VLOOKUP($A154,[1]Hugst!$R$5:$W$9,MATCH(ROUNDUP((M$1)/10,0)*10,[1]Hugst!$R$4:$W$4,0))))</f>
        <v>3409.8050803813503</v>
      </c>
      <c r="N154" s="168">
        <f ca="1">IF($C154-N$1&lt;År1,0,M153*(1-VLOOKUP($A154,[1]Hugst!$R$5:$W$9,MATCH(ROUNDUP((N$1)/10,0)*10,[1]Hugst!$R$4:$W$4,0))))</f>
        <v>3414.7246294545303</v>
      </c>
      <c r="O154" s="168">
        <f ca="1">IF($C154-O$1&lt;År1,0,N153*(1-VLOOKUP($A154,[1]Hugst!$R$5:$W$9,MATCH(ROUNDUP((O$1)/10,0)*10,[1]Hugst!$R$4:$W$4,0))))</f>
        <v>3419.6688998798318</v>
      </c>
      <c r="P154" s="168">
        <f ca="1">IF($C154-P$1&lt;År1,0,O153*(1-VLOOKUP($A154,[1]Hugst!$R$5:$W$9,MATCH(ROUNDUP((P$1)/10,0)*10,[1]Hugst!$R$4:$W$4,0))))</f>
        <v>3424.638015885238</v>
      </c>
      <c r="Q154" s="168">
        <f ca="1">IF($C154-Q$1&lt;År1,0,P153*(1-VLOOKUP($A154,[1]Hugst!$R$5:$W$9,MATCH(ROUNDUP((Q$1)/10,0)*10,[1]Hugst!$R$4:$W$4,0))))</f>
        <v>3429.6321023227474</v>
      </c>
      <c r="R154" s="168">
        <f ca="1">IF($C154-R$1&lt;År1,0,Q153*(1-VLOOKUP($A154,[1]Hugst!$R$5:$W$9,MATCH(ROUNDUP((R$1)/10,0)*10,[1]Hugst!$R$4:$W$4,0))))</f>
        <v>3434.6512846720407</v>
      </c>
      <c r="S154" s="168">
        <f ca="1">IF($C154-S$1&lt;År1,0,R153*(1-VLOOKUP($A154,[1]Hugst!$R$5:$W$9,MATCH(ROUNDUP((S$1)/10,0)*10,[1]Hugst!$R$4:$W$4,0))))</f>
        <v>3439.6956890431875</v>
      </c>
      <c r="T154" s="168">
        <f ca="1">IF($C154-T$1&lt;År1,0,S153*(1-VLOOKUP($A154,[1]Hugst!$R$5:$W$9,MATCH(ROUNDUP((T$1)/10,0)*10,[1]Hugst!$R$4:$W$4,0))))</f>
        <v>3444.7654421799934</v>
      </c>
      <c r="U154" s="168">
        <f ca="1">IF($C154-U$1&lt;År1,0,T153*(1-VLOOKUP($A154,[1]Hugst!$R$5:$W$9,MATCH(ROUNDUP((U$1)/10,0)*10,[1]Hugst!$R$4:$W$4,0))))</f>
        <v>3449.8606714632306</v>
      </c>
      <c r="V154" s="168">
        <f ca="1">IF($C154-V$1&lt;År1,0,U153*(1-VLOOKUP($A154,[1]Hugst!$R$5:$W$9,MATCH(ROUNDUP((V$1)/10,0)*10,[1]Hugst!$R$4:$W$4,0))))</f>
        <v>3454.9815049137515</v>
      </c>
      <c r="W154" s="168">
        <f ca="1">IF($C154-W$1&lt;År1,0,V153*(1-VLOOKUP($A154,[1]Hugst!$R$5:$W$9,MATCH(ROUNDUP((W$1)/10,0)*10,[1]Hugst!$R$4:$W$4,0))))</f>
        <v>3460.1280711956033</v>
      </c>
      <c r="X154" s="168">
        <f ca="1">IF($C154-X$1&lt;År1,0,W153*(1-VLOOKUP($A154,[1]Hugst!$R$5:$W$9,MATCH(ROUNDUP((X$1)/10,0)*10,[1]Hugst!$R$4:$W$4,0))))</f>
        <v>3465.3004996196937</v>
      </c>
      <c r="Y154" s="168">
        <f ca="1">IF($C154-Y$1&lt;År1,0,X153*(1-VLOOKUP($A154,[1]Hugst!$R$5:$W$9,MATCH(ROUNDUP((Y$1)/10,0)*10,[1]Hugst!$R$4:$W$4,0))))</f>
        <v>3470.498920146299</v>
      </c>
      <c r="Z154" s="168">
        <f ca="1">IF($C154-Z$1&lt;År1,0,Y153*(1-VLOOKUP($A154,[1]Hugst!$R$5:$W$9,MATCH(ROUNDUP((Z$1)/10,0)*10,[1]Hugst!$R$4:$W$4,0))))</f>
        <v>3475.7234633892181</v>
      </c>
      <c r="AA154" s="168">
        <f ca="1">IF($C154-AA$1&lt;År1,0,Z153*(1-VLOOKUP($A154,[1]Hugst!$R$5:$W$9,MATCH(ROUNDUP((AA$1)/10,0)*10,[1]Hugst!$R$4:$W$4,0))))</f>
        <v>3480.9742606182222</v>
      </c>
      <c r="AB154" s="168">
        <f ca="1">IF($C154-AB$1&lt;År1,0,AA153*(1-VLOOKUP($A154,[1]Hugst!$R$5:$W$9,MATCH(ROUNDUP((AB$1)/10,0)*10,[1]Hugst!$R$4:$W$4,0))))</f>
        <v>3486.2514437629538</v>
      </c>
      <c r="AC154" s="168">
        <f ca="1">IF($C154-AC$1&lt;År1,0,AB153*(1-VLOOKUP($A154,[1]Hugst!$R$5:$W$9,MATCH(ROUNDUP((AC$1)/10,0)*10,[1]Hugst!$R$4:$W$4,0))))</f>
        <v>3491.5551454159536</v>
      </c>
      <c r="AD154" s="168">
        <f ca="1">IF($C154-AD$1&lt;År1,0,AC153*(1-VLOOKUP($A154,[1]Hugst!$R$5:$W$9,MATCH(ROUNDUP((AD$1)/10,0)*10,[1]Hugst!$R$4:$W$4,0))))</f>
        <v>3496.8854988360649</v>
      </c>
      <c r="AE154" s="168">
        <f ca="1">IF($C154-AE$1&lt;År1,0,AD153*(1-VLOOKUP($A154,[1]Hugst!$R$5:$W$9,MATCH(ROUNDUP((AE$1)/10,0)*10,[1]Hugst!$R$4:$W$4,0))))</f>
        <v>3502.2426379517524</v>
      </c>
      <c r="AF154" s="168">
        <f ca="1">IF($C154-AF$1&lt;År1,0,AE153*(1-VLOOKUP($A154,[1]Hugst!$R$5:$W$9,MATCH(ROUNDUP((AF$1)/10,0)*10,[1]Hugst!$R$4:$W$4,0))))</f>
        <v>3507.6266973645065</v>
      </c>
      <c r="AG154" s="168">
        <f ca="1">IF($C154-AG$1&lt;År1,0,AF153*(1-VLOOKUP($A154,[1]Hugst!$R$5:$W$9,MATCH(ROUNDUP((AG$1)/10,0)*10,[1]Hugst!$R$4:$W$4,0))))</f>
        <v>3513.0378123521618</v>
      </c>
      <c r="AH154" s="168">
        <f ca="1">IF($C154-AH$1&lt;År1,0,AG153*(1-VLOOKUP($A154,[1]Hugst!$R$5:$W$9,MATCH(ROUNDUP((AH$1)/10,0)*10,[1]Hugst!$R$4:$W$4,0))))</f>
        <v>3518.4761188724765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*VLOOKUP(A155,Skovbrug!$A$13:$D$17,IF('Skovbrug-alder'!C155&lt;=År2,3,4),FALSE)-IF(C155&gt;2020,SUM(INDEX($C$1:$D$311,MATCH(1,(2020=$C$1:$C$311)*(B155=$B$1:$B$311)*(A155=$A$1:$A$311),0),2):D154),0))</f>
        <v>940.50913785782177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3371.3239526726366</v>
      </c>
      <c r="G155" s="168">
        <f ca="1">IF($C155-G$1&lt;År1,0,F154*(1-VLOOKUP($A155,[1]Hugst!$R$5:$W$9,MATCH(ROUNDUP((G$1)/10,0)*10,[1]Hugst!$R$4:$W$4,0))))</f>
        <v>3376.0501292447852</v>
      </c>
      <c r="H155" s="168">
        <f ca="1">IF($C155-H$1&lt;År1,0,G154*(1-VLOOKUP($A155,[1]Hugst!$R$5:$W$9,MATCH(ROUNDUP((H$1)/10,0)*10,[1]Hugst!$R$4:$W$4,0))))</f>
        <v>3380.8000554479195</v>
      </c>
      <c r="I155" s="168">
        <f ca="1">IF($C155-I$1&lt;År1,0,H154*(1-VLOOKUP($A155,[1]Hugst!$R$5:$W$9,MATCH(ROUNDUP((I$1)/10,0)*10,[1]Hugst!$R$4:$W$4,0))))</f>
        <v>3385.57385062704</v>
      </c>
      <c r="J155" s="168">
        <f ca="1">IF($C155-J$1&lt;År1,0,I154*(1-VLOOKUP($A155,[1]Hugst!$R$5:$W$9,MATCH(ROUNDUP((J$1)/10,0)*10,[1]Hugst!$R$4:$W$4,0))))</f>
        <v>3390.3716347265699</v>
      </c>
      <c r="K155" s="168">
        <f ca="1">IF($C155-K$1&lt;År1,0,J154*(1-VLOOKUP($A155,[1]Hugst!$R$5:$W$9,MATCH(ROUNDUP((K$1)/10,0)*10,[1]Hugst!$R$4:$W$4,0))))</f>
        <v>3395.1935282939639</v>
      </c>
      <c r="L155" s="168">
        <f ca="1">IF($C155-L$1&lt;År1,0,K154*(1-VLOOKUP($A155,[1]Hugst!$R$5:$W$9,MATCH(ROUNDUP((L$1)/10,0)*10,[1]Hugst!$R$4:$W$4,0))))</f>
        <v>3400.0396524822982</v>
      </c>
      <c r="M155" s="168">
        <f ca="1">IF($C155-M$1&lt;År1,0,L154*(1-VLOOKUP($A155,[1]Hugst!$R$5:$W$9,MATCH(ROUNDUP((M$1)/10,0)*10,[1]Hugst!$R$4:$W$4,0))))</f>
        <v>3404.9101290535009</v>
      </c>
      <c r="N155" s="168">
        <f ca="1">IF($C155-N$1&lt;År1,0,M154*(1-VLOOKUP($A155,[1]Hugst!$R$5:$W$9,MATCH(ROUNDUP((N$1)/10,0)*10,[1]Hugst!$R$4:$W$4,0))))</f>
        <v>3409.8050803813503</v>
      </c>
      <c r="O155" s="168">
        <f ca="1">IF($C155-O$1&lt;År1,0,N154*(1-VLOOKUP($A155,[1]Hugst!$R$5:$W$9,MATCH(ROUNDUP((O$1)/10,0)*10,[1]Hugst!$R$4:$W$4,0))))</f>
        <v>3414.7246294545303</v>
      </c>
      <c r="P155" s="168">
        <f ca="1">IF($C155-P$1&lt;År1,0,O154*(1-VLOOKUP($A155,[1]Hugst!$R$5:$W$9,MATCH(ROUNDUP((P$1)/10,0)*10,[1]Hugst!$R$4:$W$4,0))))</f>
        <v>3419.6688998798318</v>
      </c>
      <c r="Q155" s="168">
        <f ca="1">IF($C155-Q$1&lt;År1,0,P154*(1-VLOOKUP($A155,[1]Hugst!$R$5:$W$9,MATCH(ROUNDUP((Q$1)/10,0)*10,[1]Hugst!$R$4:$W$4,0))))</f>
        <v>3424.638015885238</v>
      </c>
      <c r="R155" s="168">
        <f ca="1">IF($C155-R$1&lt;År1,0,Q154*(1-VLOOKUP($A155,[1]Hugst!$R$5:$W$9,MATCH(ROUNDUP((R$1)/10,0)*10,[1]Hugst!$R$4:$W$4,0))))</f>
        <v>3429.6321023227474</v>
      </c>
      <c r="S155" s="168">
        <f ca="1">IF($C155-S$1&lt;År1,0,R154*(1-VLOOKUP($A155,[1]Hugst!$R$5:$W$9,MATCH(ROUNDUP((S$1)/10,0)*10,[1]Hugst!$R$4:$W$4,0))))</f>
        <v>3434.6512846720407</v>
      </c>
      <c r="T155" s="168">
        <f ca="1">IF($C155-T$1&lt;År1,0,S154*(1-VLOOKUP($A155,[1]Hugst!$R$5:$W$9,MATCH(ROUNDUP((T$1)/10,0)*10,[1]Hugst!$R$4:$W$4,0))))</f>
        <v>3439.6956890431875</v>
      </c>
      <c r="U155" s="168">
        <f ca="1">IF($C155-U$1&lt;År1,0,T154*(1-VLOOKUP($A155,[1]Hugst!$R$5:$W$9,MATCH(ROUNDUP((U$1)/10,0)*10,[1]Hugst!$R$4:$W$4,0))))</f>
        <v>3444.7654421799934</v>
      </c>
      <c r="V155" s="168">
        <f ca="1">IF($C155-V$1&lt;År1,0,U154*(1-VLOOKUP($A155,[1]Hugst!$R$5:$W$9,MATCH(ROUNDUP((V$1)/10,0)*10,[1]Hugst!$R$4:$W$4,0))))</f>
        <v>3449.8606714632306</v>
      </c>
      <c r="W155" s="168">
        <f ca="1">IF($C155-W$1&lt;År1,0,V154*(1-VLOOKUP($A155,[1]Hugst!$R$5:$W$9,MATCH(ROUNDUP((W$1)/10,0)*10,[1]Hugst!$R$4:$W$4,0))))</f>
        <v>3454.9815049137515</v>
      </c>
      <c r="X155" s="168">
        <f ca="1">IF($C155-X$1&lt;År1,0,W154*(1-VLOOKUP($A155,[1]Hugst!$R$5:$W$9,MATCH(ROUNDUP((X$1)/10,0)*10,[1]Hugst!$R$4:$W$4,0))))</f>
        <v>3460.1280711956033</v>
      </c>
      <c r="Y155" s="168">
        <f ca="1">IF($C155-Y$1&lt;År1,0,X154*(1-VLOOKUP($A155,[1]Hugst!$R$5:$W$9,MATCH(ROUNDUP((Y$1)/10,0)*10,[1]Hugst!$R$4:$W$4,0))))</f>
        <v>3465.3004996196937</v>
      </c>
      <c r="Z155" s="168">
        <f ca="1">IF($C155-Z$1&lt;År1,0,Y154*(1-VLOOKUP($A155,[1]Hugst!$R$5:$W$9,MATCH(ROUNDUP((Z$1)/10,0)*10,[1]Hugst!$R$4:$W$4,0))))</f>
        <v>3470.498920146299</v>
      </c>
      <c r="AA155" s="168">
        <f ca="1">IF($C155-AA$1&lt;År1,0,Z154*(1-VLOOKUP($A155,[1]Hugst!$R$5:$W$9,MATCH(ROUNDUP((AA$1)/10,0)*10,[1]Hugst!$R$4:$W$4,0))))</f>
        <v>3475.7234633892181</v>
      </c>
      <c r="AB155" s="168">
        <f ca="1">IF($C155-AB$1&lt;År1,0,AA154*(1-VLOOKUP($A155,[1]Hugst!$R$5:$W$9,MATCH(ROUNDUP((AB$1)/10,0)*10,[1]Hugst!$R$4:$W$4,0))))</f>
        <v>3480.9742606182222</v>
      </c>
      <c r="AC155" s="168">
        <f ca="1">IF($C155-AC$1&lt;År1,0,AB154*(1-VLOOKUP($A155,[1]Hugst!$R$5:$W$9,MATCH(ROUNDUP((AC$1)/10,0)*10,[1]Hugst!$R$4:$W$4,0))))</f>
        <v>3486.2514437629538</v>
      </c>
      <c r="AD155" s="168">
        <f ca="1">IF($C155-AD$1&lt;År1,0,AC154*(1-VLOOKUP($A155,[1]Hugst!$R$5:$W$9,MATCH(ROUNDUP((AD$1)/10,0)*10,[1]Hugst!$R$4:$W$4,0))))</f>
        <v>3491.5551454159536</v>
      </c>
      <c r="AE155" s="168">
        <f ca="1">IF($C155-AE$1&lt;År1,0,AD154*(1-VLOOKUP($A155,[1]Hugst!$R$5:$W$9,MATCH(ROUNDUP((AE$1)/10,0)*10,[1]Hugst!$R$4:$W$4,0))))</f>
        <v>3496.8854988360649</v>
      </c>
      <c r="AF155" s="168">
        <f ca="1">IF($C155-AF$1&lt;År1,0,AE154*(1-VLOOKUP($A155,[1]Hugst!$R$5:$W$9,MATCH(ROUNDUP((AF$1)/10,0)*10,[1]Hugst!$R$4:$W$4,0))))</f>
        <v>3502.2426379517524</v>
      </c>
      <c r="AG155" s="168">
        <f ca="1">IF($C155-AG$1&lt;År1,0,AF154*(1-VLOOKUP($A155,[1]Hugst!$R$5:$W$9,MATCH(ROUNDUP((AG$1)/10,0)*10,[1]Hugst!$R$4:$W$4,0))))</f>
        <v>3507.6266973645065</v>
      </c>
      <c r="AH155" s="168">
        <f ca="1">IF($C155-AH$1&lt;År1,0,AG154*(1-VLOOKUP($A155,[1]Hugst!$R$5:$W$9,MATCH(ROUNDUP((AH$1)/10,0)*10,[1]Hugst!$R$4:$W$4,0))))</f>
        <v>3513.0378123521618</v>
      </c>
      <c r="AI155" s="168">
        <f ca="1">IF($C155-AI$1&lt;År1,0,AH154*(1-VLOOKUP($A155,[1]Hugst!$R$5:$W$9,MATCH(ROUNDUP((AI$1)/10,0)*10,[1]Hugst!$R$4:$W$4,0))))</f>
        <v>3518.4761188724765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*VLOOKUP(A156,Skovbrug!$A$13:$D$17,IF('Skovbrug-alder'!C156&lt;=År2,3,4),FALSE)-IF(C156&gt;2020,SUM(INDEX($C$1:$D$311,MATCH(1,(2020=$C$1:$C$311)*(B156=$B$1:$B$311)*(A156=$A$1:$A$311),0),2):D155),0))</f>
        <v>935.80659216854838</v>
      </c>
      <c r="E156" s="168">
        <f t="shared" ca="1" si="3"/>
        <v>6.3972293070401065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3373.0186362904033</v>
      </c>
      <c r="G156" s="168">
        <f ca="1">IF($C156-G$1&lt;År1,0,F155*(1-VLOOKUP($A156,[1]Hugst!$R$5:$W$9,MATCH(ROUNDUP((G$1)/10,0)*10,[1]Hugst!$R$4:$W$4,0))))</f>
        <v>3371.3239526726366</v>
      </c>
      <c r="H156" s="168">
        <f ca="1">IF($C156-H$1&lt;År1,0,G155*(1-VLOOKUP($A156,[1]Hugst!$R$5:$W$9,MATCH(ROUNDUP((H$1)/10,0)*10,[1]Hugst!$R$4:$W$4,0))))</f>
        <v>3376.0501292447852</v>
      </c>
      <c r="I156" s="168">
        <f ca="1">IF($C156-I$1&lt;År1,0,H155*(1-VLOOKUP($A156,[1]Hugst!$R$5:$W$9,MATCH(ROUNDUP((I$1)/10,0)*10,[1]Hugst!$R$4:$W$4,0))))</f>
        <v>3380.8000554479195</v>
      </c>
      <c r="J156" s="168">
        <f ca="1">IF($C156-J$1&lt;År1,0,I155*(1-VLOOKUP($A156,[1]Hugst!$R$5:$W$9,MATCH(ROUNDUP((J$1)/10,0)*10,[1]Hugst!$R$4:$W$4,0))))</f>
        <v>3385.57385062704</v>
      </c>
      <c r="K156" s="168">
        <f ca="1">IF($C156-K$1&lt;År1,0,J155*(1-VLOOKUP($A156,[1]Hugst!$R$5:$W$9,MATCH(ROUNDUP((K$1)/10,0)*10,[1]Hugst!$R$4:$W$4,0))))</f>
        <v>3390.3716347265699</v>
      </c>
      <c r="L156" s="168">
        <f ca="1">IF($C156-L$1&lt;År1,0,K155*(1-VLOOKUP($A156,[1]Hugst!$R$5:$W$9,MATCH(ROUNDUP((L$1)/10,0)*10,[1]Hugst!$R$4:$W$4,0))))</f>
        <v>3395.1935282939639</v>
      </c>
      <c r="M156" s="168">
        <f ca="1">IF($C156-M$1&lt;År1,0,L155*(1-VLOOKUP($A156,[1]Hugst!$R$5:$W$9,MATCH(ROUNDUP((M$1)/10,0)*10,[1]Hugst!$R$4:$W$4,0))))</f>
        <v>3400.0396524822982</v>
      </c>
      <c r="N156" s="168">
        <f ca="1">IF($C156-N$1&lt;År1,0,M155*(1-VLOOKUP($A156,[1]Hugst!$R$5:$W$9,MATCH(ROUNDUP((N$1)/10,0)*10,[1]Hugst!$R$4:$W$4,0))))</f>
        <v>3404.9101290535009</v>
      </c>
      <c r="O156" s="168">
        <f ca="1">IF($C156-O$1&lt;År1,0,N155*(1-VLOOKUP($A156,[1]Hugst!$R$5:$W$9,MATCH(ROUNDUP((O$1)/10,0)*10,[1]Hugst!$R$4:$W$4,0))))</f>
        <v>3409.8050803813503</v>
      </c>
      <c r="P156" s="168">
        <f ca="1">IF($C156-P$1&lt;År1,0,O155*(1-VLOOKUP($A156,[1]Hugst!$R$5:$W$9,MATCH(ROUNDUP((P$1)/10,0)*10,[1]Hugst!$R$4:$W$4,0))))</f>
        <v>3414.7246294545303</v>
      </c>
      <c r="Q156" s="168">
        <f ca="1">IF($C156-Q$1&lt;År1,0,P155*(1-VLOOKUP($A156,[1]Hugst!$R$5:$W$9,MATCH(ROUNDUP((Q$1)/10,0)*10,[1]Hugst!$R$4:$W$4,0))))</f>
        <v>3419.6688998798318</v>
      </c>
      <c r="R156" s="168">
        <f ca="1">IF($C156-R$1&lt;År1,0,Q155*(1-VLOOKUP($A156,[1]Hugst!$R$5:$W$9,MATCH(ROUNDUP((R$1)/10,0)*10,[1]Hugst!$R$4:$W$4,0))))</f>
        <v>3424.638015885238</v>
      </c>
      <c r="S156" s="168">
        <f ca="1">IF($C156-S$1&lt;År1,0,R155*(1-VLOOKUP($A156,[1]Hugst!$R$5:$W$9,MATCH(ROUNDUP((S$1)/10,0)*10,[1]Hugst!$R$4:$W$4,0))))</f>
        <v>3429.6321023227474</v>
      </c>
      <c r="T156" s="168">
        <f ca="1">IF($C156-T$1&lt;År1,0,S155*(1-VLOOKUP($A156,[1]Hugst!$R$5:$W$9,MATCH(ROUNDUP((T$1)/10,0)*10,[1]Hugst!$R$4:$W$4,0))))</f>
        <v>3434.6512846720407</v>
      </c>
      <c r="U156" s="168">
        <f ca="1">IF($C156-U$1&lt;År1,0,T155*(1-VLOOKUP($A156,[1]Hugst!$R$5:$W$9,MATCH(ROUNDUP((U$1)/10,0)*10,[1]Hugst!$R$4:$W$4,0))))</f>
        <v>3439.6956890431875</v>
      </c>
      <c r="V156" s="168">
        <f ca="1">IF($C156-V$1&lt;År1,0,U155*(1-VLOOKUP($A156,[1]Hugst!$R$5:$W$9,MATCH(ROUNDUP((V$1)/10,0)*10,[1]Hugst!$R$4:$W$4,0))))</f>
        <v>3444.7654421799934</v>
      </c>
      <c r="W156" s="168">
        <f ca="1">IF($C156-W$1&lt;År1,0,V155*(1-VLOOKUP($A156,[1]Hugst!$R$5:$W$9,MATCH(ROUNDUP((W$1)/10,0)*10,[1]Hugst!$R$4:$W$4,0))))</f>
        <v>3449.8606714632306</v>
      </c>
      <c r="X156" s="168">
        <f ca="1">IF($C156-X$1&lt;År1,0,W155*(1-VLOOKUP($A156,[1]Hugst!$R$5:$W$9,MATCH(ROUNDUP((X$1)/10,0)*10,[1]Hugst!$R$4:$W$4,0))))</f>
        <v>3454.9815049137515</v>
      </c>
      <c r="Y156" s="168">
        <f ca="1">IF($C156-Y$1&lt;År1,0,X155*(1-VLOOKUP($A156,[1]Hugst!$R$5:$W$9,MATCH(ROUNDUP((Y$1)/10,0)*10,[1]Hugst!$R$4:$W$4,0))))</f>
        <v>3460.1280711956033</v>
      </c>
      <c r="Z156" s="168">
        <f ca="1">IF($C156-Z$1&lt;År1,0,Y155*(1-VLOOKUP($A156,[1]Hugst!$R$5:$W$9,MATCH(ROUNDUP((Z$1)/10,0)*10,[1]Hugst!$R$4:$W$4,0))))</f>
        <v>3465.3004996196937</v>
      </c>
      <c r="AA156" s="168">
        <f ca="1">IF($C156-AA$1&lt;År1,0,Z155*(1-VLOOKUP($A156,[1]Hugst!$R$5:$W$9,MATCH(ROUNDUP((AA$1)/10,0)*10,[1]Hugst!$R$4:$W$4,0))))</f>
        <v>3470.498920146299</v>
      </c>
      <c r="AB156" s="168">
        <f ca="1">IF($C156-AB$1&lt;År1,0,AA155*(1-VLOOKUP($A156,[1]Hugst!$R$5:$W$9,MATCH(ROUNDUP((AB$1)/10,0)*10,[1]Hugst!$R$4:$W$4,0))))</f>
        <v>3475.7234633892181</v>
      </c>
      <c r="AC156" s="168">
        <f ca="1">IF($C156-AC$1&lt;År1,0,AB155*(1-VLOOKUP($A156,[1]Hugst!$R$5:$W$9,MATCH(ROUNDUP((AC$1)/10,0)*10,[1]Hugst!$R$4:$W$4,0))))</f>
        <v>3480.9742606182222</v>
      </c>
      <c r="AD156" s="168">
        <f ca="1">IF($C156-AD$1&lt;År1,0,AC155*(1-VLOOKUP($A156,[1]Hugst!$R$5:$W$9,MATCH(ROUNDUP((AD$1)/10,0)*10,[1]Hugst!$R$4:$W$4,0))))</f>
        <v>3486.2514437629538</v>
      </c>
      <c r="AE156" s="168">
        <f ca="1">IF($C156-AE$1&lt;År1,0,AD155*(1-VLOOKUP($A156,[1]Hugst!$R$5:$W$9,MATCH(ROUNDUP((AE$1)/10,0)*10,[1]Hugst!$R$4:$W$4,0))))</f>
        <v>3491.5551454159536</v>
      </c>
      <c r="AF156" s="168">
        <f ca="1">IF($C156-AF$1&lt;År1,0,AE155*(1-VLOOKUP($A156,[1]Hugst!$R$5:$W$9,MATCH(ROUNDUP((AF$1)/10,0)*10,[1]Hugst!$R$4:$W$4,0))))</f>
        <v>3496.8854988360649</v>
      </c>
      <c r="AG156" s="168">
        <f ca="1">IF($C156-AG$1&lt;År1,0,AF155*(1-VLOOKUP($A156,[1]Hugst!$R$5:$W$9,MATCH(ROUNDUP((AG$1)/10,0)*10,[1]Hugst!$R$4:$W$4,0))))</f>
        <v>3502.2426379517524</v>
      </c>
      <c r="AH156" s="168">
        <f ca="1">IF($C156-AH$1&lt;År1,0,AG155*(1-VLOOKUP($A156,[1]Hugst!$R$5:$W$9,MATCH(ROUNDUP((AH$1)/10,0)*10,[1]Hugst!$R$4:$W$4,0))))</f>
        <v>3507.6266973645065</v>
      </c>
      <c r="AI156" s="168">
        <f ca="1">IF($C156-AI$1&lt;År1,0,AH155*(1-VLOOKUP($A156,[1]Hugst!$R$5:$W$9,MATCH(ROUNDUP((AI$1)/10,0)*10,[1]Hugst!$R$4:$W$4,0))))</f>
        <v>3513.0378123521618</v>
      </c>
      <c r="AJ156" s="168">
        <f ca="1">IF($C156-AJ$1&lt;År1,0,AI155*(1-VLOOKUP($A156,[1]Hugst!$R$5:$W$9,MATCH(ROUNDUP((AJ$1)/10,0)*10,[1]Hugst!$R$4:$W$4,0))))</f>
        <v>3512.0788895654355</v>
      </c>
    </row>
    <row r="157" spans="1:36" x14ac:dyDescent="0.25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*VLOOKUP(A157,Skovbrug!$A$13:$D$17,IF('Skovbrug-alder'!C157&lt;=År2,3,4),FALSE)-IF(C157&gt;2020,SUM(INDEX($C$1:$D$311,MATCH(1,(2020=$C$1:$C$311)*(B157=$B$1:$B$311)*(A157=$A$1:$A$311),0),2):D156),0))</f>
        <v>318.36369594233838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687.54888112752417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*VLOOKUP(A158,Skovbrug!$A$13:$D$17,IF('Skovbrug-alder'!C158&lt;=År2,3,4),FALSE)-IF(C158&gt;2020,SUM(INDEX($C$1:$D$311,MATCH(1,(2020=$C$1:$C$311)*(B158=$B$1:$B$311)*(A158=$A$1:$A$311),0),2):D157),0))</f>
        <v>316.77187746262643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685.95706264781222</v>
      </c>
      <c r="G158" s="168">
        <f ca="1">IF($C158-G$1&lt;År1,0,F157*(1-VLOOKUP($A158,[1]Hugst!$R$5:$W$9,MATCH(ROUNDUP((G$1)/10,0)*10,[1]Hugst!$R$4:$W$4,0))))</f>
        <v>687.54888112752417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*VLOOKUP(A159,Skovbrug!$A$13:$D$17,IF('Skovbrug-alder'!C159&lt;=År2,3,4),FALSE)-IF(C159&gt;2020,SUM(INDEX($C$1:$D$311,MATCH(1,(2020=$C$1:$C$311)*(B159=$B$1:$B$311)*(A159=$A$1:$A$311),0),2):D158),0))</f>
        <v>315.18801807531418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684.37320326049996</v>
      </c>
      <c r="G159" s="168">
        <f ca="1">IF($C159-G$1&lt;År1,0,F158*(1-VLOOKUP($A159,[1]Hugst!$R$5:$W$9,MATCH(ROUNDUP((G$1)/10,0)*10,[1]Hugst!$R$4:$W$4,0))))</f>
        <v>685.95706264781222</v>
      </c>
      <c r="H159" s="168">
        <f ca="1">IF($C159-H$1&lt;År1,0,G158*(1-VLOOKUP($A159,[1]Hugst!$R$5:$W$9,MATCH(ROUNDUP((H$1)/10,0)*10,[1]Hugst!$R$4:$W$4,0))))</f>
        <v>687.54888112752417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*VLOOKUP(A160,Skovbrug!$A$13:$D$17,IF('Skovbrug-alder'!C160&lt;=År2,3,4),FALSE)-IF(C160&gt;2020,SUM(INDEX($C$1:$D$311,MATCH(1,(2020=$C$1:$C$311)*(B160=$B$1:$B$311)*(A160=$A$1:$A$311),0),2):D159),0))</f>
        <v>313.61207798492978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682.79726317011557</v>
      </c>
      <c r="G160" s="168">
        <f ca="1">IF($C160-G$1&lt;År1,0,F159*(1-VLOOKUP($A160,[1]Hugst!$R$5:$W$9,MATCH(ROUNDUP((G$1)/10,0)*10,[1]Hugst!$R$4:$W$4,0))))</f>
        <v>684.37320326049996</v>
      </c>
      <c r="H160" s="168">
        <f ca="1">IF($C160-H$1&lt;År1,0,G159*(1-VLOOKUP($A160,[1]Hugst!$R$5:$W$9,MATCH(ROUNDUP((H$1)/10,0)*10,[1]Hugst!$R$4:$W$4,0))))</f>
        <v>685.95706264781222</v>
      </c>
      <c r="I160" s="168">
        <f ca="1">IF($C160-I$1&lt;År1,0,H159*(1-VLOOKUP($A160,[1]Hugst!$R$5:$W$9,MATCH(ROUNDUP((I$1)/10,0)*10,[1]Hugst!$R$4:$W$4,0))))</f>
        <v>687.54888112752417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*VLOOKUP(A161,Skovbrug!$A$13:$D$17,IF('Skovbrug-alder'!C161&lt;=År2,3,4),FALSE)-IF(C161&gt;2020,SUM(INDEX($C$1:$D$311,MATCH(1,(2020=$C$1:$C$311)*(B161=$B$1:$B$311)*(A161=$A$1:$A$311),0),2):D160),0))</f>
        <v>312.04401759501343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681.22920278019922</v>
      </c>
      <c r="G161" s="168">
        <f ca="1">IF($C161-G$1&lt;År1,0,F160*(1-VLOOKUP($A161,[1]Hugst!$R$5:$W$9,MATCH(ROUNDUP((G$1)/10,0)*10,[1]Hugst!$R$4:$W$4,0))))</f>
        <v>682.79726317011557</v>
      </c>
      <c r="H161" s="168">
        <f ca="1">IF($C161-H$1&lt;År1,0,G160*(1-VLOOKUP($A161,[1]Hugst!$R$5:$W$9,MATCH(ROUNDUP((H$1)/10,0)*10,[1]Hugst!$R$4:$W$4,0))))</f>
        <v>684.37320326049996</v>
      </c>
      <c r="I161" s="168">
        <f ca="1">IF($C161-I$1&lt;År1,0,H160*(1-VLOOKUP($A161,[1]Hugst!$R$5:$W$9,MATCH(ROUNDUP((I$1)/10,0)*10,[1]Hugst!$R$4:$W$4,0))))</f>
        <v>685.95706264781222</v>
      </c>
      <c r="J161" s="168">
        <f ca="1">IF($C161-J$1&lt;År1,0,I160*(1-VLOOKUP($A161,[1]Hugst!$R$5:$W$9,MATCH(ROUNDUP((J$1)/10,0)*10,[1]Hugst!$R$4:$W$4,0))))</f>
        <v>687.54888112752417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*VLOOKUP(A162,Skovbrug!$A$13:$D$17,IF('Skovbrug-alder'!C162&lt;=År2,3,4),FALSE)-IF(C162&gt;2020,SUM(INDEX($C$1:$D$311,MATCH(1,(2020=$C$1:$C$311)*(B162=$B$1:$B$311)*(A162=$A$1:$A$311),0),2):D161),0))</f>
        <v>310.48379750703316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679.66898269221895</v>
      </c>
      <c r="G162" s="168">
        <f ca="1">IF($C162-G$1&lt;År1,0,F161*(1-VLOOKUP($A162,[1]Hugst!$R$5:$W$9,MATCH(ROUNDUP((G$1)/10,0)*10,[1]Hugst!$R$4:$W$4,0))))</f>
        <v>681.22920278019922</v>
      </c>
      <c r="H162" s="168">
        <f ca="1">IF($C162-H$1&lt;År1,0,G161*(1-VLOOKUP($A162,[1]Hugst!$R$5:$W$9,MATCH(ROUNDUP((H$1)/10,0)*10,[1]Hugst!$R$4:$W$4,0))))</f>
        <v>682.79726317011557</v>
      </c>
      <c r="I162" s="168">
        <f ca="1">IF($C162-I$1&lt;År1,0,H161*(1-VLOOKUP($A162,[1]Hugst!$R$5:$W$9,MATCH(ROUNDUP((I$1)/10,0)*10,[1]Hugst!$R$4:$W$4,0))))</f>
        <v>684.37320326049996</v>
      </c>
      <c r="J162" s="168">
        <f ca="1">IF($C162-J$1&lt;År1,0,I161*(1-VLOOKUP($A162,[1]Hugst!$R$5:$W$9,MATCH(ROUNDUP((J$1)/10,0)*10,[1]Hugst!$R$4:$W$4,0))))</f>
        <v>685.95706264781222</v>
      </c>
      <c r="K162" s="168">
        <f ca="1">IF($C162-K$1&lt;År1,0,J161*(1-VLOOKUP($A162,[1]Hugst!$R$5:$W$9,MATCH(ROUNDUP((K$1)/10,0)*10,[1]Hugst!$R$4:$W$4,0))))</f>
        <v>687.54888112752417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*VLOOKUP(A163,Skovbrug!$A$13:$D$17,IF('Skovbrug-alder'!C163&lt;=År2,3,4),FALSE)-IF(C163&gt;2020,SUM(INDEX($C$1:$D$311,MATCH(1,(2020=$C$1:$C$311)*(B163=$B$1:$B$311)*(A163=$A$1:$A$311),0),2):D162),0))</f>
        <v>308.93137851951178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678.11656370469757</v>
      </c>
      <c r="G163" s="168">
        <f ca="1">IF($C163-G$1&lt;År1,0,F162*(1-VLOOKUP($A163,[1]Hugst!$R$5:$W$9,MATCH(ROUNDUP((G$1)/10,0)*10,[1]Hugst!$R$4:$W$4,0))))</f>
        <v>679.66898269221895</v>
      </c>
      <c r="H163" s="168">
        <f ca="1">IF($C163-H$1&lt;År1,0,G162*(1-VLOOKUP($A163,[1]Hugst!$R$5:$W$9,MATCH(ROUNDUP((H$1)/10,0)*10,[1]Hugst!$R$4:$W$4,0))))</f>
        <v>681.22920278019922</v>
      </c>
      <c r="I163" s="168">
        <f ca="1">IF($C163-I$1&lt;År1,0,H162*(1-VLOOKUP($A163,[1]Hugst!$R$5:$W$9,MATCH(ROUNDUP((I$1)/10,0)*10,[1]Hugst!$R$4:$W$4,0))))</f>
        <v>682.79726317011557</v>
      </c>
      <c r="J163" s="168">
        <f ca="1">IF($C163-J$1&lt;År1,0,I162*(1-VLOOKUP($A163,[1]Hugst!$R$5:$W$9,MATCH(ROUNDUP((J$1)/10,0)*10,[1]Hugst!$R$4:$W$4,0))))</f>
        <v>684.37320326049996</v>
      </c>
      <c r="K163" s="168">
        <f ca="1">IF($C163-K$1&lt;År1,0,J162*(1-VLOOKUP($A163,[1]Hugst!$R$5:$W$9,MATCH(ROUNDUP((K$1)/10,0)*10,[1]Hugst!$R$4:$W$4,0))))</f>
        <v>685.95706264781222</v>
      </c>
      <c r="L163" s="168">
        <f ca="1">IF($C163-L$1&lt;År1,0,K162*(1-VLOOKUP($A163,[1]Hugst!$R$5:$W$9,MATCH(ROUNDUP((L$1)/10,0)*10,[1]Hugst!$R$4:$W$4,0))))</f>
        <v>687.54888112752417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*VLOOKUP(A164,Skovbrug!$A$13:$D$17,IF('Skovbrug-alder'!C164&lt;=År2,3,4),FALSE)-IF(C164&gt;2020,SUM(INDEX($C$1:$D$311,MATCH(1,(2020=$C$1:$C$311)*(B164=$B$1:$B$311)*(A164=$A$1:$A$311),0),2):D163),0))</f>
        <v>307.38672162689909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676.57190681208488</v>
      </c>
      <c r="G164" s="168">
        <f ca="1">IF($C164-G$1&lt;År1,0,F163*(1-VLOOKUP($A164,[1]Hugst!$R$5:$W$9,MATCH(ROUNDUP((G$1)/10,0)*10,[1]Hugst!$R$4:$W$4,0))))</f>
        <v>678.11656370469757</v>
      </c>
      <c r="H164" s="168">
        <f ca="1">IF($C164-H$1&lt;År1,0,G163*(1-VLOOKUP($A164,[1]Hugst!$R$5:$W$9,MATCH(ROUNDUP((H$1)/10,0)*10,[1]Hugst!$R$4:$W$4,0))))</f>
        <v>679.66898269221895</v>
      </c>
      <c r="I164" s="168">
        <f ca="1">IF($C164-I$1&lt;År1,0,H163*(1-VLOOKUP($A164,[1]Hugst!$R$5:$W$9,MATCH(ROUNDUP((I$1)/10,0)*10,[1]Hugst!$R$4:$W$4,0))))</f>
        <v>681.22920278019922</v>
      </c>
      <c r="J164" s="168">
        <f ca="1">IF($C164-J$1&lt;År1,0,I163*(1-VLOOKUP($A164,[1]Hugst!$R$5:$W$9,MATCH(ROUNDUP((J$1)/10,0)*10,[1]Hugst!$R$4:$W$4,0))))</f>
        <v>682.79726317011557</v>
      </c>
      <c r="K164" s="168">
        <f ca="1">IF($C164-K$1&lt;År1,0,J163*(1-VLOOKUP($A164,[1]Hugst!$R$5:$W$9,MATCH(ROUNDUP((K$1)/10,0)*10,[1]Hugst!$R$4:$W$4,0))))</f>
        <v>684.37320326049996</v>
      </c>
      <c r="L164" s="168">
        <f ca="1">IF($C164-L$1&lt;År1,0,K163*(1-VLOOKUP($A164,[1]Hugst!$R$5:$W$9,MATCH(ROUNDUP((L$1)/10,0)*10,[1]Hugst!$R$4:$W$4,0))))</f>
        <v>685.95706264781222</v>
      </c>
      <c r="M164" s="168">
        <f ca="1">IF($C164-M$1&lt;År1,0,L163*(1-VLOOKUP($A164,[1]Hugst!$R$5:$W$9,MATCH(ROUNDUP((M$1)/10,0)*10,[1]Hugst!$R$4:$W$4,0))))</f>
        <v>687.54888112752417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*VLOOKUP(A165,Skovbrug!$A$13:$D$17,IF('Skovbrug-alder'!C165&lt;=År2,3,4),FALSE)-IF(C165&gt;2020,SUM(INDEX($C$1:$D$311,MATCH(1,(2020=$C$1:$C$311)*(B165=$B$1:$B$311)*(A165=$A$1:$A$311),0),2):D164),0))</f>
        <v>305.84978801877151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675.03497320395729</v>
      </c>
      <c r="G165" s="168">
        <f ca="1">IF($C165-G$1&lt;År1,0,F164*(1-VLOOKUP($A165,[1]Hugst!$R$5:$W$9,MATCH(ROUNDUP((G$1)/10,0)*10,[1]Hugst!$R$4:$W$4,0))))</f>
        <v>676.57190681208488</v>
      </c>
      <c r="H165" s="168">
        <f ca="1">IF($C165-H$1&lt;År1,0,G164*(1-VLOOKUP($A165,[1]Hugst!$R$5:$W$9,MATCH(ROUNDUP((H$1)/10,0)*10,[1]Hugst!$R$4:$W$4,0))))</f>
        <v>678.11656370469757</v>
      </c>
      <c r="I165" s="168">
        <f ca="1">IF($C165-I$1&lt;År1,0,H164*(1-VLOOKUP($A165,[1]Hugst!$R$5:$W$9,MATCH(ROUNDUP((I$1)/10,0)*10,[1]Hugst!$R$4:$W$4,0))))</f>
        <v>679.66898269221895</v>
      </c>
      <c r="J165" s="168">
        <f ca="1">IF($C165-J$1&lt;År1,0,I164*(1-VLOOKUP($A165,[1]Hugst!$R$5:$W$9,MATCH(ROUNDUP((J$1)/10,0)*10,[1]Hugst!$R$4:$W$4,0))))</f>
        <v>681.22920278019922</v>
      </c>
      <c r="K165" s="168">
        <f ca="1">IF($C165-K$1&lt;År1,0,J164*(1-VLOOKUP($A165,[1]Hugst!$R$5:$W$9,MATCH(ROUNDUP((K$1)/10,0)*10,[1]Hugst!$R$4:$W$4,0))))</f>
        <v>682.79726317011557</v>
      </c>
      <c r="L165" s="168">
        <f ca="1">IF($C165-L$1&lt;År1,0,K164*(1-VLOOKUP($A165,[1]Hugst!$R$5:$W$9,MATCH(ROUNDUP((L$1)/10,0)*10,[1]Hugst!$R$4:$W$4,0))))</f>
        <v>684.37320326049996</v>
      </c>
      <c r="M165" s="168">
        <f ca="1">IF($C165-M$1&lt;År1,0,L164*(1-VLOOKUP($A165,[1]Hugst!$R$5:$W$9,MATCH(ROUNDUP((M$1)/10,0)*10,[1]Hugst!$R$4:$W$4,0))))</f>
        <v>685.95706264781222</v>
      </c>
      <c r="N165" s="168">
        <f ca="1">IF($C165-N$1&lt;År1,0,M164*(1-VLOOKUP($A165,[1]Hugst!$R$5:$W$9,MATCH(ROUNDUP((N$1)/10,0)*10,[1]Hugst!$R$4:$W$4,0))))</f>
        <v>687.54888112752417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*VLOOKUP(A166,Skovbrug!$A$13:$D$17,IF('Skovbrug-alder'!C166&lt;=År2,3,4),FALSE)-IF(C166&gt;2020,SUM(INDEX($C$1:$D$311,MATCH(1,(2020=$C$1:$C$311)*(B166=$B$1:$B$311)*(A166=$A$1:$A$311),0),2):D165),0))</f>
        <v>304.32053907867521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673.505724263861</v>
      </c>
      <c r="G166" s="168">
        <f ca="1">IF($C166-G$1&lt;År1,0,F165*(1-VLOOKUP($A166,[1]Hugst!$R$5:$W$9,MATCH(ROUNDUP((G$1)/10,0)*10,[1]Hugst!$R$4:$W$4,0))))</f>
        <v>675.03497320395729</v>
      </c>
      <c r="H166" s="168">
        <f ca="1">IF($C166-H$1&lt;År1,0,G165*(1-VLOOKUP($A166,[1]Hugst!$R$5:$W$9,MATCH(ROUNDUP((H$1)/10,0)*10,[1]Hugst!$R$4:$W$4,0))))</f>
        <v>676.57190681208488</v>
      </c>
      <c r="I166" s="168">
        <f ca="1">IF($C166-I$1&lt;År1,0,H165*(1-VLOOKUP($A166,[1]Hugst!$R$5:$W$9,MATCH(ROUNDUP((I$1)/10,0)*10,[1]Hugst!$R$4:$W$4,0))))</f>
        <v>678.11656370469757</v>
      </c>
      <c r="J166" s="168">
        <f ca="1">IF($C166-J$1&lt;År1,0,I165*(1-VLOOKUP($A166,[1]Hugst!$R$5:$W$9,MATCH(ROUNDUP((J$1)/10,0)*10,[1]Hugst!$R$4:$W$4,0))))</f>
        <v>679.66898269221895</v>
      </c>
      <c r="K166" s="168">
        <f ca="1">IF($C166-K$1&lt;År1,0,J165*(1-VLOOKUP($A166,[1]Hugst!$R$5:$W$9,MATCH(ROUNDUP((K$1)/10,0)*10,[1]Hugst!$R$4:$W$4,0))))</f>
        <v>681.22920278019922</v>
      </c>
      <c r="L166" s="168">
        <f ca="1">IF($C166-L$1&lt;År1,0,K165*(1-VLOOKUP($A166,[1]Hugst!$R$5:$W$9,MATCH(ROUNDUP((L$1)/10,0)*10,[1]Hugst!$R$4:$W$4,0))))</f>
        <v>682.79726317011557</v>
      </c>
      <c r="M166" s="168">
        <f ca="1">IF($C166-M$1&lt;År1,0,L165*(1-VLOOKUP($A166,[1]Hugst!$R$5:$W$9,MATCH(ROUNDUP((M$1)/10,0)*10,[1]Hugst!$R$4:$W$4,0))))</f>
        <v>684.37320326049996</v>
      </c>
      <c r="N166" s="168">
        <f ca="1">IF($C166-N$1&lt;År1,0,M165*(1-VLOOKUP($A166,[1]Hugst!$R$5:$W$9,MATCH(ROUNDUP((N$1)/10,0)*10,[1]Hugst!$R$4:$W$4,0))))</f>
        <v>685.95706264781222</v>
      </c>
      <c r="O166" s="168">
        <f ca="1">IF($C166-O$1&lt;År1,0,N165*(1-VLOOKUP($A166,[1]Hugst!$R$5:$W$9,MATCH(ROUNDUP((O$1)/10,0)*10,[1]Hugst!$R$4:$W$4,0))))</f>
        <v>687.54888112752417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*VLOOKUP(A167,Skovbrug!$A$13:$D$17,IF('Skovbrug-alder'!C167&lt;=År2,3,4),FALSE)-IF(C167&gt;2020,SUM(INDEX($C$1:$D$311,MATCH(1,(2020=$C$1:$C$311)*(B167=$B$1:$B$311)*(A167=$A$1:$A$311),0),2):D166),0))</f>
        <v>302.7989363832894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671.98412156847519</v>
      </c>
      <c r="G167" s="168">
        <f ca="1">IF($C167-G$1&lt;År1,0,F166*(1-VLOOKUP($A167,[1]Hugst!$R$5:$W$9,MATCH(ROUNDUP((G$1)/10,0)*10,[1]Hugst!$R$4:$W$4,0))))</f>
        <v>673.505724263861</v>
      </c>
      <c r="H167" s="168">
        <f ca="1">IF($C167-H$1&lt;År1,0,G166*(1-VLOOKUP($A167,[1]Hugst!$R$5:$W$9,MATCH(ROUNDUP((H$1)/10,0)*10,[1]Hugst!$R$4:$W$4,0))))</f>
        <v>675.03497320395729</v>
      </c>
      <c r="I167" s="168">
        <f ca="1">IF($C167-I$1&lt;År1,0,H166*(1-VLOOKUP($A167,[1]Hugst!$R$5:$W$9,MATCH(ROUNDUP((I$1)/10,0)*10,[1]Hugst!$R$4:$W$4,0))))</f>
        <v>676.57190681208488</v>
      </c>
      <c r="J167" s="168">
        <f ca="1">IF($C167-J$1&lt;År1,0,I166*(1-VLOOKUP($A167,[1]Hugst!$R$5:$W$9,MATCH(ROUNDUP((J$1)/10,0)*10,[1]Hugst!$R$4:$W$4,0))))</f>
        <v>678.11656370469757</v>
      </c>
      <c r="K167" s="168">
        <f ca="1">IF($C167-K$1&lt;År1,0,J166*(1-VLOOKUP($A167,[1]Hugst!$R$5:$W$9,MATCH(ROUNDUP((K$1)/10,0)*10,[1]Hugst!$R$4:$W$4,0))))</f>
        <v>679.66898269221895</v>
      </c>
      <c r="L167" s="168">
        <f ca="1">IF($C167-L$1&lt;År1,0,K166*(1-VLOOKUP($A167,[1]Hugst!$R$5:$W$9,MATCH(ROUNDUP((L$1)/10,0)*10,[1]Hugst!$R$4:$W$4,0))))</f>
        <v>681.22920278019922</v>
      </c>
      <c r="M167" s="168">
        <f ca="1">IF($C167-M$1&lt;År1,0,L166*(1-VLOOKUP($A167,[1]Hugst!$R$5:$W$9,MATCH(ROUNDUP((M$1)/10,0)*10,[1]Hugst!$R$4:$W$4,0))))</f>
        <v>682.79726317011557</v>
      </c>
      <c r="N167" s="168">
        <f ca="1">IF($C167-N$1&lt;År1,0,M166*(1-VLOOKUP($A167,[1]Hugst!$R$5:$W$9,MATCH(ROUNDUP((N$1)/10,0)*10,[1]Hugst!$R$4:$W$4,0))))</f>
        <v>684.37320326049996</v>
      </c>
      <c r="O167" s="168">
        <f ca="1">IF($C167-O$1&lt;År1,0,N166*(1-VLOOKUP($A167,[1]Hugst!$R$5:$W$9,MATCH(ROUNDUP((O$1)/10,0)*10,[1]Hugst!$R$4:$W$4,0))))</f>
        <v>685.95706264781222</v>
      </c>
      <c r="P167" s="168">
        <f ca="1">IF($C167-P$1&lt;År1,0,O166*(1-VLOOKUP($A167,[1]Hugst!$R$5:$W$9,MATCH(ROUNDUP((P$1)/10,0)*10,[1]Hugst!$R$4:$W$4,0))))</f>
        <v>687.54888112752417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*VLOOKUP(A168,Skovbrug!$A$13:$D$17,IF('Skovbrug-alder'!C168&lt;=År2,3,4),FALSE)-IF(C168&gt;2020,SUM(INDEX($C$1:$D$311,MATCH(1,(2020=$C$1:$C$311)*(B168=$B$1:$B$311)*(A168=$A$1:$A$311),0),2):D167),0))</f>
        <v>301.28494170135673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670.47012688654138</v>
      </c>
      <c r="G168" s="168">
        <f ca="1">IF($C168-G$1&lt;År1,0,F167*(1-VLOOKUP($A168,[1]Hugst!$R$5:$W$9,MATCH(ROUNDUP((G$1)/10,0)*10,[1]Hugst!$R$4:$W$4,0))))</f>
        <v>671.98412156847519</v>
      </c>
      <c r="H168" s="168">
        <f ca="1">IF($C168-H$1&lt;År1,0,G167*(1-VLOOKUP($A168,[1]Hugst!$R$5:$W$9,MATCH(ROUNDUP((H$1)/10,0)*10,[1]Hugst!$R$4:$W$4,0))))</f>
        <v>673.505724263861</v>
      </c>
      <c r="I168" s="168">
        <f ca="1">IF($C168-I$1&lt;År1,0,H167*(1-VLOOKUP($A168,[1]Hugst!$R$5:$W$9,MATCH(ROUNDUP((I$1)/10,0)*10,[1]Hugst!$R$4:$W$4,0))))</f>
        <v>675.03497320395729</v>
      </c>
      <c r="J168" s="168">
        <f ca="1">IF($C168-J$1&lt;År1,0,I167*(1-VLOOKUP($A168,[1]Hugst!$R$5:$W$9,MATCH(ROUNDUP((J$1)/10,0)*10,[1]Hugst!$R$4:$W$4,0))))</f>
        <v>676.57190681208488</v>
      </c>
      <c r="K168" s="168">
        <f ca="1">IF($C168-K$1&lt;År1,0,J167*(1-VLOOKUP($A168,[1]Hugst!$R$5:$W$9,MATCH(ROUNDUP((K$1)/10,0)*10,[1]Hugst!$R$4:$W$4,0))))</f>
        <v>678.11656370469757</v>
      </c>
      <c r="L168" s="168">
        <f ca="1">IF($C168-L$1&lt;År1,0,K167*(1-VLOOKUP($A168,[1]Hugst!$R$5:$W$9,MATCH(ROUNDUP((L$1)/10,0)*10,[1]Hugst!$R$4:$W$4,0))))</f>
        <v>679.66898269221895</v>
      </c>
      <c r="M168" s="168">
        <f ca="1">IF($C168-M$1&lt;År1,0,L167*(1-VLOOKUP($A168,[1]Hugst!$R$5:$W$9,MATCH(ROUNDUP((M$1)/10,0)*10,[1]Hugst!$R$4:$W$4,0))))</f>
        <v>681.22920278019922</v>
      </c>
      <c r="N168" s="168">
        <f ca="1">IF($C168-N$1&lt;År1,0,M167*(1-VLOOKUP($A168,[1]Hugst!$R$5:$W$9,MATCH(ROUNDUP((N$1)/10,0)*10,[1]Hugst!$R$4:$W$4,0))))</f>
        <v>682.79726317011557</v>
      </c>
      <c r="O168" s="168">
        <f ca="1">IF($C168-O$1&lt;År1,0,N167*(1-VLOOKUP($A168,[1]Hugst!$R$5:$W$9,MATCH(ROUNDUP((O$1)/10,0)*10,[1]Hugst!$R$4:$W$4,0))))</f>
        <v>684.37320326049996</v>
      </c>
      <c r="P168" s="168">
        <f ca="1">IF($C168-P$1&lt;År1,0,O167*(1-VLOOKUP($A168,[1]Hugst!$R$5:$W$9,MATCH(ROUNDUP((P$1)/10,0)*10,[1]Hugst!$R$4:$W$4,0))))</f>
        <v>685.95706264781222</v>
      </c>
      <c r="Q168" s="168">
        <f ca="1">IF($C168-Q$1&lt;År1,0,P167*(1-VLOOKUP($A168,[1]Hugst!$R$5:$W$9,MATCH(ROUNDUP((Q$1)/10,0)*10,[1]Hugst!$R$4:$W$4,0))))</f>
        <v>687.54888112752417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*VLOOKUP(A169,Skovbrug!$A$13:$D$17,IF('Skovbrug-alder'!C169&lt;=År2,3,4),FALSE)-IF(C169&gt;2020,SUM(INDEX($C$1:$D$311,MATCH(1,(2020=$C$1:$C$311)*(B169=$B$1:$B$311)*(A169=$A$1:$A$311),0),2):D168),0))</f>
        <v>299.77851699286111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668.96370217804576</v>
      </c>
      <c r="G169" s="168">
        <f ca="1">IF($C169-G$1&lt;År1,0,F168*(1-VLOOKUP($A169,[1]Hugst!$R$5:$W$9,MATCH(ROUNDUP((G$1)/10,0)*10,[1]Hugst!$R$4:$W$4,0))))</f>
        <v>670.47012688654138</v>
      </c>
      <c r="H169" s="168">
        <f ca="1">IF($C169-H$1&lt;År1,0,G168*(1-VLOOKUP($A169,[1]Hugst!$R$5:$W$9,MATCH(ROUNDUP((H$1)/10,0)*10,[1]Hugst!$R$4:$W$4,0))))</f>
        <v>671.98412156847519</v>
      </c>
      <c r="I169" s="168">
        <f ca="1">IF($C169-I$1&lt;År1,0,H168*(1-VLOOKUP($A169,[1]Hugst!$R$5:$W$9,MATCH(ROUNDUP((I$1)/10,0)*10,[1]Hugst!$R$4:$W$4,0))))</f>
        <v>673.505724263861</v>
      </c>
      <c r="J169" s="168">
        <f ca="1">IF($C169-J$1&lt;År1,0,I168*(1-VLOOKUP($A169,[1]Hugst!$R$5:$W$9,MATCH(ROUNDUP((J$1)/10,0)*10,[1]Hugst!$R$4:$W$4,0))))</f>
        <v>675.03497320395729</v>
      </c>
      <c r="K169" s="168">
        <f ca="1">IF($C169-K$1&lt;År1,0,J168*(1-VLOOKUP($A169,[1]Hugst!$R$5:$W$9,MATCH(ROUNDUP((K$1)/10,0)*10,[1]Hugst!$R$4:$W$4,0))))</f>
        <v>676.57190681208488</v>
      </c>
      <c r="L169" s="168">
        <f ca="1">IF($C169-L$1&lt;År1,0,K168*(1-VLOOKUP($A169,[1]Hugst!$R$5:$W$9,MATCH(ROUNDUP((L$1)/10,0)*10,[1]Hugst!$R$4:$W$4,0))))</f>
        <v>678.11656370469757</v>
      </c>
      <c r="M169" s="168">
        <f ca="1">IF($C169-M$1&lt;År1,0,L168*(1-VLOOKUP($A169,[1]Hugst!$R$5:$W$9,MATCH(ROUNDUP((M$1)/10,0)*10,[1]Hugst!$R$4:$W$4,0))))</f>
        <v>679.66898269221895</v>
      </c>
      <c r="N169" s="168">
        <f ca="1">IF($C169-N$1&lt;År1,0,M168*(1-VLOOKUP($A169,[1]Hugst!$R$5:$W$9,MATCH(ROUNDUP((N$1)/10,0)*10,[1]Hugst!$R$4:$W$4,0))))</f>
        <v>681.22920278019922</v>
      </c>
      <c r="O169" s="168">
        <f ca="1">IF($C169-O$1&lt;År1,0,N168*(1-VLOOKUP($A169,[1]Hugst!$R$5:$W$9,MATCH(ROUNDUP((O$1)/10,0)*10,[1]Hugst!$R$4:$W$4,0))))</f>
        <v>682.79726317011557</v>
      </c>
      <c r="P169" s="168">
        <f ca="1">IF($C169-P$1&lt;År1,0,O168*(1-VLOOKUP($A169,[1]Hugst!$R$5:$W$9,MATCH(ROUNDUP((P$1)/10,0)*10,[1]Hugst!$R$4:$W$4,0))))</f>
        <v>684.37320326049996</v>
      </c>
      <c r="Q169" s="168">
        <f ca="1">IF($C169-Q$1&lt;År1,0,P168*(1-VLOOKUP($A169,[1]Hugst!$R$5:$W$9,MATCH(ROUNDUP((Q$1)/10,0)*10,[1]Hugst!$R$4:$W$4,0))))</f>
        <v>685.95706264781222</v>
      </c>
      <c r="R169" s="168">
        <f ca="1">IF($C169-R$1&lt;År1,0,Q168*(1-VLOOKUP($A169,[1]Hugst!$R$5:$W$9,MATCH(ROUNDUP((R$1)/10,0)*10,[1]Hugst!$R$4:$W$4,0))))</f>
        <v>687.54888112752417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*VLOOKUP(A170,Skovbrug!$A$13:$D$17,IF('Skovbrug-alder'!C170&lt;=År2,3,4),FALSE)-IF(C170&gt;2020,SUM(INDEX($C$1:$D$311,MATCH(1,(2020=$C$1:$C$311)*(B170=$B$1:$B$311)*(A170=$A$1:$A$311),0),2):D169),0))</f>
        <v>298.2796244078927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667.46480959307735</v>
      </c>
      <c r="G170" s="168">
        <f ca="1">IF($C170-G$1&lt;År1,0,F169*(1-VLOOKUP($A170,[1]Hugst!$R$5:$W$9,MATCH(ROUNDUP((G$1)/10,0)*10,[1]Hugst!$R$4:$W$4,0))))</f>
        <v>668.96370217804576</v>
      </c>
      <c r="H170" s="168">
        <f ca="1">IF($C170-H$1&lt;År1,0,G169*(1-VLOOKUP($A170,[1]Hugst!$R$5:$W$9,MATCH(ROUNDUP((H$1)/10,0)*10,[1]Hugst!$R$4:$W$4,0))))</f>
        <v>670.47012688654138</v>
      </c>
      <c r="I170" s="168">
        <f ca="1">IF($C170-I$1&lt;År1,0,H169*(1-VLOOKUP($A170,[1]Hugst!$R$5:$W$9,MATCH(ROUNDUP((I$1)/10,0)*10,[1]Hugst!$R$4:$W$4,0))))</f>
        <v>671.98412156847519</v>
      </c>
      <c r="J170" s="168">
        <f ca="1">IF($C170-J$1&lt;År1,0,I169*(1-VLOOKUP($A170,[1]Hugst!$R$5:$W$9,MATCH(ROUNDUP((J$1)/10,0)*10,[1]Hugst!$R$4:$W$4,0))))</f>
        <v>673.505724263861</v>
      </c>
      <c r="K170" s="168">
        <f ca="1">IF($C170-K$1&lt;År1,0,J169*(1-VLOOKUP($A170,[1]Hugst!$R$5:$W$9,MATCH(ROUNDUP((K$1)/10,0)*10,[1]Hugst!$R$4:$W$4,0))))</f>
        <v>675.03497320395729</v>
      </c>
      <c r="L170" s="168">
        <f ca="1">IF($C170-L$1&lt;År1,0,K169*(1-VLOOKUP($A170,[1]Hugst!$R$5:$W$9,MATCH(ROUNDUP((L$1)/10,0)*10,[1]Hugst!$R$4:$W$4,0))))</f>
        <v>676.57190681208488</v>
      </c>
      <c r="M170" s="168">
        <f ca="1">IF($C170-M$1&lt;År1,0,L169*(1-VLOOKUP($A170,[1]Hugst!$R$5:$W$9,MATCH(ROUNDUP((M$1)/10,0)*10,[1]Hugst!$R$4:$W$4,0))))</f>
        <v>678.11656370469757</v>
      </c>
      <c r="N170" s="168">
        <f ca="1">IF($C170-N$1&lt;År1,0,M169*(1-VLOOKUP($A170,[1]Hugst!$R$5:$W$9,MATCH(ROUNDUP((N$1)/10,0)*10,[1]Hugst!$R$4:$W$4,0))))</f>
        <v>679.66898269221895</v>
      </c>
      <c r="O170" s="168">
        <f ca="1">IF($C170-O$1&lt;År1,0,N169*(1-VLOOKUP($A170,[1]Hugst!$R$5:$W$9,MATCH(ROUNDUP((O$1)/10,0)*10,[1]Hugst!$R$4:$W$4,0))))</f>
        <v>681.22920278019922</v>
      </c>
      <c r="P170" s="168">
        <f ca="1">IF($C170-P$1&lt;År1,0,O169*(1-VLOOKUP($A170,[1]Hugst!$R$5:$W$9,MATCH(ROUNDUP((P$1)/10,0)*10,[1]Hugst!$R$4:$W$4,0))))</f>
        <v>682.79726317011557</v>
      </c>
      <c r="Q170" s="168">
        <f ca="1">IF($C170-Q$1&lt;År1,0,P169*(1-VLOOKUP($A170,[1]Hugst!$R$5:$W$9,MATCH(ROUNDUP((Q$1)/10,0)*10,[1]Hugst!$R$4:$W$4,0))))</f>
        <v>684.37320326049996</v>
      </c>
      <c r="R170" s="168">
        <f ca="1">IF($C170-R$1&lt;År1,0,Q169*(1-VLOOKUP($A170,[1]Hugst!$R$5:$W$9,MATCH(ROUNDUP((R$1)/10,0)*10,[1]Hugst!$R$4:$W$4,0))))</f>
        <v>685.95706264781222</v>
      </c>
      <c r="S170" s="168">
        <f ca="1">IF($C170-S$1&lt;År1,0,R169*(1-VLOOKUP($A170,[1]Hugst!$R$5:$W$9,MATCH(ROUNDUP((S$1)/10,0)*10,[1]Hugst!$R$4:$W$4,0))))</f>
        <v>687.54888112752417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*VLOOKUP(A171,Skovbrug!$A$13:$D$17,IF('Skovbrug-alder'!C171&lt;=År2,3,4),FALSE)-IF(C171&gt;2020,SUM(INDEX($C$1:$D$311,MATCH(1,(2020=$C$1:$C$311)*(B171=$B$1:$B$311)*(A171=$A$1:$A$311),0),2):D170),0))</f>
        <v>296.78822628585476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665.97341147103941</v>
      </c>
      <c r="G171" s="168">
        <f ca="1">IF($C171-G$1&lt;År1,0,F170*(1-VLOOKUP($A171,[1]Hugst!$R$5:$W$9,MATCH(ROUNDUP((G$1)/10,0)*10,[1]Hugst!$R$4:$W$4,0))))</f>
        <v>667.46480959307735</v>
      </c>
      <c r="H171" s="168">
        <f ca="1">IF($C171-H$1&lt;År1,0,G170*(1-VLOOKUP($A171,[1]Hugst!$R$5:$W$9,MATCH(ROUNDUP((H$1)/10,0)*10,[1]Hugst!$R$4:$W$4,0))))</f>
        <v>668.96370217804576</v>
      </c>
      <c r="I171" s="168">
        <f ca="1">IF($C171-I$1&lt;År1,0,H170*(1-VLOOKUP($A171,[1]Hugst!$R$5:$W$9,MATCH(ROUNDUP((I$1)/10,0)*10,[1]Hugst!$R$4:$W$4,0))))</f>
        <v>670.47012688654138</v>
      </c>
      <c r="J171" s="168">
        <f ca="1">IF($C171-J$1&lt;År1,0,I170*(1-VLOOKUP($A171,[1]Hugst!$R$5:$W$9,MATCH(ROUNDUP((J$1)/10,0)*10,[1]Hugst!$R$4:$W$4,0))))</f>
        <v>671.98412156847519</v>
      </c>
      <c r="K171" s="168">
        <f ca="1">IF($C171-K$1&lt;År1,0,J170*(1-VLOOKUP($A171,[1]Hugst!$R$5:$W$9,MATCH(ROUNDUP((K$1)/10,0)*10,[1]Hugst!$R$4:$W$4,0))))</f>
        <v>673.505724263861</v>
      </c>
      <c r="L171" s="168">
        <f ca="1">IF($C171-L$1&lt;År1,0,K170*(1-VLOOKUP($A171,[1]Hugst!$R$5:$W$9,MATCH(ROUNDUP((L$1)/10,0)*10,[1]Hugst!$R$4:$W$4,0))))</f>
        <v>675.03497320395729</v>
      </c>
      <c r="M171" s="168">
        <f ca="1">IF($C171-M$1&lt;År1,0,L170*(1-VLOOKUP($A171,[1]Hugst!$R$5:$W$9,MATCH(ROUNDUP((M$1)/10,0)*10,[1]Hugst!$R$4:$W$4,0))))</f>
        <v>676.57190681208488</v>
      </c>
      <c r="N171" s="168">
        <f ca="1">IF($C171-N$1&lt;År1,0,M170*(1-VLOOKUP($A171,[1]Hugst!$R$5:$W$9,MATCH(ROUNDUP((N$1)/10,0)*10,[1]Hugst!$R$4:$W$4,0))))</f>
        <v>678.11656370469757</v>
      </c>
      <c r="O171" s="168">
        <f ca="1">IF($C171-O$1&lt;År1,0,N170*(1-VLOOKUP($A171,[1]Hugst!$R$5:$W$9,MATCH(ROUNDUP((O$1)/10,0)*10,[1]Hugst!$R$4:$W$4,0))))</f>
        <v>679.66898269221895</v>
      </c>
      <c r="P171" s="168">
        <f ca="1">IF($C171-P$1&lt;År1,0,O170*(1-VLOOKUP($A171,[1]Hugst!$R$5:$W$9,MATCH(ROUNDUP((P$1)/10,0)*10,[1]Hugst!$R$4:$W$4,0))))</f>
        <v>681.22920278019922</v>
      </c>
      <c r="Q171" s="168">
        <f ca="1">IF($C171-Q$1&lt;År1,0,P170*(1-VLOOKUP($A171,[1]Hugst!$R$5:$W$9,MATCH(ROUNDUP((Q$1)/10,0)*10,[1]Hugst!$R$4:$W$4,0))))</f>
        <v>682.79726317011557</v>
      </c>
      <c r="R171" s="168">
        <f ca="1">IF($C171-R$1&lt;År1,0,Q170*(1-VLOOKUP($A171,[1]Hugst!$R$5:$W$9,MATCH(ROUNDUP((R$1)/10,0)*10,[1]Hugst!$R$4:$W$4,0))))</f>
        <v>684.37320326049996</v>
      </c>
      <c r="S171" s="168">
        <f ca="1">IF($C171-S$1&lt;År1,0,R170*(1-VLOOKUP($A171,[1]Hugst!$R$5:$W$9,MATCH(ROUNDUP((S$1)/10,0)*10,[1]Hugst!$R$4:$W$4,0))))</f>
        <v>685.95706264781222</v>
      </c>
      <c r="T171" s="168">
        <f ca="1">IF($C171-T$1&lt;År1,0,S170*(1-VLOOKUP($A171,[1]Hugst!$R$5:$W$9,MATCH(ROUNDUP((T$1)/10,0)*10,[1]Hugst!$R$4:$W$4,0))))</f>
        <v>687.54888112752417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*VLOOKUP(A172,Skovbrug!$A$13:$D$17,IF('Skovbrug-alder'!C172&lt;=År2,3,4),FALSE)-IF(C172&gt;2020,SUM(INDEX($C$1:$D$311,MATCH(1,(2020=$C$1:$C$311)*(B172=$B$1:$B$311)*(A172=$A$1:$A$311),0),2):D171),0))</f>
        <v>295.30428515443054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664.4894703396152</v>
      </c>
      <c r="G172" s="168">
        <f ca="1">IF($C172-G$1&lt;År1,0,F171*(1-VLOOKUP($A172,[1]Hugst!$R$5:$W$9,MATCH(ROUNDUP((G$1)/10,0)*10,[1]Hugst!$R$4:$W$4,0))))</f>
        <v>665.97341147103941</v>
      </c>
      <c r="H172" s="168">
        <f ca="1">IF($C172-H$1&lt;År1,0,G171*(1-VLOOKUP($A172,[1]Hugst!$R$5:$W$9,MATCH(ROUNDUP((H$1)/10,0)*10,[1]Hugst!$R$4:$W$4,0))))</f>
        <v>667.46480959307735</v>
      </c>
      <c r="I172" s="168">
        <f ca="1">IF($C172-I$1&lt;År1,0,H171*(1-VLOOKUP($A172,[1]Hugst!$R$5:$W$9,MATCH(ROUNDUP((I$1)/10,0)*10,[1]Hugst!$R$4:$W$4,0))))</f>
        <v>668.96370217804576</v>
      </c>
      <c r="J172" s="168">
        <f ca="1">IF($C172-J$1&lt;År1,0,I171*(1-VLOOKUP($A172,[1]Hugst!$R$5:$W$9,MATCH(ROUNDUP((J$1)/10,0)*10,[1]Hugst!$R$4:$W$4,0))))</f>
        <v>670.47012688654138</v>
      </c>
      <c r="K172" s="168">
        <f ca="1">IF($C172-K$1&lt;År1,0,J171*(1-VLOOKUP($A172,[1]Hugst!$R$5:$W$9,MATCH(ROUNDUP((K$1)/10,0)*10,[1]Hugst!$R$4:$W$4,0))))</f>
        <v>671.98412156847519</v>
      </c>
      <c r="L172" s="168">
        <f ca="1">IF($C172-L$1&lt;År1,0,K171*(1-VLOOKUP($A172,[1]Hugst!$R$5:$W$9,MATCH(ROUNDUP((L$1)/10,0)*10,[1]Hugst!$R$4:$W$4,0))))</f>
        <v>673.505724263861</v>
      </c>
      <c r="M172" s="168">
        <f ca="1">IF($C172-M$1&lt;År1,0,L171*(1-VLOOKUP($A172,[1]Hugst!$R$5:$W$9,MATCH(ROUNDUP((M$1)/10,0)*10,[1]Hugst!$R$4:$W$4,0))))</f>
        <v>675.03497320395729</v>
      </c>
      <c r="N172" s="168">
        <f ca="1">IF($C172-N$1&lt;År1,0,M171*(1-VLOOKUP($A172,[1]Hugst!$R$5:$W$9,MATCH(ROUNDUP((N$1)/10,0)*10,[1]Hugst!$R$4:$W$4,0))))</f>
        <v>676.57190681208488</v>
      </c>
      <c r="O172" s="168">
        <f ca="1">IF($C172-O$1&lt;År1,0,N171*(1-VLOOKUP($A172,[1]Hugst!$R$5:$W$9,MATCH(ROUNDUP((O$1)/10,0)*10,[1]Hugst!$R$4:$W$4,0))))</f>
        <v>678.11656370469757</v>
      </c>
      <c r="P172" s="168">
        <f ca="1">IF($C172-P$1&lt;År1,0,O171*(1-VLOOKUP($A172,[1]Hugst!$R$5:$W$9,MATCH(ROUNDUP((P$1)/10,0)*10,[1]Hugst!$R$4:$W$4,0))))</f>
        <v>679.66898269221895</v>
      </c>
      <c r="Q172" s="168">
        <f ca="1">IF($C172-Q$1&lt;År1,0,P171*(1-VLOOKUP($A172,[1]Hugst!$R$5:$W$9,MATCH(ROUNDUP((Q$1)/10,0)*10,[1]Hugst!$R$4:$W$4,0))))</f>
        <v>681.22920278019922</v>
      </c>
      <c r="R172" s="168">
        <f ca="1">IF($C172-R$1&lt;År1,0,Q171*(1-VLOOKUP($A172,[1]Hugst!$R$5:$W$9,MATCH(ROUNDUP((R$1)/10,0)*10,[1]Hugst!$R$4:$W$4,0))))</f>
        <v>682.79726317011557</v>
      </c>
      <c r="S172" s="168">
        <f ca="1">IF($C172-S$1&lt;År1,0,R171*(1-VLOOKUP($A172,[1]Hugst!$R$5:$W$9,MATCH(ROUNDUP((S$1)/10,0)*10,[1]Hugst!$R$4:$W$4,0))))</f>
        <v>684.37320326049996</v>
      </c>
      <c r="T172" s="168">
        <f ca="1">IF($C172-T$1&lt;År1,0,S171*(1-VLOOKUP($A172,[1]Hugst!$R$5:$W$9,MATCH(ROUNDUP((T$1)/10,0)*10,[1]Hugst!$R$4:$W$4,0))))</f>
        <v>685.95706264781222</v>
      </c>
      <c r="U172" s="168">
        <f ca="1">IF($C172-U$1&lt;År1,0,T171*(1-VLOOKUP($A172,[1]Hugst!$R$5:$W$9,MATCH(ROUNDUP((U$1)/10,0)*10,[1]Hugst!$R$4:$W$4,0))))</f>
        <v>687.54888112752417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*VLOOKUP(A173,Skovbrug!$A$13:$D$17,IF('Skovbrug-alder'!C173&lt;=År2,3,4),FALSE)-IF(C173&gt;2020,SUM(INDEX($C$1:$D$311,MATCH(1,(2020=$C$1:$C$311)*(B173=$B$1:$B$311)*(A173=$A$1:$A$311),0),2):D172),0))</f>
        <v>293.82776372865192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663.01294891383657</v>
      </c>
      <c r="G173" s="168">
        <f ca="1">IF($C173-G$1&lt;År1,0,F172*(1-VLOOKUP($A173,[1]Hugst!$R$5:$W$9,MATCH(ROUNDUP((G$1)/10,0)*10,[1]Hugst!$R$4:$W$4,0))))</f>
        <v>664.4894703396152</v>
      </c>
      <c r="H173" s="168">
        <f ca="1">IF($C173-H$1&lt;År1,0,G172*(1-VLOOKUP($A173,[1]Hugst!$R$5:$W$9,MATCH(ROUNDUP((H$1)/10,0)*10,[1]Hugst!$R$4:$W$4,0))))</f>
        <v>665.97341147103941</v>
      </c>
      <c r="I173" s="168">
        <f ca="1">IF($C173-I$1&lt;År1,0,H172*(1-VLOOKUP($A173,[1]Hugst!$R$5:$W$9,MATCH(ROUNDUP((I$1)/10,0)*10,[1]Hugst!$R$4:$W$4,0))))</f>
        <v>667.46480959307735</v>
      </c>
      <c r="J173" s="168">
        <f ca="1">IF($C173-J$1&lt;År1,0,I172*(1-VLOOKUP($A173,[1]Hugst!$R$5:$W$9,MATCH(ROUNDUP((J$1)/10,0)*10,[1]Hugst!$R$4:$W$4,0))))</f>
        <v>668.96370217804576</v>
      </c>
      <c r="K173" s="168">
        <f ca="1">IF($C173-K$1&lt;År1,0,J172*(1-VLOOKUP($A173,[1]Hugst!$R$5:$W$9,MATCH(ROUNDUP((K$1)/10,0)*10,[1]Hugst!$R$4:$W$4,0))))</f>
        <v>670.47012688654138</v>
      </c>
      <c r="L173" s="168">
        <f ca="1">IF($C173-L$1&lt;År1,0,K172*(1-VLOOKUP($A173,[1]Hugst!$R$5:$W$9,MATCH(ROUNDUP((L$1)/10,0)*10,[1]Hugst!$R$4:$W$4,0))))</f>
        <v>671.98412156847519</v>
      </c>
      <c r="M173" s="168">
        <f ca="1">IF($C173-M$1&lt;År1,0,L172*(1-VLOOKUP($A173,[1]Hugst!$R$5:$W$9,MATCH(ROUNDUP((M$1)/10,0)*10,[1]Hugst!$R$4:$W$4,0))))</f>
        <v>673.505724263861</v>
      </c>
      <c r="N173" s="168">
        <f ca="1">IF($C173-N$1&lt;År1,0,M172*(1-VLOOKUP($A173,[1]Hugst!$R$5:$W$9,MATCH(ROUNDUP((N$1)/10,0)*10,[1]Hugst!$R$4:$W$4,0))))</f>
        <v>675.03497320395729</v>
      </c>
      <c r="O173" s="168">
        <f ca="1">IF($C173-O$1&lt;År1,0,N172*(1-VLOOKUP($A173,[1]Hugst!$R$5:$W$9,MATCH(ROUNDUP((O$1)/10,0)*10,[1]Hugst!$R$4:$W$4,0))))</f>
        <v>676.57190681208488</v>
      </c>
      <c r="P173" s="168">
        <f ca="1">IF($C173-P$1&lt;År1,0,O172*(1-VLOOKUP($A173,[1]Hugst!$R$5:$W$9,MATCH(ROUNDUP((P$1)/10,0)*10,[1]Hugst!$R$4:$W$4,0))))</f>
        <v>678.11656370469757</v>
      </c>
      <c r="Q173" s="168">
        <f ca="1">IF($C173-Q$1&lt;År1,0,P172*(1-VLOOKUP($A173,[1]Hugst!$R$5:$W$9,MATCH(ROUNDUP((Q$1)/10,0)*10,[1]Hugst!$R$4:$W$4,0))))</f>
        <v>679.66898269221895</v>
      </c>
      <c r="R173" s="168">
        <f ca="1">IF($C173-R$1&lt;År1,0,Q172*(1-VLOOKUP($A173,[1]Hugst!$R$5:$W$9,MATCH(ROUNDUP((R$1)/10,0)*10,[1]Hugst!$R$4:$W$4,0))))</f>
        <v>681.22920278019922</v>
      </c>
      <c r="S173" s="168">
        <f ca="1">IF($C173-S$1&lt;År1,0,R172*(1-VLOOKUP($A173,[1]Hugst!$R$5:$W$9,MATCH(ROUNDUP((S$1)/10,0)*10,[1]Hugst!$R$4:$W$4,0))))</f>
        <v>682.79726317011557</v>
      </c>
      <c r="T173" s="168">
        <f ca="1">IF($C173-T$1&lt;År1,0,S172*(1-VLOOKUP($A173,[1]Hugst!$R$5:$W$9,MATCH(ROUNDUP((T$1)/10,0)*10,[1]Hugst!$R$4:$W$4,0))))</f>
        <v>684.37320326049996</v>
      </c>
      <c r="U173" s="168">
        <f ca="1">IF($C173-U$1&lt;År1,0,T172*(1-VLOOKUP($A173,[1]Hugst!$R$5:$W$9,MATCH(ROUNDUP((U$1)/10,0)*10,[1]Hugst!$R$4:$W$4,0))))</f>
        <v>685.95706264781222</v>
      </c>
      <c r="V173" s="168">
        <f ca="1">IF($C173-V$1&lt;År1,0,U172*(1-VLOOKUP($A173,[1]Hugst!$R$5:$W$9,MATCH(ROUNDUP((V$1)/10,0)*10,[1]Hugst!$R$4:$W$4,0))))</f>
        <v>687.54888112752417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*VLOOKUP(A174,Skovbrug!$A$13:$D$17,IF('Skovbrug-alder'!C174&lt;=År2,3,4),FALSE)-IF(C174&gt;2020,SUM(INDEX($C$1:$D$311,MATCH(1,(2020=$C$1:$C$311)*(B174=$B$1:$B$311)*(A174=$A$1:$A$311),0),2):D173),0))</f>
        <v>292.35862491001171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661.54381009519636</v>
      </c>
      <c r="G174" s="168">
        <f ca="1">IF($C174-G$1&lt;År1,0,F173*(1-VLOOKUP($A174,[1]Hugst!$R$5:$W$9,MATCH(ROUNDUP((G$1)/10,0)*10,[1]Hugst!$R$4:$W$4,0))))</f>
        <v>663.01294891383657</v>
      </c>
      <c r="H174" s="168">
        <f ca="1">IF($C174-H$1&lt;År1,0,G173*(1-VLOOKUP($A174,[1]Hugst!$R$5:$W$9,MATCH(ROUNDUP((H$1)/10,0)*10,[1]Hugst!$R$4:$W$4,0))))</f>
        <v>664.4894703396152</v>
      </c>
      <c r="I174" s="168">
        <f ca="1">IF($C174-I$1&lt;År1,0,H173*(1-VLOOKUP($A174,[1]Hugst!$R$5:$W$9,MATCH(ROUNDUP((I$1)/10,0)*10,[1]Hugst!$R$4:$W$4,0))))</f>
        <v>665.97341147103941</v>
      </c>
      <c r="J174" s="168">
        <f ca="1">IF($C174-J$1&lt;År1,0,I173*(1-VLOOKUP($A174,[1]Hugst!$R$5:$W$9,MATCH(ROUNDUP((J$1)/10,0)*10,[1]Hugst!$R$4:$W$4,0))))</f>
        <v>667.46480959307735</v>
      </c>
      <c r="K174" s="168">
        <f ca="1">IF($C174-K$1&lt;År1,0,J173*(1-VLOOKUP($A174,[1]Hugst!$R$5:$W$9,MATCH(ROUNDUP((K$1)/10,0)*10,[1]Hugst!$R$4:$W$4,0))))</f>
        <v>668.96370217804576</v>
      </c>
      <c r="L174" s="168">
        <f ca="1">IF($C174-L$1&lt;År1,0,K173*(1-VLOOKUP($A174,[1]Hugst!$R$5:$W$9,MATCH(ROUNDUP((L$1)/10,0)*10,[1]Hugst!$R$4:$W$4,0))))</f>
        <v>670.47012688654138</v>
      </c>
      <c r="M174" s="168">
        <f ca="1">IF($C174-M$1&lt;År1,0,L173*(1-VLOOKUP($A174,[1]Hugst!$R$5:$W$9,MATCH(ROUNDUP((M$1)/10,0)*10,[1]Hugst!$R$4:$W$4,0))))</f>
        <v>671.98412156847519</v>
      </c>
      <c r="N174" s="168">
        <f ca="1">IF($C174-N$1&lt;År1,0,M173*(1-VLOOKUP($A174,[1]Hugst!$R$5:$W$9,MATCH(ROUNDUP((N$1)/10,0)*10,[1]Hugst!$R$4:$W$4,0))))</f>
        <v>673.505724263861</v>
      </c>
      <c r="O174" s="168">
        <f ca="1">IF($C174-O$1&lt;År1,0,N173*(1-VLOOKUP($A174,[1]Hugst!$R$5:$W$9,MATCH(ROUNDUP((O$1)/10,0)*10,[1]Hugst!$R$4:$W$4,0))))</f>
        <v>675.03497320395729</v>
      </c>
      <c r="P174" s="168">
        <f ca="1">IF($C174-P$1&lt;År1,0,O173*(1-VLOOKUP($A174,[1]Hugst!$R$5:$W$9,MATCH(ROUNDUP((P$1)/10,0)*10,[1]Hugst!$R$4:$W$4,0))))</f>
        <v>676.57190681208488</v>
      </c>
      <c r="Q174" s="168">
        <f ca="1">IF($C174-Q$1&lt;År1,0,P173*(1-VLOOKUP($A174,[1]Hugst!$R$5:$W$9,MATCH(ROUNDUP((Q$1)/10,0)*10,[1]Hugst!$R$4:$W$4,0))))</f>
        <v>678.11656370469757</v>
      </c>
      <c r="R174" s="168">
        <f ca="1">IF($C174-R$1&lt;År1,0,Q173*(1-VLOOKUP($A174,[1]Hugst!$R$5:$W$9,MATCH(ROUNDUP((R$1)/10,0)*10,[1]Hugst!$R$4:$W$4,0))))</f>
        <v>679.66898269221895</v>
      </c>
      <c r="S174" s="168">
        <f ca="1">IF($C174-S$1&lt;År1,0,R173*(1-VLOOKUP($A174,[1]Hugst!$R$5:$W$9,MATCH(ROUNDUP((S$1)/10,0)*10,[1]Hugst!$R$4:$W$4,0))))</f>
        <v>681.22920278019922</v>
      </c>
      <c r="T174" s="168">
        <f ca="1">IF($C174-T$1&lt;År1,0,S173*(1-VLOOKUP($A174,[1]Hugst!$R$5:$W$9,MATCH(ROUNDUP((T$1)/10,0)*10,[1]Hugst!$R$4:$W$4,0))))</f>
        <v>682.79726317011557</v>
      </c>
      <c r="U174" s="168">
        <f ca="1">IF($C174-U$1&lt;År1,0,T173*(1-VLOOKUP($A174,[1]Hugst!$R$5:$W$9,MATCH(ROUNDUP((U$1)/10,0)*10,[1]Hugst!$R$4:$W$4,0))))</f>
        <v>684.37320326049996</v>
      </c>
      <c r="V174" s="168">
        <f ca="1">IF($C174-V$1&lt;År1,0,U173*(1-VLOOKUP($A174,[1]Hugst!$R$5:$W$9,MATCH(ROUNDUP((V$1)/10,0)*10,[1]Hugst!$R$4:$W$4,0))))</f>
        <v>685.95706264781222</v>
      </c>
      <c r="W174" s="168">
        <f ca="1">IF($C174-W$1&lt;År1,0,V173*(1-VLOOKUP($A174,[1]Hugst!$R$5:$W$9,MATCH(ROUNDUP((W$1)/10,0)*10,[1]Hugst!$R$4:$W$4,0))))</f>
        <v>687.54888112752417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*VLOOKUP(A175,Skovbrug!$A$13:$D$17,IF('Skovbrug-alder'!C175&lt;=År2,3,4),FALSE)-IF(C175&gt;2020,SUM(INDEX($C$1:$D$311,MATCH(1,(2020=$C$1:$C$311)*(B175=$B$1:$B$311)*(A175=$A$1:$A$311),0),2):D174),0))</f>
        <v>290.89683178546693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660.08201697065158</v>
      </c>
      <c r="G175" s="168">
        <f ca="1">IF($C175-G$1&lt;År1,0,F174*(1-VLOOKUP($A175,[1]Hugst!$R$5:$W$9,MATCH(ROUNDUP((G$1)/10,0)*10,[1]Hugst!$R$4:$W$4,0))))</f>
        <v>661.54381009519636</v>
      </c>
      <c r="H175" s="168">
        <f ca="1">IF($C175-H$1&lt;År1,0,G174*(1-VLOOKUP($A175,[1]Hugst!$R$5:$W$9,MATCH(ROUNDUP((H$1)/10,0)*10,[1]Hugst!$R$4:$W$4,0))))</f>
        <v>663.01294891383657</v>
      </c>
      <c r="I175" s="168">
        <f ca="1">IF($C175-I$1&lt;År1,0,H174*(1-VLOOKUP($A175,[1]Hugst!$R$5:$W$9,MATCH(ROUNDUP((I$1)/10,0)*10,[1]Hugst!$R$4:$W$4,0))))</f>
        <v>664.4894703396152</v>
      </c>
      <c r="J175" s="168">
        <f ca="1">IF($C175-J$1&lt;År1,0,I174*(1-VLOOKUP($A175,[1]Hugst!$R$5:$W$9,MATCH(ROUNDUP((J$1)/10,0)*10,[1]Hugst!$R$4:$W$4,0))))</f>
        <v>665.97341147103941</v>
      </c>
      <c r="K175" s="168">
        <f ca="1">IF($C175-K$1&lt;År1,0,J174*(1-VLOOKUP($A175,[1]Hugst!$R$5:$W$9,MATCH(ROUNDUP((K$1)/10,0)*10,[1]Hugst!$R$4:$W$4,0))))</f>
        <v>667.46480959307735</v>
      </c>
      <c r="L175" s="168">
        <f ca="1">IF($C175-L$1&lt;År1,0,K174*(1-VLOOKUP($A175,[1]Hugst!$R$5:$W$9,MATCH(ROUNDUP((L$1)/10,0)*10,[1]Hugst!$R$4:$W$4,0))))</f>
        <v>668.96370217804576</v>
      </c>
      <c r="M175" s="168">
        <f ca="1">IF($C175-M$1&lt;År1,0,L174*(1-VLOOKUP($A175,[1]Hugst!$R$5:$W$9,MATCH(ROUNDUP((M$1)/10,0)*10,[1]Hugst!$R$4:$W$4,0))))</f>
        <v>670.47012688654138</v>
      </c>
      <c r="N175" s="168">
        <f ca="1">IF($C175-N$1&lt;År1,0,M174*(1-VLOOKUP($A175,[1]Hugst!$R$5:$W$9,MATCH(ROUNDUP((N$1)/10,0)*10,[1]Hugst!$R$4:$W$4,0))))</f>
        <v>671.98412156847519</v>
      </c>
      <c r="O175" s="168">
        <f ca="1">IF($C175-O$1&lt;År1,0,N174*(1-VLOOKUP($A175,[1]Hugst!$R$5:$W$9,MATCH(ROUNDUP((O$1)/10,0)*10,[1]Hugst!$R$4:$W$4,0))))</f>
        <v>673.505724263861</v>
      </c>
      <c r="P175" s="168">
        <f ca="1">IF($C175-P$1&lt;År1,0,O174*(1-VLOOKUP($A175,[1]Hugst!$R$5:$W$9,MATCH(ROUNDUP((P$1)/10,0)*10,[1]Hugst!$R$4:$W$4,0))))</f>
        <v>675.03497320395729</v>
      </c>
      <c r="Q175" s="168">
        <f ca="1">IF($C175-Q$1&lt;År1,0,P174*(1-VLOOKUP($A175,[1]Hugst!$R$5:$W$9,MATCH(ROUNDUP((Q$1)/10,0)*10,[1]Hugst!$R$4:$W$4,0))))</f>
        <v>676.57190681208488</v>
      </c>
      <c r="R175" s="168">
        <f ca="1">IF($C175-R$1&lt;År1,0,Q174*(1-VLOOKUP($A175,[1]Hugst!$R$5:$W$9,MATCH(ROUNDUP((R$1)/10,0)*10,[1]Hugst!$R$4:$W$4,0))))</f>
        <v>678.11656370469757</v>
      </c>
      <c r="S175" s="168">
        <f ca="1">IF($C175-S$1&lt;År1,0,R174*(1-VLOOKUP($A175,[1]Hugst!$R$5:$W$9,MATCH(ROUNDUP((S$1)/10,0)*10,[1]Hugst!$R$4:$W$4,0))))</f>
        <v>679.66898269221895</v>
      </c>
      <c r="T175" s="168">
        <f ca="1">IF($C175-T$1&lt;År1,0,S174*(1-VLOOKUP($A175,[1]Hugst!$R$5:$W$9,MATCH(ROUNDUP((T$1)/10,0)*10,[1]Hugst!$R$4:$W$4,0))))</f>
        <v>681.22920278019922</v>
      </c>
      <c r="U175" s="168">
        <f ca="1">IF($C175-U$1&lt;År1,0,T174*(1-VLOOKUP($A175,[1]Hugst!$R$5:$W$9,MATCH(ROUNDUP((U$1)/10,0)*10,[1]Hugst!$R$4:$W$4,0))))</f>
        <v>682.79726317011557</v>
      </c>
      <c r="V175" s="168">
        <f ca="1">IF($C175-V$1&lt;År1,0,U174*(1-VLOOKUP($A175,[1]Hugst!$R$5:$W$9,MATCH(ROUNDUP((V$1)/10,0)*10,[1]Hugst!$R$4:$W$4,0))))</f>
        <v>684.37320326049996</v>
      </c>
      <c r="W175" s="168">
        <f ca="1">IF($C175-W$1&lt;År1,0,V174*(1-VLOOKUP($A175,[1]Hugst!$R$5:$W$9,MATCH(ROUNDUP((W$1)/10,0)*10,[1]Hugst!$R$4:$W$4,0))))</f>
        <v>685.95706264781222</v>
      </c>
      <c r="X175" s="168">
        <f ca="1">IF($C175-X$1&lt;År1,0,W174*(1-VLOOKUP($A175,[1]Hugst!$R$5:$W$9,MATCH(ROUNDUP((X$1)/10,0)*10,[1]Hugst!$R$4:$W$4,0))))</f>
        <v>687.54888112752417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*VLOOKUP(A176,Skovbrug!$A$13:$D$17,IF('Skovbrug-alder'!C176&lt;=År2,3,4),FALSE)-IF(C176&gt;2020,SUM(INDEX($C$1:$D$311,MATCH(1,(2020=$C$1:$C$311)*(B176=$B$1:$B$311)*(A176=$A$1:$A$311),0),2):D175),0))</f>
        <v>289.44234762652923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658.62753281171388</v>
      </c>
      <c r="G176" s="168">
        <f ca="1">IF($C176-G$1&lt;År1,0,F175*(1-VLOOKUP($A176,[1]Hugst!$R$5:$W$9,MATCH(ROUNDUP((G$1)/10,0)*10,[1]Hugst!$R$4:$W$4,0))))</f>
        <v>660.08201697065158</v>
      </c>
      <c r="H176" s="168">
        <f ca="1">IF($C176-H$1&lt;År1,0,G175*(1-VLOOKUP($A176,[1]Hugst!$R$5:$W$9,MATCH(ROUNDUP((H$1)/10,0)*10,[1]Hugst!$R$4:$W$4,0))))</f>
        <v>661.54381009519636</v>
      </c>
      <c r="I176" s="168">
        <f ca="1">IF($C176-I$1&lt;År1,0,H175*(1-VLOOKUP($A176,[1]Hugst!$R$5:$W$9,MATCH(ROUNDUP((I$1)/10,0)*10,[1]Hugst!$R$4:$W$4,0))))</f>
        <v>663.01294891383657</v>
      </c>
      <c r="J176" s="168">
        <f ca="1">IF($C176-J$1&lt;År1,0,I175*(1-VLOOKUP($A176,[1]Hugst!$R$5:$W$9,MATCH(ROUNDUP((J$1)/10,0)*10,[1]Hugst!$R$4:$W$4,0))))</f>
        <v>664.4894703396152</v>
      </c>
      <c r="K176" s="168">
        <f ca="1">IF($C176-K$1&lt;År1,0,J175*(1-VLOOKUP($A176,[1]Hugst!$R$5:$W$9,MATCH(ROUNDUP((K$1)/10,0)*10,[1]Hugst!$R$4:$W$4,0))))</f>
        <v>665.97341147103941</v>
      </c>
      <c r="L176" s="168">
        <f ca="1">IF($C176-L$1&lt;År1,0,K175*(1-VLOOKUP($A176,[1]Hugst!$R$5:$W$9,MATCH(ROUNDUP((L$1)/10,0)*10,[1]Hugst!$R$4:$W$4,0))))</f>
        <v>667.46480959307735</v>
      </c>
      <c r="M176" s="168">
        <f ca="1">IF($C176-M$1&lt;År1,0,L175*(1-VLOOKUP($A176,[1]Hugst!$R$5:$W$9,MATCH(ROUNDUP((M$1)/10,0)*10,[1]Hugst!$R$4:$W$4,0))))</f>
        <v>668.96370217804576</v>
      </c>
      <c r="N176" s="168">
        <f ca="1">IF($C176-N$1&lt;År1,0,M175*(1-VLOOKUP($A176,[1]Hugst!$R$5:$W$9,MATCH(ROUNDUP((N$1)/10,0)*10,[1]Hugst!$R$4:$W$4,0))))</f>
        <v>670.47012688654138</v>
      </c>
      <c r="O176" s="168">
        <f ca="1">IF($C176-O$1&lt;År1,0,N175*(1-VLOOKUP($A176,[1]Hugst!$R$5:$W$9,MATCH(ROUNDUP((O$1)/10,0)*10,[1]Hugst!$R$4:$W$4,0))))</f>
        <v>671.98412156847519</v>
      </c>
      <c r="P176" s="168">
        <f ca="1">IF($C176-P$1&lt;År1,0,O175*(1-VLOOKUP($A176,[1]Hugst!$R$5:$W$9,MATCH(ROUNDUP((P$1)/10,0)*10,[1]Hugst!$R$4:$W$4,0))))</f>
        <v>673.505724263861</v>
      </c>
      <c r="Q176" s="168">
        <f ca="1">IF($C176-Q$1&lt;År1,0,P175*(1-VLOOKUP($A176,[1]Hugst!$R$5:$W$9,MATCH(ROUNDUP((Q$1)/10,0)*10,[1]Hugst!$R$4:$W$4,0))))</f>
        <v>675.03497320395729</v>
      </c>
      <c r="R176" s="168">
        <f ca="1">IF($C176-R$1&lt;År1,0,Q175*(1-VLOOKUP($A176,[1]Hugst!$R$5:$W$9,MATCH(ROUNDUP((R$1)/10,0)*10,[1]Hugst!$R$4:$W$4,0))))</f>
        <v>676.57190681208488</v>
      </c>
      <c r="S176" s="168">
        <f ca="1">IF($C176-S$1&lt;År1,0,R175*(1-VLOOKUP($A176,[1]Hugst!$R$5:$W$9,MATCH(ROUNDUP((S$1)/10,0)*10,[1]Hugst!$R$4:$W$4,0))))</f>
        <v>678.11656370469757</v>
      </c>
      <c r="T176" s="168">
        <f ca="1">IF($C176-T$1&lt;År1,0,S175*(1-VLOOKUP($A176,[1]Hugst!$R$5:$W$9,MATCH(ROUNDUP((T$1)/10,0)*10,[1]Hugst!$R$4:$W$4,0))))</f>
        <v>679.66898269221895</v>
      </c>
      <c r="U176" s="168">
        <f ca="1">IF($C176-U$1&lt;År1,0,T175*(1-VLOOKUP($A176,[1]Hugst!$R$5:$W$9,MATCH(ROUNDUP((U$1)/10,0)*10,[1]Hugst!$R$4:$W$4,0))))</f>
        <v>681.22920278019922</v>
      </c>
      <c r="V176" s="168">
        <f ca="1">IF($C176-V$1&lt;År1,0,U175*(1-VLOOKUP($A176,[1]Hugst!$R$5:$W$9,MATCH(ROUNDUP((V$1)/10,0)*10,[1]Hugst!$R$4:$W$4,0))))</f>
        <v>682.79726317011557</v>
      </c>
      <c r="W176" s="168">
        <f ca="1">IF($C176-W$1&lt;År1,0,V175*(1-VLOOKUP($A176,[1]Hugst!$R$5:$W$9,MATCH(ROUNDUP((W$1)/10,0)*10,[1]Hugst!$R$4:$W$4,0))))</f>
        <v>684.37320326049996</v>
      </c>
      <c r="X176" s="168">
        <f ca="1">IF($C176-X$1&lt;År1,0,W175*(1-VLOOKUP($A176,[1]Hugst!$R$5:$W$9,MATCH(ROUNDUP((X$1)/10,0)*10,[1]Hugst!$R$4:$W$4,0))))</f>
        <v>685.95706264781222</v>
      </c>
      <c r="Y176" s="168">
        <f ca="1">IF($C176-Y$1&lt;År1,0,X175*(1-VLOOKUP($A176,[1]Hugst!$R$5:$W$9,MATCH(ROUNDUP((Y$1)/10,0)*10,[1]Hugst!$R$4:$W$4,0))))</f>
        <v>687.54888112752417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*VLOOKUP(A177,Skovbrug!$A$13:$D$17,IF('Skovbrug-alder'!C177&lt;=År2,3,4),FALSE)-IF(C177&gt;2020,SUM(INDEX($C$1:$D$311,MATCH(1,(2020=$C$1:$C$311)*(B177=$B$1:$B$311)*(A177=$A$1:$A$311),0),2):D176),0))</f>
        <v>287.99513588839909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657.18032107358374</v>
      </c>
      <c r="G177" s="168">
        <f ca="1">IF($C177-G$1&lt;År1,0,F176*(1-VLOOKUP($A177,[1]Hugst!$R$5:$W$9,MATCH(ROUNDUP((G$1)/10,0)*10,[1]Hugst!$R$4:$W$4,0))))</f>
        <v>658.62753281171388</v>
      </c>
      <c r="H177" s="168">
        <f ca="1">IF($C177-H$1&lt;År1,0,G176*(1-VLOOKUP($A177,[1]Hugst!$R$5:$W$9,MATCH(ROUNDUP((H$1)/10,0)*10,[1]Hugst!$R$4:$W$4,0))))</f>
        <v>660.08201697065158</v>
      </c>
      <c r="I177" s="168">
        <f ca="1">IF($C177-I$1&lt;År1,0,H176*(1-VLOOKUP($A177,[1]Hugst!$R$5:$W$9,MATCH(ROUNDUP((I$1)/10,0)*10,[1]Hugst!$R$4:$W$4,0))))</f>
        <v>661.54381009519636</v>
      </c>
      <c r="J177" s="168">
        <f ca="1">IF($C177-J$1&lt;År1,0,I176*(1-VLOOKUP($A177,[1]Hugst!$R$5:$W$9,MATCH(ROUNDUP((J$1)/10,0)*10,[1]Hugst!$R$4:$W$4,0))))</f>
        <v>663.01294891383657</v>
      </c>
      <c r="K177" s="168">
        <f ca="1">IF($C177-K$1&lt;År1,0,J176*(1-VLOOKUP($A177,[1]Hugst!$R$5:$W$9,MATCH(ROUNDUP((K$1)/10,0)*10,[1]Hugst!$R$4:$W$4,0))))</f>
        <v>664.4894703396152</v>
      </c>
      <c r="L177" s="168">
        <f ca="1">IF($C177-L$1&lt;År1,0,K176*(1-VLOOKUP($A177,[1]Hugst!$R$5:$W$9,MATCH(ROUNDUP((L$1)/10,0)*10,[1]Hugst!$R$4:$W$4,0))))</f>
        <v>665.97341147103941</v>
      </c>
      <c r="M177" s="168">
        <f ca="1">IF($C177-M$1&lt;År1,0,L176*(1-VLOOKUP($A177,[1]Hugst!$R$5:$W$9,MATCH(ROUNDUP((M$1)/10,0)*10,[1]Hugst!$R$4:$W$4,0))))</f>
        <v>667.46480959307735</v>
      </c>
      <c r="N177" s="168">
        <f ca="1">IF($C177-N$1&lt;År1,0,M176*(1-VLOOKUP($A177,[1]Hugst!$R$5:$W$9,MATCH(ROUNDUP((N$1)/10,0)*10,[1]Hugst!$R$4:$W$4,0))))</f>
        <v>668.96370217804576</v>
      </c>
      <c r="O177" s="168">
        <f ca="1">IF($C177-O$1&lt;År1,0,N176*(1-VLOOKUP($A177,[1]Hugst!$R$5:$W$9,MATCH(ROUNDUP((O$1)/10,0)*10,[1]Hugst!$R$4:$W$4,0))))</f>
        <v>670.47012688654138</v>
      </c>
      <c r="P177" s="168">
        <f ca="1">IF($C177-P$1&lt;År1,0,O176*(1-VLOOKUP($A177,[1]Hugst!$R$5:$W$9,MATCH(ROUNDUP((P$1)/10,0)*10,[1]Hugst!$R$4:$W$4,0))))</f>
        <v>671.98412156847519</v>
      </c>
      <c r="Q177" s="168">
        <f ca="1">IF($C177-Q$1&lt;År1,0,P176*(1-VLOOKUP($A177,[1]Hugst!$R$5:$W$9,MATCH(ROUNDUP((Q$1)/10,0)*10,[1]Hugst!$R$4:$W$4,0))))</f>
        <v>673.505724263861</v>
      </c>
      <c r="R177" s="168">
        <f ca="1">IF($C177-R$1&lt;År1,0,Q176*(1-VLOOKUP($A177,[1]Hugst!$R$5:$W$9,MATCH(ROUNDUP((R$1)/10,0)*10,[1]Hugst!$R$4:$W$4,0))))</f>
        <v>675.03497320395729</v>
      </c>
      <c r="S177" s="168">
        <f ca="1">IF($C177-S$1&lt;År1,0,R176*(1-VLOOKUP($A177,[1]Hugst!$R$5:$W$9,MATCH(ROUNDUP((S$1)/10,0)*10,[1]Hugst!$R$4:$W$4,0))))</f>
        <v>676.57190681208488</v>
      </c>
      <c r="T177" s="168">
        <f ca="1">IF($C177-T$1&lt;År1,0,S176*(1-VLOOKUP($A177,[1]Hugst!$R$5:$W$9,MATCH(ROUNDUP((T$1)/10,0)*10,[1]Hugst!$R$4:$W$4,0))))</f>
        <v>678.11656370469757</v>
      </c>
      <c r="U177" s="168">
        <f ca="1">IF($C177-U$1&lt;År1,0,T176*(1-VLOOKUP($A177,[1]Hugst!$R$5:$W$9,MATCH(ROUNDUP((U$1)/10,0)*10,[1]Hugst!$R$4:$W$4,0))))</f>
        <v>679.66898269221895</v>
      </c>
      <c r="V177" s="168">
        <f ca="1">IF($C177-V$1&lt;År1,0,U176*(1-VLOOKUP($A177,[1]Hugst!$R$5:$W$9,MATCH(ROUNDUP((V$1)/10,0)*10,[1]Hugst!$R$4:$W$4,0))))</f>
        <v>681.22920278019922</v>
      </c>
      <c r="W177" s="168">
        <f ca="1">IF($C177-W$1&lt;År1,0,V176*(1-VLOOKUP($A177,[1]Hugst!$R$5:$W$9,MATCH(ROUNDUP((W$1)/10,0)*10,[1]Hugst!$R$4:$W$4,0))))</f>
        <v>682.79726317011557</v>
      </c>
      <c r="X177" s="168">
        <f ca="1">IF($C177-X$1&lt;År1,0,W176*(1-VLOOKUP($A177,[1]Hugst!$R$5:$W$9,MATCH(ROUNDUP((X$1)/10,0)*10,[1]Hugst!$R$4:$W$4,0))))</f>
        <v>684.37320326049996</v>
      </c>
      <c r="Y177" s="168">
        <f ca="1">IF($C177-Y$1&lt;År1,0,X176*(1-VLOOKUP($A177,[1]Hugst!$R$5:$W$9,MATCH(ROUNDUP((Y$1)/10,0)*10,[1]Hugst!$R$4:$W$4,0))))</f>
        <v>685.95706264781222</v>
      </c>
      <c r="Z177" s="168">
        <f ca="1">IF($C177-Z$1&lt;År1,0,Y176*(1-VLOOKUP($A177,[1]Hugst!$R$5:$W$9,MATCH(ROUNDUP((Z$1)/10,0)*10,[1]Hugst!$R$4:$W$4,0))))</f>
        <v>687.54888112752417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*VLOOKUP(A178,Skovbrug!$A$13:$D$17,IF('Skovbrug-alder'!C178&lt;=År2,3,4),FALSE)-IF(C178&gt;2020,SUM(INDEX($C$1:$D$311,MATCH(1,(2020=$C$1:$C$311)*(B178=$B$1:$B$311)*(A178=$A$1:$A$311),0),2):D177),0))</f>
        <v>286.55516020896175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655.7403453941464</v>
      </c>
      <c r="G178" s="168">
        <f ca="1">IF($C178-G$1&lt;År1,0,F177*(1-VLOOKUP($A178,[1]Hugst!$R$5:$W$9,MATCH(ROUNDUP((G$1)/10,0)*10,[1]Hugst!$R$4:$W$4,0))))</f>
        <v>657.18032107358374</v>
      </c>
      <c r="H178" s="168">
        <f ca="1">IF($C178-H$1&lt;År1,0,G177*(1-VLOOKUP($A178,[1]Hugst!$R$5:$W$9,MATCH(ROUNDUP((H$1)/10,0)*10,[1]Hugst!$R$4:$W$4,0))))</f>
        <v>658.62753281171388</v>
      </c>
      <c r="I178" s="168">
        <f ca="1">IF($C178-I$1&lt;År1,0,H177*(1-VLOOKUP($A178,[1]Hugst!$R$5:$W$9,MATCH(ROUNDUP((I$1)/10,0)*10,[1]Hugst!$R$4:$W$4,0))))</f>
        <v>660.08201697065158</v>
      </c>
      <c r="J178" s="168">
        <f ca="1">IF($C178-J$1&lt;År1,0,I177*(1-VLOOKUP($A178,[1]Hugst!$R$5:$W$9,MATCH(ROUNDUP((J$1)/10,0)*10,[1]Hugst!$R$4:$W$4,0))))</f>
        <v>661.54381009519636</v>
      </c>
      <c r="K178" s="168">
        <f ca="1">IF($C178-K$1&lt;År1,0,J177*(1-VLOOKUP($A178,[1]Hugst!$R$5:$W$9,MATCH(ROUNDUP((K$1)/10,0)*10,[1]Hugst!$R$4:$W$4,0))))</f>
        <v>663.01294891383657</v>
      </c>
      <c r="L178" s="168">
        <f ca="1">IF($C178-L$1&lt;År1,0,K177*(1-VLOOKUP($A178,[1]Hugst!$R$5:$W$9,MATCH(ROUNDUP((L$1)/10,0)*10,[1]Hugst!$R$4:$W$4,0))))</f>
        <v>664.4894703396152</v>
      </c>
      <c r="M178" s="168">
        <f ca="1">IF($C178-M$1&lt;År1,0,L177*(1-VLOOKUP($A178,[1]Hugst!$R$5:$W$9,MATCH(ROUNDUP((M$1)/10,0)*10,[1]Hugst!$R$4:$W$4,0))))</f>
        <v>665.97341147103941</v>
      </c>
      <c r="N178" s="168">
        <f ca="1">IF($C178-N$1&lt;År1,0,M177*(1-VLOOKUP($A178,[1]Hugst!$R$5:$W$9,MATCH(ROUNDUP((N$1)/10,0)*10,[1]Hugst!$R$4:$W$4,0))))</f>
        <v>667.46480959307735</v>
      </c>
      <c r="O178" s="168">
        <f ca="1">IF($C178-O$1&lt;År1,0,N177*(1-VLOOKUP($A178,[1]Hugst!$R$5:$W$9,MATCH(ROUNDUP((O$1)/10,0)*10,[1]Hugst!$R$4:$W$4,0))))</f>
        <v>668.96370217804576</v>
      </c>
      <c r="P178" s="168">
        <f ca="1">IF($C178-P$1&lt;År1,0,O177*(1-VLOOKUP($A178,[1]Hugst!$R$5:$W$9,MATCH(ROUNDUP((P$1)/10,0)*10,[1]Hugst!$R$4:$W$4,0))))</f>
        <v>670.47012688654138</v>
      </c>
      <c r="Q178" s="168">
        <f ca="1">IF($C178-Q$1&lt;År1,0,P177*(1-VLOOKUP($A178,[1]Hugst!$R$5:$W$9,MATCH(ROUNDUP((Q$1)/10,0)*10,[1]Hugst!$R$4:$W$4,0))))</f>
        <v>671.98412156847519</v>
      </c>
      <c r="R178" s="168">
        <f ca="1">IF($C178-R$1&lt;År1,0,Q177*(1-VLOOKUP($A178,[1]Hugst!$R$5:$W$9,MATCH(ROUNDUP((R$1)/10,0)*10,[1]Hugst!$R$4:$W$4,0))))</f>
        <v>673.505724263861</v>
      </c>
      <c r="S178" s="168">
        <f ca="1">IF($C178-S$1&lt;År1,0,R177*(1-VLOOKUP($A178,[1]Hugst!$R$5:$W$9,MATCH(ROUNDUP((S$1)/10,0)*10,[1]Hugst!$R$4:$W$4,0))))</f>
        <v>675.03497320395729</v>
      </c>
      <c r="T178" s="168">
        <f ca="1">IF($C178-T$1&lt;År1,0,S177*(1-VLOOKUP($A178,[1]Hugst!$R$5:$W$9,MATCH(ROUNDUP((T$1)/10,0)*10,[1]Hugst!$R$4:$W$4,0))))</f>
        <v>676.57190681208488</v>
      </c>
      <c r="U178" s="168">
        <f ca="1">IF($C178-U$1&lt;År1,0,T177*(1-VLOOKUP($A178,[1]Hugst!$R$5:$W$9,MATCH(ROUNDUP((U$1)/10,0)*10,[1]Hugst!$R$4:$W$4,0))))</f>
        <v>678.11656370469757</v>
      </c>
      <c r="V178" s="168">
        <f ca="1">IF($C178-V$1&lt;År1,0,U177*(1-VLOOKUP($A178,[1]Hugst!$R$5:$W$9,MATCH(ROUNDUP((V$1)/10,0)*10,[1]Hugst!$R$4:$W$4,0))))</f>
        <v>679.66898269221895</v>
      </c>
      <c r="W178" s="168">
        <f ca="1">IF($C178-W$1&lt;År1,0,V177*(1-VLOOKUP($A178,[1]Hugst!$R$5:$W$9,MATCH(ROUNDUP((W$1)/10,0)*10,[1]Hugst!$R$4:$W$4,0))))</f>
        <v>681.22920278019922</v>
      </c>
      <c r="X178" s="168">
        <f ca="1">IF($C178-X$1&lt;År1,0,W177*(1-VLOOKUP($A178,[1]Hugst!$R$5:$W$9,MATCH(ROUNDUP((X$1)/10,0)*10,[1]Hugst!$R$4:$W$4,0))))</f>
        <v>682.79726317011557</v>
      </c>
      <c r="Y178" s="168">
        <f ca="1">IF($C178-Y$1&lt;År1,0,X177*(1-VLOOKUP($A178,[1]Hugst!$R$5:$W$9,MATCH(ROUNDUP((Y$1)/10,0)*10,[1]Hugst!$R$4:$W$4,0))))</f>
        <v>684.37320326049996</v>
      </c>
      <c r="Z178" s="168">
        <f ca="1">IF($C178-Z$1&lt;År1,0,Y177*(1-VLOOKUP($A178,[1]Hugst!$R$5:$W$9,MATCH(ROUNDUP((Z$1)/10,0)*10,[1]Hugst!$R$4:$W$4,0))))</f>
        <v>685.95706264781222</v>
      </c>
      <c r="AA178" s="168">
        <f ca="1">IF($C178-AA$1&lt;År1,0,Z177*(1-VLOOKUP($A178,[1]Hugst!$R$5:$W$9,MATCH(ROUNDUP((AA$1)/10,0)*10,[1]Hugst!$R$4:$W$4,0))))</f>
        <v>687.54888112752417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*VLOOKUP(A179,Skovbrug!$A$13:$D$17,IF('Skovbrug-alder'!C179&lt;=År2,3,4),FALSE)-IF(C179&gt;2020,SUM(INDEX($C$1:$D$311,MATCH(1,(2020=$C$1:$C$311)*(B179=$B$1:$B$311)*(A179=$A$1:$A$311),0),2):D178),0))</f>
        <v>285.12238440791407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654.30756959309872</v>
      </c>
      <c r="G179" s="168">
        <f ca="1">IF($C179-G$1&lt;År1,0,F178*(1-VLOOKUP($A179,[1]Hugst!$R$5:$W$9,MATCH(ROUNDUP((G$1)/10,0)*10,[1]Hugst!$R$4:$W$4,0))))</f>
        <v>655.7403453941464</v>
      </c>
      <c r="H179" s="168">
        <f ca="1">IF($C179-H$1&lt;År1,0,G178*(1-VLOOKUP($A179,[1]Hugst!$R$5:$W$9,MATCH(ROUNDUP((H$1)/10,0)*10,[1]Hugst!$R$4:$W$4,0))))</f>
        <v>657.18032107358374</v>
      </c>
      <c r="I179" s="168">
        <f ca="1">IF($C179-I$1&lt;År1,0,H178*(1-VLOOKUP($A179,[1]Hugst!$R$5:$W$9,MATCH(ROUNDUP((I$1)/10,0)*10,[1]Hugst!$R$4:$W$4,0))))</f>
        <v>658.62753281171388</v>
      </c>
      <c r="J179" s="168">
        <f ca="1">IF($C179-J$1&lt;År1,0,I178*(1-VLOOKUP($A179,[1]Hugst!$R$5:$W$9,MATCH(ROUNDUP((J$1)/10,0)*10,[1]Hugst!$R$4:$W$4,0))))</f>
        <v>660.08201697065158</v>
      </c>
      <c r="K179" s="168">
        <f ca="1">IF($C179-K$1&lt;År1,0,J178*(1-VLOOKUP($A179,[1]Hugst!$R$5:$W$9,MATCH(ROUNDUP((K$1)/10,0)*10,[1]Hugst!$R$4:$W$4,0))))</f>
        <v>661.54381009519636</v>
      </c>
      <c r="L179" s="168">
        <f ca="1">IF($C179-L$1&lt;År1,0,K178*(1-VLOOKUP($A179,[1]Hugst!$R$5:$W$9,MATCH(ROUNDUP((L$1)/10,0)*10,[1]Hugst!$R$4:$W$4,0))))</f>
        <v>663.01294891383657</v>
      </c>
      <c r="M179" s="168">
        <f ca="1">IF($C179-M$1&lt;År1,0,L178*(1-VLOOKUP($A179,[1]Hugst!$R$5:$W$9,MATCH(ROUNDUP((M$1)/10,0)*10,[1]Hugst!$R$4:$W$4,0))))</f>
        <v>664.4894703396152</v>
      </c>
      <c r="N179" s="168">
        <f ca="1">IF($C179-N$1&lt;År1,0,M178*(1-VLOOKUP($A179,[1]Hugst!$R$5:$W$9,MATCH(ROUNDUP((N$1)/10,0)*10,[1]Hugst!$R$4:$W$4,0))))</f>
        <v>665.97341147103941</v>
      </c>
      <c r="O179" s="168">
        <f ca="1">IF($C179-O$1&lt;År1,0,N178*(1-VLOOKUP($A179,[1]Hugst!$R$5:$W$9,MATCH(ROUNDUP((O$1)/10,0)*10,[1]Hugst!$R$4:$W$4,0))))</f>
        <v>667.46480959307735</v>
      </c>
      <c r="P179" s="168">
        <f ca="1">IF($C179-P$1&lt;År1,0,O178*(1-VLOOKUP($A179,[1]Hugst!$R$5:$W$9,MATCH(ROUNDUP((P$1)/10,0)*10,[1]Hugst!$R$4:$W$4,0))))</f>
        <v>668.96370217804576</v>
      </c>
      <c r="Q179" s="168">
        <f ca="1">IF($C179-Q$1&lt;År1,0,P178*(1-VLOOKUP($A179,[1]Hugst!$R$5:$W$9,MATCH(ROUNDUP((Q$1)/10,0)*10,[1]Hugst!$R$4:$W$4,0))))</f>
        <v>670.47012688654138</v>
      </c>
      <c r="R179" s="168">
        <f ca="1">IF($C179-R$1&lt;År1,0,Q178*(1-VLOOKUP($A179,[1]Hugst!$R$5:$W$9,MATCH(ROUNDUP((R$1)/10,0)*10,[1]Hugst!$R$4:$W$4,0))))</f>
        <v>671.98412156847519</v>
      </c>
      <c r="S179" s="168">
        <f ca="1">IF($C179-S$1&lt;År1,0,R178*(1-VLOOKUP($A179,[1]Hugst!$R$5:$W$9,MATCH(ROUNDUP((S$1)/10,0)*10,[1]Hugst!$R$4:$W$4,0))))</f>
        <v>673.505724263861</v>
      </c>
      <c r="T179" s="168">
        <f ca="1">IF($C179-T$1&lt;År1,0,S178*(1-VLOOKUP($A179,[1]Hugst!$R$5:$W$9,MATCH(ROUNDUP((T$1)/10,0)*10,[1]Hugst!$R$4:$W$4,0))))</f>
        <v>675.03497320395729</v>
      </c>
      <c r="U179" s="168">
        <f ca="1">IF($C179-U$1&lt;År1,0,T178*(1-VLOOKUP($A179,[1]Hugst!$R$5:$W$9,MATCH(ROUNDUP((U$1)/10,0)*10,[1]Hugst!$R$4:$W$4,0))))</f>
        <v>676.57190681208488</v>
      </c>
      <c r="V179" s="168">
        <f ca="1">IF($C179-V$1&lt;År1,0,U178*(1-VLOOKUP($A179,[1]Hugst!$R$5:$W$9,MATCH(ROUNDUP((V$1)/10,0)*10,[1]Hugst!$R$4:$W$4,0))))</f>
        <v>678.11656370469757</v>
      </c>
      <c r="W179" s="168">
        <f ca="1">IF($C179-W$1&lt;År1,0,V178*(1-VLOOKUP($A179,[1]Hugst!$R$5:$W$9,MATCH(ROUNDUP((W$1)/10,0)*10,[1]Hugst!$R$4:$W$4,0))))</f>
        <v>679.66898269221895</v>
      </c>
      <c r="X179" s="168">
        <f ca="1">IF($C179-X$1&lt;År1,0,W178*(1-VLOOKUP($A179,[1]Hugst!$R$5:$W$9,MATCH(ROUNDUP((X$1)/10,0)*10,[1]Hugst!$R$4:$W$4,0))))</f>
        <v>681.22920278019922</v>
      </c>
      <c r="Y179" s="168">
        <f ca="1">IF($C179-Y$1&lt;År1,0,X178*(1-VLOOKUP($A179,[1]Hugst!$R$5:$W$9,MATCH(ROUNDUP((Y$1)/10,0)*10,[1]Hugst!$R$4:$W$4,0))))</f>
        <v>682.79726317011557</v>
      </c>
      <c r="Z179" s="168">
        <f ca="1">IF($C179-Z$1&lt;År1,0,Y178*(1-VLOOKUP($A179,[1]Hugst!$R$5:$W$9,MATCH(ROUNDUP((Z$1)/10,0)*10,[1]Hugst!$R$4:$W$4,0))))</f>
        <v>684.37320326049996</v>
      </c>
      <c r="AA179" s="168">
        <f ca="1">IF($C179-AA$1&lt;År1,0,Z178*(1-VLOOKUP($A179,[1]Hugst!$R$5:$W$9,MATCH(ROUNDUP((AA$1)/10,0)*10,[1]Hugst!$R$4:$W$4,0))))</f>
        <v>685.95706264781222</v>
      </c>
      <c r="AB179" s="168">
        <f ca="1">IF($C179-AB$1&lt;År1,0,AA178*(1-VLOOKUP($A179,[1]Hugst!$R$5:$W$9,MATCH(ROUNDUP((AB$1)/10,0)*10,[1]Hugst!$R$4:$W$4,0))))</f>
        <v>687.54888112752417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*VLOOKUP(A180,Skovbrug!$A$13:$D$17,IF('Skovbrug-alder'!C180&lt;=År2,3,4),FALSE)-IF(C180&gt;2020,SUM(INDEX($C$1:$D$311,MATCH(1,(2020=$C$1:$C$311)*(B180=$B$1:$B$311)*(A180=$A$1:$A$311),0),2):D179),0))</f>
        <v>283.69677248587686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652.88195767106151</v>
      </c>
      <c r="G180" s="168">
        <f ca="1">IF($C180-G$1&lt;År1,0,F179*(1-VLOOKUP($A180,[1]Hugst!$R$5:$W$9,MATCH(ROUNDUP((G$1)/10,0)*10,[1]Hugst!$R$4:$W$4,0))))</f>
        <v>654.30756959309872</v>
      </c>
      <c r="H180" s="168">
        <f ca="1">IF($C180-H$1&lt;År1,0,G179*(1-VLOOKUP($A180,[1]Hugst!$R$5:$W$9,MATCH(ROUNDUP((H$1)/10,0)*10,[1]Hugst!$R$4:$W$4,0))))</f>
        <v>655.7403453941464</v>
      </c>
      <c r="I180" s="168">
        <f ca="1">IF($C180-I$1&lt;År1,0,H179*(1-VLOOKUP($A180,[1]Hugst!$R$5:$W$9,MATCH(ROUNDUP((I$1)/10,0)*10,[1]Hugst!$R$4:$W$4,0))))</f>
        <v>657.18032107358374</v>
      </c>
      <c r="J180" s="168">
        <f ca="1">IF($C180-J$1&lt;År1,0,I179*(1-VLOOKUP($A180,[1]Hugst!$R$5:$W$9,MATCH(ROUNDUP((J$1)/10,0)*10,[1]Hugst!$R$4:$W$4,0))))</f>
        <v>658.62753281171388</v>
      </c>
      <c r="K180" s="168">
        <f ca="1">IF($C180-K$1&lt;År1,0,J179*(1-VLOOKUP($A180,[1]Hugst!$R$5:$W$9,MATCH(ROUNDUP((K$1)/10,0)*10,[1]Hugst!$R$4:$W$4,0))))</f>
        <v>660.08201697065158</v>
      </c>
      <c r="L180" s="168">
        <f ca="1">IF($C180-L$1&lt;År1,0,K179*(1-VLOOKUP($A180,[1]Hugst!$R$5:$W$9,MATCH(ROUNDUP((L$1)/10,0)*10,[1]Hugst!$R$4:$W$4,0))))</f>
        <v>661.54381009519636</v>
      </c>
      <c r="M180" s="168">
        <f ca="1">IF($C180-M$1&lt;År1,0,L179*(1-VLOOKUP($A180,[1]Hugst!$R$5:$W$9,MATCH(ROUNDUP((M$1)/10,0)*10,[1]Hugst!$R$4:$W$4,0))))</f>
        <v>663.01294891383657</v>
      </c>
      <c r="N180" s="168">
        <f ca="1">IF($C180-N$1&lt;År1,0,M179*(1-VLOOKUP($A180,[1]Hugst!$R$5:$W$9,MATCH(ROUNDUP((N$1)/10,0)*10,[1]Hugst!$R$4:$W$4,0))))</f>
        <v>664.4894703396152</v>
      </c>
      <c r="O180" s="168">
        <f ca="1">IF($C180-O$1&lt;År1,0,N179*(1-VLOOKUP($A180,[1]Hugst!$R$5:$W$9,MATCH(ROUNDUP((O$1)/10,0)*10,[1]Hugst!$R$4:$W$4,0))))</f>
        <v>665.97341147103941</v>
      </c>
      <c r="P180" s="168">
        <f ca="1">IF($C180-P$1&lt;År1,0,O179*(1-VLOOKUP($A180,[1]Hugst!$R$5:$W$9,MATCH(ROUNDUP((P$1)/10,0)*10,[1]Hugst!$R$4:$W$4,0))))</f>
        <v>667.46480959307735</v>
      </c>
      <c r="Q180" s="168">
        <f ca="1">IF($C180-Q$1&lt;År1,0,P179*(1-VLOOKUP($A180,[1]Hugst!$R$5:$W$9,MATCH(ROUNDUP((Q$1)/10,0)*10,[1]Hugst!$R$4:$W$4,0))))</f>
        <v>668.96370217804576</v>
      </c>
      <c r="R180" s="168">
        <f ca="1">IF($C180-R$1&lt;År1,0,Q179*(1-VLOOKUP($A180,[1]Hugst!$R$5:$W$9,MATCH(ROUNDUP((R$1)/10,0)*10,[1]Hugst!$R$4:$W$4,0))))</f>
        <v>670.47012688654138</v>
      </c>
      <c r="S180" s="168">
        <f ca="1">IF($C180-S$1&lt;År1,0,R179*(1-VLOOKUP($A180,[1]Hugst!$R$5:$W$9,MATCH(ROUNDUP((S$1)/10,0)*10,[1]Hugst!$R$4:$W$4,0))))</f>
        <v>671.98412156847519</v>
      </c>
      <c r="T180" s="168">
        <f ca="1">IF($C180-T$1&lt;År1,0,S179*(1-VLOOKUP($A180,[1]Hugst!$R$5:$W$9,MATCH(ROUNDUP((T$1)/10,0)*10,[1]Hugst!$R$4:$W$4,0))))</f>
        <v>673.505724263861</v>
      </c>
      <c r="U180" s="168">
        <f ca="1">IF($C180-U$1&lt;År1,0,T179*(1-VLOOKUP($A180,[1]Hugst!$R$5:$W$9,MATCH(ROUNDUP((U$1)/10,0)*10,[1]Hugst!$R$4:$W$4,0))))</f>
        <v>675.03497320395729</v>
      </c>
      <c r="V180" s="168">
        <f ca="1">IF($C180-V$1&lt;År1,0,U179*(1-VLOOKUP($A180,[1]Hugst!$R$5:$W$9,MATCH(ROUNDUP((V$1)/10,0)*10,[1]Hugst!$R$4:$W$4,0))))</f>
        <v>676.57190681208488</v>
      </c>
      <c r="W180" s="168">
        <f ca="1">IF($C180-W$1&lt;År1,0,V179*(1-VLOOKUP($A180,[1]Hugst!$R$5:$W$9,MATCH(ROUNDUP((W$1)/10,0)*10,[1]Hugst!$R$4:$W$4,0))))</f>
        <v>678.11656370469757</v>
      </c>
      <c r="X180" s="168">
        <f ca="1">IF($C180-X$1&lt;År1,0,W179*(1-VLOOKUP($A180,[1]Hugst!$R$5:$W$9,MATCH(ROUNDUP((X$1)/10,0)*10,[1]Hugst!$R$4:$W$4,0))))</f>
        <v>679.66898269221895</v>
      </c>
      <c r="Y180" s="168">
        <f ca="1">IF($C180-Y$1&lt;År1,0,X179*(1-VLOOKUP($A180,[1]Hugst!$R$5:$W$9,MATCH(ROUNDUP((Y$1)/10,0)*10,[1]Hugst!$R$4:$W$4,0))))</f>
        <v>681.22920278019922</v>
      </c>
      <c r="Z180" s="168">
        <f ca="1">IF($C180-Z$1&lt;År1,0,Y179*(1-VLOOKUP($A180,[1]Hugst!$R$5:$W$9,MATCH(ROUNDUP((Z$1)/10,0)*10,[1]Hugst!$R$4:$W$4,0))))</f>
        <v>682.79726317011557</v>
      </c>
      <c r="AA180" s="168">
        <f ca="1">IF($C180-AA$1&lt;År1,0,Z179*(1-VLOOKUP($A180,[1]Hugst!$R$5:$W$9,MATCH(ROUNDUP((AA$1)/10,0)*10,[1]Hugst!$R$4:$W$4,0))))</f>
        <v>684.37320326049996</v>
      </c>
      <c r="AB180" s="168">
        <f ca="1">IF($C180-AB$1&lt;År1,0,AA179*(1-VLOOKUP($A180,[1]Hugst!$R$5:$W$9,MATCH(ROUNDUP((AB$1)/10,0)*10,[1]Hugst!$R$4:$W$4,0))))</f>
        <v>685.95706264781222</v>
      </c>
      <c r="AC180" s="168">
        <f ca="1">IF($C180-AC$1&lt;År1,0,AB179*(1-VLOOKUP($A180,[1]Hugst!$R$5:$W$9,MATCH(ROUNDUP((AC$1)/10,0)*10,[1]Hugst!$R$4:$W$4,0))))</f>
        <v>687.54888112752417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*VLOOKUP(A181,Skovbrug!$A$13:$D$17,IF('Skovbrug-alder'!C181&lt;=År2,3,4),FALSE)-IF(C181&gt;2020,SUM(INDEX($C$1:$D$311,MATCH(1,(2020=$C$1:$C$311)*(B181=$B$1:$B$311)*(A181=$A$1:$A$311),0),2):D180),0))</f>
        <v>282.27828862344177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651.46347380862642</v>
      </c>
      <c r="G181" s="168">
        <f ca="1">IF($C181-G$1&lt;År1,0,F180*(1-VLOOKUP($A181,[1]Hugst!$R$5:$W$9,MATCH(ROUNDUP((G$1)/10,0)*10,[1]Hugst!$R$4:$W$4,0))))</f>
        <v>652.88195767106151</v>
      </c>
      <c r="H181" s="168">
        <f ca="1">IF($C181-H$1&lt;År1,0,G180*(1-VLOOKUP($A181,[1]Hugst!$R$5:$W$9,MATCH(ROUNDUP((H$1)/10,0)*10,[1]Hugst!$R$4:$W$4,0))))</f>
        <v>654.30756959309872</v>
      </c>
      <c r="I181" s="168">
        <f ca="1">IF($C181-I$1&lt;År1,0,H180*(1-VLOOKUP($A181,[1]Hugst!$R$5:$W$9,MATCH(ROUNDUP((I$1)/10,0)*10,[1]Hugst!$R$4:$W$4,0))))</f>
        <v>655.7403453941464</v>
      </c>
      <c r="J181" s="168">
        <f ca="1">IF($C181-J$1&lt;År1,0,I180*(1-VLOOKUP($A181,[1]Hugst!$R$5:$W$9,MATCH(ROUNDUP((J$1)/10,0)*10,[1]Hugst!$R$4:$W$4,0))))</f>
        <v>657.18032107358374</v>
      </c>
      <c r="K181" s="168">
        <f ca="1">IF($C181-K$1&lt;År1,0,J180*(1-VLOOKUP($A181,[1]Hugst!$R$5:$W$9,MATCH(ROUNDUP((K$1)/10,0)*10,[1]Hugst!$R$4:$W$4,0))))</f>
        <v>658.62753281171388</v>
      </c>
      <c r="L181" s="168">
        <f ca="1">IF($C181-L$1&lt;År1,0,K180*(1-VLOOKUP($A181,[1]Hugst!$R$5:$W$9,MATCH(ROUNDUP((L$1)/10,0)*10,[1]Hugst!$R$4:$W$4,0))))</f>
        <v>660.08201697065158</v>
      </c>
      <c r="M181" s="168">
        <f ca="1">IF($C181-M$1&lt;År1,0,L180*(1-VLOOKUP($A181,[1]Hugst!$R$5:$W$9,MATCH(ROUNDUP((M$1)/10,0)*10,[1]Hugst!$R$4:$W$4,0))))</f>
        <v>661.54381009519636</v>
      </c>
      <c r="N181" s="168">
        <f ca="1">IF($C181-N$1&lt;År1,0,M180*(1-VLOOKUP($A181,[1]Hugst!$R$5:$W$9,MATCH(ROUNDUP((N$1)/10,0)*10,[1]Hugst!$R$4:$W$4,0))))</f>
        <v>663.01294891383657</v>
      </c>
      <c r="O181" s="168">
        <f ca="1">IF($C181-O$1&lt;År1,0,N180*(1-VLOOKUP($A181,[1]Hugst!$R$5:$W$9,MATCH(ROUNDUP((O$1)/10,0)*10,[1]Hugst!$R$4:$W$4,0))))</f>
        <v>664.4894703396152</v>
      </c>
      <c r="P181" s="168">
        <f ca="1">IF($C181-P$1&lt;År1,0,O180*(1-VLOOKUP($A181,[1]Hugst!$R$5:$W$9,MATCH(ROUNDUP((P$1)/10,0)*10,[1]Hugst!$R$4:$W$4,0))))</f>
        <v>665.97341147103941</v>
      </c>
      <c r="Q181" s="168">
        <f ca="1">IF($C181-Q$1&lt;År1,0,P180*(1-VLOOKUP($A181,[1]Hugst!$R$5:$W$9,MATCH(ROUNDUP((Q$1)/10,0)*10,[1]Hugst!$R$4:$W$4,0))))</f>
        <v>667.46480959307735</v>
      </c>
      <c r="R181" s="168">
        <f ca="1">IF($C181-R$1&lt;År1,0,Q180*(1-VLOOKUP($A181,[1]Hugst!$R$5:$W$9,MATCH(ROUNDUP((R$1)/10,0)*10,[1]Hugst!$R$4:$W$4,0))))</f>
        <v>668.96370217804576</v>
      </c>
      <c r="S181" s="168">
        <f ca="1">IF($C181-S$1&lt;År1,0,R180*(1-VLOOKUP($A181,[1]Hugst!$R$5:$W$9,MATCH(ROUNDUP((S$1)/10,0)*10,[1]Hugst!$R$4:$W$4,0))))</f>
        <v>670.47012688654138</v>
      </c>
      <c r="T181" s="168">
        <f ca="1">IF($C181-T$1&lt;År1,0,S180*(1-VLOOKUP($A181,[1]Hugst!$R$5:$W$9,MATCH(ROUNDUP((T$1)/10,0)*10,[1]Hugst!$R$4:$W$4,0))))</f>
        <v>671.98412156847519</v>
      </c>
      <c r="U181" s="168">
        <f ca="1">IF($C181-U$1&lt;År1,0,T180*(1-VLOOKUP($A181,[1]Hugst!$R$5:$W$9,MATCH(ROUNDUP((U$1)/10,0)*10,[1]Hugst!$R$4:$W$4,0))))</f>
        <v>673.505724263861</v>
      </c>
      <c r="V181" s="168">
        <f ca="1">IF($C181-V$1&lt;År1,0,U180*(1-VLOOKUP($A181,[1]Hugst!$R$5:$W$9,MATCH(ROUNDUP((V$1)/10,0)*10,[1]Hugst!$R$4:$W$4,0))))</f>
        <v>675.03497320395729</v>
      </c>
      <c r="W181" s="168">
        <f ca="1">IF($C181-W$1&lt;År1,0,V180*(1-VLOOKUP($A181,[1]Hugst!$R$5:$W$9,MATCH(ROUNDUP((W$1)/10,0)*10,[1]Hugst!$R$4:$W$4,0))))</f>
        <v>676.57190681208488</v>
      </c>
      <c r="X181" s="168">
        <f ca="1">IF($C181-X$1&lt;År1,0,W180*(1-VLOOKUP($A181,[1]Hugst!$R$5:$W$9,MATCH(ROUNDUP((X$1)/10,0)*10,[1]Hugst!$R$4:$W$4,0))))</f>
        <v>678.11656370469757</v>
      </c>
      <c r="Y181" s="168">
        <f ca="1">IF($C181-Y$1&lt;År1,0,X180*(1-VLOOKUP($A181,[1]Hugst!$R$5:$W$9,MATCH(ROUNDUP((Y$1)/10,0)*10,[1]Hugst!$R$4:$W$4,0))))</f>
        <v>679.66898269221895</v>
      </c>
      <c r="Z181" s="168">
        <f ca="1">IF($C181-Z$1&lt;År1,0,Y180*(1-VLOOKUP($A181,[1]Hugst!$R$5:$W$9,MATCH(ROUNDUP((Z$1)/10,0)*10,[1]Hugst!$R$4:$W$4,0))))</f>
        <v>681.22920278019922</v>
      </c>
      <c r="AA181" s="168">
        <f ca="1">IF($C181-AA$1&lt;År1,0,Z180*(1-VLOOKUP($A181,[1]Hugst!$R$5:$W$9,MATCH(ROUNDUP((AA$1)/10,0)*10,[1]Hugst!$R$4:$W$4,0))))</f>
        <v>682.79726317011557</v>
      </c>
      <c r="AB181" s="168">
        <f ca="1">IF($C181-AB$1&lt;År1,0,AA180*(1-VLOOKUP($A181,[1]Hugst!$R$5:$W$9,MATCH(ROUNDUP((AB$1)/10,0)*10,[1]Hugst!$R$4:$W$4,0))))</f>
        <v>684.37320326049996</v>
      </c>
      <c r="AC181" s="168">
        <f ca="1">IF($C181-AC$1&lt;År1,0,AB180*(1-VLOOKUP($A181,[1]Hugst!$R$5:$W$9,MATCH(ROUNDUP((AC$1)/10,0)*10,[1]Hugst!$R$4:$W$4,0))))</f>
        <v>685.95706264781222</v>
      </c>
      <c r="AD181" s="168">
        <f ca="1">IF($C181-AD$1&lt;År1,0,AC180*(1-VLOOKUP($A181,[1]Hugst!$R$5:$W$9,MATCH(ROUNDUP((AD$1)/10,0)*10,[1]Hugst!$R$4:$W$4,0))))</f>
        <v>687.54888112752417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*VLOOKUP(A182,Skovbrug!$A$13:$D$17,IF('Skovbrug-alder'!C182&lt;=År2,3,4),FALSE)-IF(C182&gt;2020,SUM(INDEX($C$1:$D$311,MATCH(1,(2020=$C$1:$C$311)*(B182=$B$1:$B$311)*(A182=$A$1:$A$311),0),2):D181),0))</f>
        <v>280.86689718032721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650.05208236551186</v>
      </c>
      <c r="G182" s="168">
        <f ca="1">IF($C182-G$1&lt;År1,0,F181*(1-VLOOKUP($A182,[1]Hugst!$R$5:$W$9,MATCH(ROUNDUP((G$1)/10,0)*10,[1]Hugst!$R$4:$W$4,0))))</f>
        <v>651.46347380862642</v>
      </c>
      <c r="H182" s="168">
        <f ca="1">IF($C182-H$1&lt;År1,0,G181*(1-VLOOKUP($A182,[1]Hugst!$R$5:$W$9,MATCH(ROUNDUP((H$1)/10,0)*10,[1]Hugst!$R$4:$W$4,0))))</f>
        <v>652.88195767106151</v>
      </c>
      <c r="I182" s="168">
        <f ca="1">IF($C182-I$1&lt;År1,0,H181*(1-VLOOKUP($A182,[1]Hugst!$R$5:$W$9,MATCH(ROUNDUP((I$1)/10,0)*10,[1]Hugst!$R$4:$W$4,0))))</f>
        <v>654.30756959309872</v>
      </c>
      <c r="J182" s="168">
        <f ca="1">IF($C182-J$1&lt;År1,0,I181*(1-VLOOKUP($A182,[1]Hugst!$R$5:$W$9,MATCH(ROUNDUP((J$1)/10,0)*10,[1]Hugst!$R$4:$W$4,0))))</f>
        <v>655.7403453941464</v>
      </c>
      <c r="K182" s="168">
        <f ca="1">IF($C182-K$1&lt;År1,0,J181*(1-VLOOKUP($A182,[1]Hugst!$R$5:$W$9,MATCH(ROUNDUP((K$1)/10,0)*10,[1]Hugst!$R$4:$W$4,0))))</f>
        <v>657.18032107358374</v>
      </c>
      <c r="L182" s="168">
        <f ca="1">IF($C182-L$1&lt;År1,0,K181*(1-VLOOKUP($A182,[1]Hugst!$R$5:$W$9,MATCH(ROUNDUP((L$1)/10,0)*10,[1]Hugst!$R$4:$W$4,0))))</f>
        <v>658.62753281171388</v>
      </c>
      <c r="M182" s="168">
        <f ca="1">IF($C182-M$1&lt;År1,0,L181*(1-VLOOKUP($A182,[1]Hugst!$R$5:$W$9,MATCH(ROUNDUP((M$1)/10,0)*10,[1]Hugst!$R$4:$W$4,0))))</f>
        <v>660.08201697065158</v>
      </c>
      <c r="N182" s="168">
        <f ca="1">IF($C182-N$1&lt;År1,0,M181*(1-VLOOKUP($A182,[1]Hugst!$R$5:$W$9,MATCH(ROUNDUP((N$1)/10,0)*10,[1]Hugst!$R$4:$W$4,0))))</f>
        <v>661.54381009519636</v>
      </c>
      <c r="O182" s="168">
        <f ca="1">IF($C182-O$1&lt;År1,0,N181*(1-VLOOKUP($A182,[1]Hugst!$R$5:$W$9,MATCH(ROUNDUP((O$1)/10,0)*10,[1]Hugst!$R$4:$W$4,0))))</f>
        <v>663.01294891383657</v>
      </c>
      <c r="P182" s="168">
        <f ca="1">IF($C182-P$1&lt;År1,0,O181*(1-VLOOKUP($A182,[1]Hugst!$R$5:$W$9,MATCH(ROUNDUP((P$1)/10,0)*10,[1]Hugst!$R$4:$W$4,0))))</f>
        <v>664.4894703396152</v>
      </c>
      <c r="Q182" s="168">
        <f ca="1">IF($C182-Q$1&lt;År1,0,P181*(1-VLOOKUP($A182,[1]Hugst!$R$5:$W$9,MATCH(ROUNDUP((Q$1)/10,0)*10,[1]Hugst!$R$4:$W$4,0))))</f>
        <v>665.97341147103941</v>
      </c>
      <c r="R182" s="168">
        <f ca="1">IF($C182-R$1&lt;År1,0,Q181*(1-VLOOKUP($A182,[1]Hugst!$R$5:$W$9,MATCH(ROUNDUP((R$1)/10,0)*10,[1]Hugst!$R$4:$W$4,0))))</f>
        <v>667.46480959307735</v>
      </c>
      <c r="S182" s="168">
        <f ca="1">IF($C182-S$1&lt;År1,0,R181*(1-VLOOKUP($A182,[1]Hugst!$R$5:$W$9,MATCH(ROUNDUP((S$1)/10,0)*10,[1]Hugst!$R$4:$W$4,0))))</f>
        <v>668.96370217804576</v>
      </c>
      <c r="T182" s="168">
        <f ca="1">IF($C182-T$1&lt;År1,0,S181*(1-VLOOKUP($A182,[1]Hugst!$R$5:$W$9,MATCH(ROUNDUP((T$1)/10,0)*10,[1]Hugst!$R$4:$W$4,0))))</f>
        <v>670.47012688654138</v>
      </c>
      <c r="U182" s="168">
        <f ca="1">IF($C182-U$1&lt;År1,0,T181*(1-VLOOKUP($A182,[1]Hugst!$R$5:$W$9,MATCH(ROUNDUP((U$1)/10,0)*10,[1]Hugst!$R$4:$W$4,0))))</f>
        <v>671.98412156847519</v>
      </c>
      <c r="V182" s="168">
        <f ca="1">IF($C182-V$1&lt;År1,0,U181*(1-VLOOKUP($A182,[1]Hugst!$R$5:$W$9,MATCH(ROUNDUP((V$1)/10,0)*10,[1]Hugst!$R$4:$W$4,0))))</f>
        <v>673.505724263861</v>
      </c>
      <c r="W182" s="168">
        <f ca="1">IF($C182-W$1&lt;År1,0,V181*(1-VLOOKUP($A182,[1]Hugst!$R$5:$W$9,MATCH(ROUNDUP((W$1)/10,0)*10,[1]Hugst!$R$4:$W$4,0))))</f>
        <v>675.03497320395729</v>
      </c>
      <c r="X182" s="168">
        <f ca="1">IF($C182-X$1&lt;År1,0,W181*(1-VLOOKUP($A182,[1]Hugst!$R$5:$W$9,MATCH(ROUNDUP((X$1)/10,0)*10,[1]Hugst!$R$4:$W$4,0))))</f>
        <v>676.57190681208488</v>
      </c>
      <c r="Y182" s="168">
        <f ca="1">IF($C182-Y$1&lt;År1,0,X181*(1-VLOOKUP($A182,[1]Hugst!$R$5:$W$9,MATCH(ROUNDUP((Y$1)/10,0)*10,[1]Hugst!$R$4:$W$4,0))))</f>
        <v>678.11656370469757</v>
      </c>
      <c r="Z182" s="168">
        <f ca="1">IF($C182-Z$1&lt;År1,0,Y181*(1-VLOOKUP($A182,[1]Hugst!$R$5:$W$9,MATCH(ROUNDUP((Z$1)/10,0)*10,[1]Hugst!$R$4:$W$4,0))))</f>
        <v>679.66898269221895</v>
      </c>
      <c r="AA182" s="168">
        <f ca="1">IF($C182-AA$1&lt;År1,0,Z181*(1-VLOOKUP($A182,[1]Hugst!$R$5:$W$9,MATCH(ROUNDUP((AA$1)/10,0)*10,[1]Hugst!$R$4:$W$4,0))))</f>
        <v>681.22920278019922</v>
      </c>
      <c r="AB182" s="168">
        <f ca="1">IF($C182-AB$1&lt;År1,0,AA181*(1-VLOOKUP($A182,[1]Hugst!$R$5:$W$9,MATCH(ROUNDUP((AB$1)/10,0)*10,[1]Hugst!$R$4:$W$4,0))))</f>
        <v>682.79726317011557</v>
      </c>
      <c r="AC182" s="168">
        <f ca="1">IF($C182-AC$1&lt;År1,0,AB181*(1-VLOOKUP($A182,[1]Hugst!$R$5:$W$9,MATCH(ROUNDUP((AC$1)/10,0)*10,[1]Hugst!$R$4:$W$4,0))))</f>
        <v>684.37320326049996</v>
      </c>
      <c r="AD182" s="168">
        <f ca="1">IF($C182-AD$1&lt;År1,0,AC181*(1-VLOOKUP($A182,[1]Hugst!$R$5:$W$9,MATCH(ROUNDUP((AD$1)/10,0)*10,[1]Hugst!$R$4:$W$4,0))))</f>
        <v>685.95706264781222</v>
      </c>
      <c r="AE182" s="168">
        <f ca="1">IF($C182-AE$1&lt;År1,0,AD181*(1-VLOOKUP($A182,[1]Hugst!$R$5:$W$9,MATCH(ROUNDUP((AE$1)/10,0)*10,[1]Hugst!$R$4:$W$4,0))))</f>
        <v>687.54888112752417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*VLOOKUP(A183,Skovbrug!$A$13:$D$17,IF('Skovbrug-alder'!C183&lt;=År2,3,4),FALSE)-IF(C183&gt;2020,SUM(INDEX($C$1:$D$311,MATCH(1,(2020=$C$1:$C$311)*(B183=$B$1:$B$311)*(A183=$A$1:$A$311),0),2):D182),0))</f>
        <v>279.46256269443256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648.64774787961721</v>
      </c>
      <c r="G183" s="168">
        <f ca="1">IF($C183-G$1&lt;År1,0,F182*(1-VLOOKUP($A183,[1]Hugst!$R$5:$W$9,MATCH(ROUNDUP((G$1)/10,0)*10,[1]Hugst!$R$4:$W$4,0))))</f>
        <v>650.05208236551186</v>
      </c>
      <c r="H183" s="168">
        <f ca="1">IF($C183-H$1&lt;År1,0,G182*(1-VLOOKUP($A183,[1]Hugst!$R$5:$W$9,MATCH(ROUNDUP((H$1)/10,0)*10,[1]Hugst!$R$4:$W$4,0))))</f>
        <v>651.46347380862642</v>
      </c>
      <c r="I183" s="168">
        <f ca="1">IF($C183-I$1&lt;År1,0,H182*(1-VLOOKUP($A183,[1]Hugst!$R$5:$W$9,MATCH(ROUNDUP((I$1)/10,0)*10,[1]Hugst!$R$4:$W$4,0))))</f>
        <v>652.88195767106151</v>
      </c>
      <c r="J183" s="168">
        <f ca="1">IF($C183-J$1&lt;År1,0,I182*(1-VLOOKUP($A183,[1]Hugst!$R$5:$W$9,MATCH(ROUNDUP((J$1)/10,0)*10,[1]Hugst!$R$4:$W$4,0))))</f>
        <v>654.30756959309872</v>
      </c>
      <c r="K183" s="168">
        <f ca="1">IF($C183-K$1&lt;År1,0,J182*(1-VLOOKUP($A183,[1]Hugst!$R$5:$W$9,MATCH(ROUNDUP((K$1)/10,0)*10,[1]Hugst!$R$4:$W$4,0))))</f>
        <v>655.7403453941464</v>
      </c>
      <c r="L183" s="168">
        <f ca="1">IF($C183-L$1&lt;År1,0,K182*(1-VLOOKUP($A183,[1]Hugst!$R$5:$W$9,MATCH(ROUNDUP((L$1)/10,0)*10,[1]Hugst!$R$4:$W$4,0))))</f>
        <v>657.18032107358374</v>
      </c>
      <c r="M183" s="168">
        <f ca="1">IF($C183-M$1&lt;År1,0,L182*(1-VLOOKUP($A183,[1]Hugst!$R$5:$W$9,MATCH(ROUNDUP((M$1)/10,0)*10,[1]Hugst!$R$4:$W$4,0))))</f>
        <v>658.62753281171388</v>
      </c>
      <c r="N183" s="168">
        <f ca="1">IF($C183-N$1&lt;År1,0,M182*(1-VLOOKUP($A183,[1]Hugst!$R$5:$W$9,MATCH(ROUNDUP((N$1)/10,0)*10,[1]Hugst!$R$4:$W$4,0))))</f>
        <v>660.08201697065158</v>
      </c>
      <c r="O183" s="168">
        <f ca="1">IF($C183-O$1&lt;År1,0,N182*(1-VLOOKUP($A183,[1]Hugst!$R$5:$W$9,MATCH(ROUNDUP((O$1)/10,0)*10,[1]Hugst!$R$4:$W$4,0))))</f>
        <v>661.54381009519636</v>
      </c>
      <c r="P183" s="168">
        <f ca="1">IF($C183-P$1&lt;År1,0,O182*(1-VLOOKUP($A183,[1]Hugst!$R$5:$W$9,MATCH(ROUNDUP((P$1)/10,0)*10,[1]Hugst!$R$4:$W$4,0))))</f>
        <v>663.01294891383657</v>
      </c>
      <c r="Q183" s="168">
        <f ca="1">IF($C183-Q$1&lt;År1,0,P182*(1-VLOOKUP($A183,[1]Hugst!$R$5:$W$9,MATCH(ROUNDUP((Q$1)/10,0)*10,[1]Hugst!$R$4:$W$4,0))))</f>
        <v>664.4894703396152</v>
      </c>
      <c r="R183" s="168">
        <f ca="1">IF($C183-R$1&lt;År1,0,Q182*(1-VLOOKUP($A183,[1]Hugst!$R$5:$W$9,MATCH(ROUNDUP((R$1)/10,0)*10,[1]Hugst!$R$4:$W$4,0))))</f>
        <v>665.97341147103941</v>
      </c>
      <c r="S183" s="168">
        <f ca="1">IF($C183-S$1&lt;År1,0,R182*(1-VLOOKUP($A183,[1]Hugst!$R$5:$W$9,MATCH(ROUNDUP((S$1)/10,0)*10,[1]Hugst!$R$4:$W$4,0))))</f>
        <v>667.46480959307735</v>
      </c>
      <c r="T183" s="168">
        <f ca="1">IF($C183-T$1&lt;År1,0,S182*(1-VLOOKUP($A183,[1]Hugst!$R$5:$W$9,MATCH(ROUNDUP((T$1)/10,0)*10,[1]Hugst!$R$4:$W$4,0))))</f>
        <v>668.96370217804576</v>
      </c>
      <c r="U183" s="168">
        <f ca="1">IF($C183-U$1&lt;År1,0,T182*(1-VLOOKUP($A183,[1]Hugst!$R$5:$W$9,MATCH(ROUNDUP((U$1)/10,0)*10,[1]Hugst!$R$4:$W$4,0))))</f>
        <v>670.47012688654138</v>
      </c>
      <c r="V183" s="168">
        <f ca="1">IF($C183-V$1&lt;År1,0,U182*(1-VLOOKUP($A183,[1]Hugst!$R$5:$W$9,MATCH(ROUNDUP((V$1)/10,0)*10,[1]Hugst!$R$4:$W$4,0))))</f>
        <v>671.98412156847519</v>
      </c>
      <c r="W183" s="168">
        <f ca="1">IF($C183-W$1&lt;År1,0,V182*(1-VLOOKUP($A183,[1]Hugst!$R$5:$W$9,MATCH(ROUNDUP((W$1)/10,0)*10,[1]Hugst!$R$4:$W$4,0))))</f>
        <v>673.505724263861</v>
      </c>
      <c r="X183" s="168">
        <f ca="1">IF($C183-X$1&lt;År1,0,W182*(1-VLOOKUP($A183,[1]Hugst!$R$5:$W$9,MATCH(ROUNDUP((X$1)/10,0)*10,[1]Hugst!$R$4:$W$4,0))))</f>
        <v>675.03497320395729</v>
      </c>
      <c r="Y183" s="168">
        <f ca="1">IF($C183-Y$1&lt;År1,0,X182*(1-VLOOKUP($A183,[1]Hugst!$R$5:$W$9,MATCH(ROUNDUP((Y$1)/10,0)*10,[1]Hugst!$R$4:$W$4,0))))</f>
        <v>676.57190681208488</v>
      </c>
      <c r="Z183" s="168">
        <f ca="1">IF($C183-Z$1&lt;År1,0,Y182*(1-VLOOKUP($A183,[1]Hugst!$R$5:$W$9,MATCH(ROUNDUP((Z$1)/10,0)*10,[1]Hugst!$R$4:$W$4,0))))</f>
        <v>678.11656370469757</v>
      </c>
      <c r="AA183" s="168">
        <f ca="1">IF($C183-AA$1&lt;År1,0,Z182*(1-VLOOKUP($A183,[1]Hugst!$R$5:$W$9,MATCH(ROUNDUP((AA$1)/10,0)*10,[1]Hugst!$R$4:$W$4,0))))</f>
        <v>679.66898269221895</v>
      </c>
      <c r="AB183" s="168">
        <f ca="1">IF($C183-AB$1&lt;År1,0,AA182*(1-VLOOKUP($A183,[1]Hugst!$R$5:$W$9,MATCH(ROUNDUP((AB$1)/10,0)*10,[1]Hugst!$R$4:$W$4,0))))</f>
        <v>681.22920278019922</v>
      </c>
      <c r="AC183" s="168">
        <f ca="1">IF($C183-AC$1&lt;År1,0,AB182*(1-VLOOKUP($A183,[1]Hugst!$R$5:$W$9,MATCH(ROUNDUP((AC$1)/10,0)*10,[1]Hugst!$R$4:$W$4,0))))</f>
        <v>682.79726317011557</v>
      </c>
      <c r="AD183" s="168">
        <f ca="1">IF($C183-AD$1&lt;År1,0,AC182*(1-VLOOKUP($A183,[1]Hugst!$R$5:$W$9,MATCH(ROUNDUP((AD$1)/10,0)*10,[1]Hugst!$R$4:$W$4,0))))</f>
        <v>684.37320326049996</v>
      </c>
      <c r="AE183" s="168">
        <f ca="1">IF($C183-AE$1&lt;År1,0,AD182*(1-VLOOKUP($A183,[1]Hugst!$R$5:$W$9,MATCH(ROUNDUP((AE$1)/10,0)*10,[1]Hugst!$R$4:$W$4,0))))</f>
        <v>685.95706264781222</v>
      </c>
      <c r="AF183" s="168">
        <f ca="1">IF($C183-AF$1&lt;År1,0,AE182*(1-VLOOKUP($A183,[1]Hugst!$R$5:$W$9,MATCH(ROUNDUP((AF$1)/10,0)*10,[1]Hugst!$R$4:$W$4,0))))</f>
        <v>687.54888112752417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*VLOOKUP(A184,Skovbrug!$A$13:$D$17,IF('Skovbrug-alder'!C184&lt;=År2,3,4),FALSE)-IF(C184&gt;2020,SUM(INDEX($C$1:$D$311,MATCH(1,(2020=$C$1:$C$311)*(B184=$B$1:$B$311)*(A184=$A$1:$A$311),0),2):D183),0))</f>
        <v>278.06524988094316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647.25043506612781</v>
      </c>
      <c r="G184" s="168">
        <f ca="1">IF($C184-G$1&lt;År1,0,F183*(1-VLOOKUP($A184,[1]Hugst!$R$5:$W$9,MATCH(ROUNDUP((G$1)/10,0)*10,[1]Hugst!$R$4:$W$4,0))))</f>
        <v>648.64774787961721</v>
      </c>
      <c r="H184" s="168">
        <f ca="1">IF($C184-H$1&lt;År1,0,G183*(1-VLOOKUP($A184,[1]Hugst!$R$5:$W$9,MATCH(ROUNDUP((H$1)/10,0)*10,[1]Hugst!$R$4:$W$4,0))))</f>
        <v>650.05208236551186</v>
      </c>
      <c r="I184" s="168">
        <f ca="1">IF($C184-I$1&lt;År1,0,H183*(1-VLOOKUP($A184,[1]Hugst!$R$5:$W$9,MATCH(ROUNDUP((I$1)/10,0)*10,[1]Hugst!$R$4:$W$4,0))))</f>
        <v>651.46347380862642</v>
      </c>
      <c r="J184" s="168">
        <f ca="1">IF($C184-J$1&lt;År1,0,I183*(1-VLOOKUP($A184,[1]Hugst!$R$5:$W$9,MATCH(ROUNDUP((J$1)/10,0)*10,[1]Hugst!$R$4:$W$4,0))))</f>
        <v>652.88195767106151</v>
      </c>
      <c r="K184" s="168">
        <f ca="1">IF($C184-K$1&lt;År1,0,J183*(1-VLOOKUP($A184,[1]Hugst!$R$5:$W$9,MATCH(ROUNDUP((K$1)/10,0)*10,[1]Hugst!$R$4:$W$4,0))))</f>
        <v>654.30756959309872</v>
      </c>
      <c r="L184" s="168">
        <f ca="1">IF($C184-L$1&lt;År1,0,K183*(1-VLOOKUP($A184,[1]Hugst!$R$5:$W$9,MATCH(ROUNDUP((L$1)/10,0)*10,[1]Hugst!$R$4:$W$4,0))))</f>
        <v>655.7403453941464</v>
      </c>
      <c r="M184" s="168">
        <f ca="1">IF($C184-M$1&lt;År1,0,L183*(1-VLOOKUP($A184,[1]Hugst!$R$5:$W$9,MATCH(ROUNDUP((M$1)/10,0)*10,[1]Hugst!$R$4:$W$4,0))))</f>
        <v>657.18032107358374</v>
      </c>
      <c r="N184" s="168">
        <f ca="1">IF($C184-N$1&lt;År1,0,M183*(1-VLOOKUP($A184,[1]Hugst!$R$5:$W$9,MATCH(ROUNDUP((N$1)/10,0)*10,[1]Hugst!$R$4:$W$4,0))))</f>
        <v>658.62753281171388</v>
      </c>
      <c r="O184" s="168">
        <f ca="1">IF($C184-O$1&lt;År1,0,N183*(1-VLOOKUP($A184,[1]Hugst!$R$5:$W$9,MATCH(ROUNDUP((O$1)/10,0)*10,[1]Hugst!$R$4:$W$4,0))))</f>
        <v>660.08201697065158</v>
      </c>
      <c r="P184" s="168">
        <f ca="1">IF($C184-P$1&lt;År1,0,O183*(1-VLOOKUP($A184,[1]Hugst!$R$5:$W$9,MATCH(ROUNDUP((P$1)/10,0)*10,[1]Hugst!$R$4:$W$4,0))))</f>
        <v>661.54381009519636</v>
      </c>
      <c r="Q184" s="168">
        <f ca="1">IF($C184-Q$1&lt;År1,0,P183*(1-VLOOKUP($A184,[1]Hugst!$R$5:$W$9,MATCH(ROUNDUP((Q$1)/10,0)*10,[1]Hugst!$R$4:$W$4,0))))</f>
        <v>663.01294891383657</v>
      </c>
      <c r="R184" s="168">
        <f ca="1">IF($C184-R$1&lt;År1,0,Q183*(1-VLOOKUP($A184,[1]Hugst!$R$5:$W$9,MATCH(ROUNDUP((R$1)/10,0)*10,[1]Hugst!$R$4:$W$4,0))))</f>
        <v>664.4894703396152</v>
      </c>
      <c r="S184" s="168">
        <f ca="1">IF($C184-S$1&lt;År1,0,R183*(1-VLOOKUP($A184,[1]Hugst!$R$5:$W$9,MATCH(ROUNDUP((S$1)/10,0)*10,[1]Hugst!$R$4:$W$4,0))))</f>
        <v>665.97341147103941</v>
      </c>
      <c r="T184" s="168">
        <f ca="1">IF($C184-T$1&lt;År1,0,S183*(1-VLOOKUP($A184,[1]Hugst!$R$5:$W$9,MATCH(ROUNDUP((T$1)/10,0)*10,[1]Hugst!$R$4:$W$4,0))))</f>
        <v>667.46480959307735</v>
      </c>
      <c r="U184" s="168">
        <f ca="1">IF($C184-U$1&lt;År1,0,T183*(1-VLOOKUP($A184,[1]Hugst!$R$5:$W$9,MATCH(ROUNDUP((U$1)/10,0)*10,[1]Hugst!$R$4:$W$4,0))))</f>
        <v>668.96370217804576</v>
      </c>
      <c r="V184" s="168">
        <f ca="1">IF($C184-V$1&lt;År1,0,U183*(1-VLOOKUP($A184,[1]Hugst!$R$5:$W$9,MATCH(ROUNDUP((V$1)/10,0)*10,[1]Hugst!$R$4:$W$4,0))))</f>
        <v>670.47012688654138</v>
      </c>
      <c r="W184" s="168">
        <f ca="1">IF($C184-W$1&lt;År1,0,V183*(1-VLOOKUP($A184,[1]Hugst!$R$5:$W$9,MATCH(ROUNDUP((W$1)/10,0)*10,[1]Hugst!$R$4:$W$4,0))))</f>
        <v>671.98412156847519</v>
      </c>
      <c r="X184" s="168">
        <f ca="1">IF($C184-X$1&lt;År1,0,W183*(1-VLOOKUP($A184,[1]Hugst!$R$5:$W$9,MATCH(ROUNDUP((X$1)/10,0)*10,[1]Hugst!$R$4:$W$4,0))))</f>
        <v>673.505724263861</v>
      </c>
      <c r="Y184" s="168">
        <f ca="1">IF($C184-Y$1&lt;År1,0,X183*(1-VLOOKUP($A184,[1]Hugst!$R$5:$W$9,MATCH(ROUNDUP((Y$1)/10,0)*10,[1]Hugst!$R$4:$W$4,0))))</f>
        <v>675.03497320395729</v>
      </c>
      <c r="Z184" s="168">
        <f ca="1">IF($C184-Z$1&lt;År1,0,Y183*(1-VLOOKUP($A184,[1]Hugst!$R$5:$W$9,MATCH(ROUNDUP((Z$1)/10,0)*10,[1]Hugst!$R$4:$W$4,0))))</f>
        <v>676.57190681208488</v>
      </c>
      <c r="AA184" s="168">
        <f ca="1">IF($C184-AA$1&lt;År1,0,Z183*(1-VLOOKUP($A184,[1]Hugst!$R$5:$W$9,MATCH(ROUNDUP((AA$1)/10,0)*10,[1]Hugst!$R$4:$W$4,0))))</f>
        <v>678.11656370469757</v>
      </c>
      <c r="AB184" s="168">
        <f ca="1">IF($C184-AB$1&lt;År1,0,AA183*(1-VLOOKUP($A184,[1]Hugst!$R$5:$W$9,MATCH(ROUNDUP((AB$1)/10,0)*10,[1]Hugst!$R$4:$W$4,0))))</f>
        <v>679.66898269221895</v>
      </c>
      <c r="AC184" s="168">
        <f ca="1">IF($C184-AC$1&lt;År1,0,AB183*(1-VLOOKUP($A184,[1]Hugst!$R$5:$W$9,MATCH(ROUNDUP((AC$1)/10,0)*10,[1]Hugst!$R$4:$W$4,0))))</f>
        <v>681.22920278019922</v>
      </c>
      <c r="AD184" s="168">
        <f ca="1">IF($C184-AD$1&lt;År1,0,AC183*(1-VLOOKUP($A184,[1]Hugst!$R$5:$W$9,MATCH(ROUNDUP((AD$1)/10,0)*10,[1]Hugst!$R$4:$W$4,0))))</f>
        <v>682.79726317011557</v>
      </c>
      <c r="AE184" s="168">
        <f ca="1">IF($C184-AE$1&lt;År1,0,AD183*(1-VLOOKUP($A184,[1]Hugst!$R$5:$W$9,MATCH(ROUNDUP((AE$1)/10,0)*10,[1]Hugst!$R$4:$W$4,0))))</f>
        <v>684.37320326049996</v>
      </c>
      <c r="AF184" s="168">
        <f ca="1">IF($C184-AF$1&lt;År1,0,AE183*(1-VLOOKUP($A184,[1]Hugst!$R$5:$W$9,MATCH(ROUNDUP((AF$1)/10,0)*10,[1]Hugst!$R$4:$W$4,0))))</f>
        <v>685.95706264781222</v>
      </c>
      <c r="AG184" s="168">
        <f ca="1">IF($C184-AG$1&lt;År1,0,AF183*(1-VLOOKUP($A184,[1]Hugst!$R$5:$W$9,MATCH(ROUNDUP((AG$1)/10,0)*10,[1]Hugst!$R$4:$W$4,0))))</f>
        <v>687.54888112752417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*VLOOKUP(A185,Skovbrug!$A$13:$D$17,IF('Skovbrug-alder'!C185&lt;=År2,3,4),FALSE)-IF(C185&gt;2020,SUM(INDEX($C$1:$D$311,MATCH(1,(2020=$C$1:$C$311)*(B185=$B$1:$B$311)*(A185=$A$1:$A$311),0),2):D184),0))</f>
        <v>276.67492363154452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645.86010881672917</v>
      </c>
      <c r="G185" s="168">
        <f ca="1">IF($C185-G$1&lt;År1,0,F184*(1-VLOOKUP($A185,[1]Hugst!$R$5:$W$9,MATCH(ROUNDUP((G$1)/10,0)*10,[1]Hugst!$R$4:$W$4,0))))</f>
        <v>647.25043506612781</v>
      </c>
      <c r="H185" s="168">
        <f ca="1">IF($C185-H$1&lt;År1,0,G184*(1-VLOOKUP($A185,[1]Hugst!$R$5:$W$9,MATCH(ROUNDUP((H$1)/10,0)*10,[1]Hugst!$R$4:$W$4,0))))</f>
        <v>648.64774787961721</v>
      </c>
      <c r="I185" s="168">
        <f ca="1">IF($C185-I$1&lt;År1,0,H184*(1-VLOOKUP($A185,[1]Hugst!$R$5:$W$9,MATCH(ROUNDUP((I$1)/10,0)*10,[1]Hugst!$R$4:$W$4,0))))</f>
        <v>650.05208236551186</v>
      </c>
      <c r="J185" s="168">
        <f ca="1">IF($C185-J$1&lt;År1,0,I184*(1-VLOOKUP($A185,[1]Hugst!$R$5:$W$9,MATCH(ROUNDUP((J$1)/10,0)*10,[1]Hugst!$R$4:$W$4,0))))</f>
        <v>651.46347380862642</v>
      </c>
      <c r="K185" s="168">
        <f ca="1">IF($C185-K$1&lt;År1,0,J184*(1-VLOOKUP($A185,[1]Hugst!$R$5:$W$9,MATCH(ROUNDUP((K$1)/10,0)*10,[1]Hugst!$R$4:$W$4,0))))</f>
        <v>652.88195767106151</v>
      </c>
      <c r="L185" s="168">
        <f ca="1">IF($C185-L$1&lt;År1,0,K184*(1-VLOOKUP($A185,[1]Hugst!$R$5:$W$9,MATCH(ROUNDUP((L$1)/10,0)*10,[1]Hugst!$R$4:$W$4,0))))</f>
        <v>654.30756959309872</v>
      </c>
      <c r="M185" s="168">
        <f ca="1">IF($C185-M$1&lt;År1,0,L184*(1-VLOOKUP($A185,[1]Hugst!$R$5:$W$9,MATCH(ROUNDUP((M$1)/10,0)*10,[1]Hugst!$R$4:$W$4,0))))</f>
        <v>655.7403453941464</v>
      </c>
      <c r="N185" s="168">
        <f ca="1">IF($C185-N$1&lt;År1,0,M184*(1-VLOOKUP($A185,[1]Hugst!$R$5:$W$9,MATCH(ROUNDUP((N$1)/10,0)*10,[1]Hugst!$R$4:$W$4,0))))</f>
        <v>657.18032107358374</v>
      </c>
      <c r="O185" s="168">
        <f ca="1">IF($C185-O$1&lt;År1,0,N184*(1-VLOOKUP($A185,[1]Hugst!$R$5:$W$9,MATCH(ROUNDUP((O$1)/10,0)*10,[1]Hugst!$R$4:$W$4,0))))</f>
        <v>658.62753281171388</v>
      </c>
      <c r="P185" s="168">
        <f ca="1">IF($C185-P$1&lt;År1,0,O184*(1-VLOOKUP($A185,[1]Hugst!$R$5:$W$9,MATCH(ROUNDUP((P$1)/10,0)*10,[1]Hugst!$R$4:$W$4,0))))</f>
        <v>660.08201697065158</v>
      </c>
      <c r="Q185" s="168">
        <f ca="1">IF($C185-Q$1&lt;År1,0,P184*(1-VLOOKUP($A185,[1]Hugst!$R$5:$W$9,MATCH(ROUNDUP((Q$1)/10,0)*10,[1]Hugst!$R$4:$W$4,0))))</f>
        <v>661.54381009519636</v>
      </c>
      <c r="R185" s="168">
        <f ca="1">IF($C185-R$1&lt;År1,0,Q184*(1-VLOOKUP($A185,[1]Hugst!$R$5:$W$9,MATCH(ROUNDUP((R$1)/10,0)*10,[1]Hugst!$R$4:$W$4,0))))</f>
        <v>663.01294891383657</v>
      </c>
      <c r="S185" s="168">
        <f ca="1">IF($C185-S$1&lt;År1,0,R184*(1-VLOOKUP($A185,[1]Hugst!$R$5:$W$9,MATCH(ROUNDUP((S$1)/10,0)*10,[1]Hugst!$R$4:$W$4,0))))</f>
        <v>664.4894703396152</v>
      </c>
      <c r="T185" s="168">
        <f ca="1">IF($C185-T$1&lt;År1,0,S184*(1-VLOOKUP($A185,[1]Hugst!$R$5:$W$9,MATCH(ROUNDUP((T$1)/10,0)*10,[1]Hugst!$R$4:$W$4,0))))</f>
        <v>665.97341147103941</v>
      </c>
      <c r="U185" s="168">
        <f ca="1">IF($C185-U$1&lt;År1,0,T184*(1-VLOOKUP($A185,[1]Hugst!$R$5:$W$9,MATCH(ROUNDUP((U$1)/10,0)*10,[1]Hugst!$R$4:$W$4,0))))</f>
        <v>667.46480959307735</v>
      </c>
      <c r="V185" s="168">
        <f ca="1">IF($C185-V$1&lt;År1,0,U184*(1-VLOOKUP($A185,[1]Hugst!$R$5:$W$9,MATCH(ROUNDUP((V$1)/10,0)*10,[1]Hugst!$R$4:$W$4,0))))</f>
        <v>668.96370217804576</v>
      </c>
      <c r="W185" s="168">
        <f ca="1">IF($C185-W$1&lt;År1,0,V184*(1-VLOOKUP($A185,[1]Hugst!$R$5:$W$9,MATCH(ROUNDUP((W$1)/10,0)*10,[1]Hugst!$R$4:$W$4,0))))</f>
        <v>670.47012688654138</v>
      </c>
      <c r="X185" s="168">
        <f ca="1">IF($C185-X$1&lt;År1,0,W184*(1-VLOOKUP($A185,[1]Hugst!$R$5:$W$9,MATCH(ROUNDUP((X$1)/10,0)*10,[1]Hugst!$R$4:$W$4,0))))</f>
        <v>671.98412156847519</v>
      </c>
      <c r="Y185" s="168">
        <f ca="1">IF($C185-Y$1&lt;År1,0,X184*(1-VLOOKUP($A185,[1]Hugst!$R$5:$W$9,MATCH(ROUNDUP((Y$1)/10,0)*10,[1]Hugst!$R$4:$W$4,0))))</f>
        <v>673.505724263861</v>
      </c>
      <c r="Z185" s="168">
        <f ca="1">IF($C185-Z$1&lt;År1,0,Y184*(1-VLOOKUP($A185,[1]Hugst!$R$5:$W$9,MATCH(ROUNDUP((Z$1)/10,0)*10,[1]Hugst!$R$4:$W$4,0))))</f>
        <v>675.03497320395729</v>
      </c>
      <c r="AA185" s="168">
        <f ca="1">IF($C185-AA$1&lt;År1,0,Z184*(1-VLOOKUP($A185,[1]Hugst!$R$5:$W$9,MATCH(ROUNDUP((AA$1)/10,0)*10,[1]Hugst!$R$4:$W$4,0))))</f>
        <v>676.57190681208488</v>
      </c>
      <c r="AB185" s="168">
        <f ca="1">IF($C185-AB$1&lt;År1,0,AA184*(1-VLOOKUP($A185,[1]Hugst!$R$5:$W$9,MATCH(ROUNDUP((AB$1)/10,0)*10,[1]Hugst!$R$4:$W$4,0))))</f>
        <v>678.11656370469757</v>
      </c>
      <c r="AC185" s="168">
        <f ca="1">IF($C185-AC$1&lt;År1,0,AB184*(1-VLOOKUP($A185,[1]Hugst!$R$5:$W$9,MATCH(ROUNDUP((AC$1)/10,0)*10,[1]Hugst!$R$4:$W$4,0))))</f>
        <v>679.66898269221895</v>
      </c>
      <c r="AD185" s="168">
        <f ca="1">IF($C185-AD$1&lt;År1,0,AC184*(1-VLOOKUP($A185,[1]Hugst!$R$5:$W$9,MATCH(ROUNDUP((AD$1)/10,0)*10,[1]Hugst!$R$4:$W$4,0))))</f>
        <v>681.22920278019922</v>
      </c>
      <c r="AE185" s="168">
        <f ca="1">IF($C185-AE$1&lt;År1,0,AD184*(1-VLOOKUP($A185,[1]Hugst!$R$5:$W$9,MATCH(ROUNDUP((AE$1)/10,0)*10,[1]Hugst!$R$4:$W$4,0))))</f>
        <v>682.79726317011557</v>
      </c>
      <c r="AF185" s="168">
        <f ca="1">IF($C185-AF$1&lt;År1,0,AE184*(1-VLOOKUP($A185,[1]Hugst!$R$5:$W$9,MATCH(ROUNDUP((AF$1)/10,0)*10,[1]Hugst!$R$4:$W$4,0))))</f>
        <v>684.37320326049996</v>
      </c>
      <c r="AG185" s="168">
        <f ca="1">IF($C185-AG$1&lt;År1,0,AF184*(1-VLOOKUP($A185,[1]Hugst!$R$5:$W$9,MATCH(ROUNDUP((AG$1)/10,0)*10,[1]Hugst!$R$4:$W$4,0))))</f>
        <v>685.95706264781222</v>
      </c>
      <c r="AH185" s="168">
        <f ca="1">IF($C185-AH$1&lt;År1,0,AG184*(1-VLOOKUP($A185,[1]Hugst!$R$5:$W$9,MATCH(ROUNDUP((AH$1)/10,0)*10,[1]Hugst!$R$4:$W$4,0))))</f>
        <v>687.54888112752417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*VLOOKUP(A186,Skovbrug!$A$13:$D$17,IF('Skovbrug-alder'!C186&lt;=År2,3,4),FALSE)-IF(C186&gt;2020,SUM(INDEX($C$1:$D$311,MATCH(1,(2020=$C$1:$C$311)*(B186=$B$1:$B$311)*(A186=$A$1:$A$311),0),2):D185),0))</f>
        <v>275.29154901339643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644.47673419858108</v>
      </c>
      <c r="G186" s="168">
        <f ca="1">IF($C186-G$1&lt;År1,0,F185*(1-VLOOKUP($A186,[1]Hugst!$R$5:$W$9,MATCH(ROUNDUP((G$1)/10,0)*10,[1]Hugst!$R$4:$W$4,0))))</f>
        <v>645.86010881672917</v>
      </c>
      <c r="H186" s="168">
        <f ca="1">IF($C186-H$1&lt;År1,0,G185*(1-VLOOKUP($A186,[1]Hugst!$R$5:$W$9,MATCH(ROUNDUP((H$1)/10,0)*10,[1]Hugst!$R$4:$W$4,0))))</f>
        <v>647.25043506612781</v>
      </c>
      <c r="I186" s="168">
        <f ca="1">IF($C186-I$1&lt;År1,0,H185*(1-VLOOKUP($A186,[1]Hugst!$R$5:$W$9,MATCH(ROUNDUP((I$1)/10,0)*10,[1]Hugst!$R$4:$W$4,0))))</f>
        <v>648.64774787961721</v>
      </c>
      <c r="J186" s="168">
        <f ca="1">IF($C186-J$1&lt;År1,0,I185*(1-VLOOKUP($A186,[1]Hugst!$R$5:$W$9,MATCH(ROUNDUP((J$1)/10,0)*10,[1]Hugst!$R$4:$W$4,0))))</f>
        <v>650.05208236551186</v>
      </c>
      <c r="K186" s="168">
        <f ca="1">IF($C186-K$1&lt;År1,0,J185*(1-VLOOKUP($A186,[1]Hugst!$R$5:$W$9,MATCH(ROUNDUP((K$1)/10,0)*10,[1]Hugst!$R$4:$W$4,0))))</f>
        <v>651.46347380862642</v>
      </c>
      <c r="L186" s="168">
        <f ca="1">IF($C186-L$1&lt;År1,0,K185*(1-VLOOKUP($A186,[1]Hugst!$R$5:$W$9,MATCH(ROUNDUP((L$1)/10,0)*10,[1]Hugst!$R$4:$W$4,0))))</f>
        <v>652.88195767106151</v>
      </c>
      <c r="M186" s="168">
        <f ca="1">IF($C186-M$1&lt;År1,0,L185*(1-VLOOKUP($A186,[1]Hugst!$R$5:$W$9,MATCH(ROUNDUP((M$1)/10,0)*10,[1]Hugst!$R$4:$W$4,0))))</f>
        <v>654.30756959309872</v>
      </c>
      <c r="N186" s="168">
        <f ca="1">IF($C186-N$1&lt;År1,0,M185*(1-VLOOKUP($A186,[1]Hugst!$R$5:$W$9,MATCH(ROUNDUP((N$1)/10,0)*10,[1]Hugst!$R$4:$W$4,0))))</f>
        <v>655.7403453941464</v>
      </c>
      <c r="O186" s="168">
        <f ca="1">IF($C186-O$1&lt;År1,0,N185*(1-VLOOKUP($A186,[1]Hugst!$R$5:$W$9,MATCH(ROUNDUP((O$1)/10,0)*10,[1]Hugst!$R$4:$W$4,0))))</f>
        <v>657.18032107358374</v>
      </c>
      <c r="P186" s="168">
        <f ca="1">IF($C186-P$1&lt;År1,0,O185*(1-VLOOKUP($A186,[1]Hugst!$R$5:$W$9,MATCH(ROUNDUP((P$1)/10,0)*10,[1]Hugst!$R$4:$W$4,0))))</f>
        <v>658.62753281171388</v>
      </c>
      <c r="Q186" s="168">
        <f ca="1">IF($C186-Q$1&lt;År1,0,P185*(1-VLOOKUP($A186,[1]Hugst!$R$5:$W$9,MATCH(ROUNDUP((Q$1)/10,0)*10,[1]Hugst!$R$4:$W$4,0))))</f>
        <v>660.08201697065158</v>
      </c>
      <c r="R186" s="168">
        <f ca="1">IF($C186-R$1&lt;År1,0,Q185*(1-VLOOKUP($A186,[1]Hugst!$R$5:$W$9,MATCH(ROUNDUP((R$1)/10,0)*10,[1]Hugst!$R$4:$W$4,0))))</f>
        <v>661.54381009519636</v>
      </c>
      <c r="S186" s="168">
        <f ca="1">IF($C186-S$1&lt;År1,0,R185*(1-VLOOKUP($A186,[1]Hugst!$R$5:$W$9,MATCH(ROUNDUP((S$1)/10,0)*10,[1]Hugst!$R$4:$W$4,0))))</f>
        <v>663.01294891383657</v>
      </c>
      <c r="T186" s="168">
        <f ca="1">IF($C186-T$1&lt;År1,0,S185*(1-VLOOKUP($A186,[1]Hugst!$R$5:$W$9,MATCH(ROUNDUP((T$1)/10,0)*10,[1]Hugst!$R$4:$W$4,0))))</f>
        <v>664.4894703396152</v>
      </c>
      <c r="U186" s="168">
        <f ca="1">IF($C186-U$1&lt;År1,0,T185*(1-VLOOKUP($A186,[1]Hugst!$R$5:$W$9,MATCH(ROUNDUP((U$1)/10,0)*10,[1]Hugst!$R$4:$W$4,0))))</f>
        <v>665.97341147103941</v>
      </c>
      <c r="V186" s="168">
        <f ca="1">IF($C186-V$1&lt;År1,0,U185*(1-VLOOKUP($A186,[1]Hugst!$R$5:$W$9,MATCH(ROUNDUP((V$1)/10,0)*10,[1]Hugst!$R$4:$W$4,0))))</f>
        <v>667.46480959307735</v>
      </c>
      <c r="W186" s="168">
        <f ca="1">IF($C186-W$1&lt;År1,0,V185*(1-VLOOKUP($A186,[1]Hugst!$R$5:$W$9,MATCH(ROUNDUP((W$1)/10,0)*10,[1]Hugst!$R$4:$W$4,0))))</f>
        <v>668.96370217804576</v>
      </c>
      <c r="X186" s="168">
        <f ca="1">IF($C186-X$1&lt;År1,0,W185*(1-VLOOKUP($A186,[1]Hugst!$R$5:$W$9,MATCH(ROUNDUP((X$1)/10,0)*10,[1]Hugst!$R$4:$W$4,0))))</f>
        <v>670.47012688654138</v>
      </c>
      <c r="Y186" s="168">
        <f ca="1">IF($C186-Y$1&lt;År1,0,X185*(1-VLOOKUP($A186,[1]Hugst!$R$5:$W$9,MATCH(ROUNDUP((Y$1)/10,0)*10,[1]Hugst!$R$4:$W$4,0))))</f>
        <v>671.98412156847519</v>
      </c>
      <c r="Z186" s="168">
        <f ca="1">IF($C186-Z$1&lt;År1,0,Y185*(1-VLOOKUP($A186,[1]Hugst!$R$5:$W$9,MATCH(ROUNDUP((Z$1)/10,0)*10,[1]Hugst!$R$4:$W$4,0))))</f>
        <v>673.505724263861</v>
      </c>
      <c r="AA186" s="168">
        <f ca="1">IF($C186-AA$1&lt;År1,0,Z185*(1-VLOOKUP($A186,[1]Hugst!$R$5:$W$9,MATCH(ROUNDUP((AA$1)/10,0)*10,[1]Hugst!$R$4:$W$4,0))))</f>
        <v>675.03497320395729</v>
      </c>
      <c r="AB186" s="168">
        <f ca="1">IF($C186-AB$1&lt;År1,0,AA185*(1-VLOOKUP($A186,[1]Hugst!$R$5:$W$9,MATCH(ROUNDUP((AB$1)/10,0)*10,[1]Hugst!$R$4:$W$4,0))))</f>
        <v>676.57190681208488</v>
      </c>
      <c r="AC186" s="168">
        <f ca="1">IF($C186-AC$1&lt;År1,0,AB185*(1-VLOOKUP($A186,[1]Hugst!$R$5:$W$9,MATCH(ROUNDUP((AC$1)/10,0)*10,[1]Hugst!$R$4:$W$4,0))))</f>
        <v>678.11656370469757</v>
      </c>
      <c r="AD186" s="168">
        <f ca="1">IF($C186-AD$1&lt;År1,0,AC185*(1-VLOOKUP($A186,[1]Hugst!$R$5:$W$9,MATCH(ROUNDUP((AD$1)/10,0)*10,[1]Hugst!$R$4:$W$4,0))))</f>
        <v>679.66898269221895</v>
      </c>
      <c r="AE186" s="168">
        <f ca="1">IF($C186-AE$1&lt;År1,0,AD185*(1-VLOOKUP($A186,[1]Hugst!$R$5:$W$9,MATCH(ROUNDUP((AE$1)/10,0)*10,[1]Hugst!$R$4:$W$4,0))))</f>
        <v>681.22920278019922</v>
      </c>
      <c r="AF186" s="168">
        <f ca="1">IF($C186-AF$1&lt;År1,0,AE185*(1-VLOOKUP($A186,[1]Hugst!$R$5:$W$9,MATCH(ROUNDUP((AF$1)/10,0)*10,[1]Hugst!$R$4:$W$4,0))))</f>
        <v>682.79726317011557</v>
      </c>
      <c r="AG186" s="168">
        <f ca="1">IF($C186-AG$1&lt;År1,0,AF185*(1-VLOOKUP($A186,[1]Hugst!$R$5:$W$9,MATCH(ROUNDUP((AG$1)/10,0)*10,[1]Hugst!$R$4:$W$4,0))))</f>
        <v>684.37320326049996</v>
      </c>
      <c r="AH186" s="168">
        <f ca="1">IF($C186-AH$1&lt;År1,0,AG185*(1-VLOOKUP($A186,[1]Hugst!$R$5:$W$9,MATCH(ROUNDUP((AH$1)/10,0)*10,[1]Hugst!$R$4:$W$4,0))))</f>
        <v>685.95706264781222</v>
      </c>
      <c r="AI186" s="168">
        <f ca="1">IF($C186-AI$1&lt;År1,0,AH185*(1-VLOOKUP($A186,[1]Hugst!$R$5:$W$9,MATCH(ROUNDUP((AI$1)/10,0)*10,[1]Hugst!$R$4:$W$4,0))))</f>
        <v>687.54888112752417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*VLOOKUP(A187,Skovbrug!$A$13:$D$17,IF('Skovbrug-alder'!C187&lt;=År2,3,4),FALSE)-IF(C187&gt;2020,SUM(INDEX($C$1:$D$311,MATCH(1,(2020=$C$1:$C$311)*(B187=$B$1:$B$311)*(A187=$A$1:$A$311),0),2):D186),0))</f>
        <v>273.91509126832534</v>
      </c>
      <c r="E187" s="168">
        <f t="shared" ca="1" si="3"/>
        <v>1.2500888747781573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644.35036532828815</v>
      </c>
      <c r="G187" s="168">
        <f ca="1">IF($C187-G$1&lt;År1,0,F186*(1-VLOOKUP($A187,[1]Hugst!$R$5:$W$9,MATCH(ROUNDUP((G$1)/10,0)*10,[1]Hugst!$R$4:$W$4,0))))</f>
        <v>644.47673419858108</v>
      </c>
      <c r="H187" s="168">
        <f ca="1">IF($C187-H$1&lt;År1,0,G186*(1-VLOOKUP($A187,[1]Hugst!$R$5:$W$9,MATCH(ROUNDUP((H$1)/10,0)*10,[1]Hugst!$R$4:$W$4,0))))</f>
        <v>645.86010881672917</v>
      </c>
      <c r="I187" s="168">
        <f ca="1">IF($C187-I$1&lt;År1,0,H186*(1-VLOOKUP($A187,[1]Hugst!$R$5:$W$9,MATCH(ROUNDUP((I$1)/10,0)*10,[1]Hugst!$R$4:$W$4,0))))</f>
        <v>647.25043506612781</v>
      </c>
      <c r="J187" s="168">
        <f ca="1">IF($C187-J$1&lt;År1,0,I186*(1-VLOOKUP($A187,[1]Hugst!$R$5:$W$9,MATCH(ROUNDUP((J$1)/10,0)*10,[1]Hugst!$R$4:$W$4,0))))</f>
        <v>648.64774787961721</v>
      </c>
      <c r="K187" s="168">
        <f ca="1">IF($C187-K$1&lt;År1,0,J186*(1-VLOOKUP($A187,[1]Hugst!$R$5:$W$9,MATCH(ROUNDUP((K$1)/10,0)*10,[1]Hugst!$R$4:$W$4,0))))</f>
        <v>650.05208236551186</v>
      </c>
      <c r="L187" s="168">
        <f ca="1">IF($C187-L$1&lt;År1,0,K186*(1-VLOOKUP($A187,[1]Hugst!$R$5:$W$9,MATCH(ROUNDUP((L$1)/10,0)*10,[1]Hugst!$R$4:$W$4,0))))</f>
        <v>651.46347380862642</v>
      </c>
      <c r="M187" s="168">
        <f ca="1">IF($C187-M$1&lt;År1,0,L186*(1-VLOOKUP($A187,[1]Hugst!$R$5:$W$9,MATCH(ROUNDUP((M$1)/10,0)*10,[1]Hugst!$R$4:$W$4,0))))</f>
        <v>652.88195767106151</v>
      </c>
      <c r="N187" s="168">
        <f ca="1">IF($C187-N$1&lt;År1,0,M186*(1-VLOOKUP($A187,[1]Hugst!$R$5:$W$9,MATCH(ROUNDUP((N$1)/10,0)*10,[1]Hugst!$R$4:$W$4,0))))</f>
        <v>654.30756959309872</v>
      </c>
      <c r="O187" s="168">
        <f ca="1">IF($C187-O$1&lt;År1,0,N186*(1-VLOOKUP($A187,[1]Hugst!$R$5:$W$9,MATCH(ROUNDUP((O$1)/10,0)*10,[1]Hugst!$R$4:$W$4,0))))</f>
        <v>655.7403453941464</v>
      </c>
      <c r="P187" s="168">
        <f ca="1">IF($C187-P$1&lt;År1,0,O186*(1-VLOOKUP($A187,[1]Hugst!$R$5:$W$9,MATCH(ROUNDUP((P$1)/10,0)*10,[1]Hugst!$R$4:$W$4,0))))</f>
        <v>657.18032107358374</v>
      </c>
      <c r="Q187" s="168">
        <f ca="1">IF($C187-Q$1&lt;År1,0,P186*(1-VLOOKUP($A187,[1]Hugst!$R$5:$W$9,MATCH(ROUNDUP((Q$1)/10,0)*10,[1]Hugst!$R$4:$W$4,0))))</f>
        <v>658.62753281171388</v>
      </c>
      <c r="R187" s="168">
        <f ca="1">IF($C187-R$1&lt;År1,0,Q186*(1-VLOOKUP($A187,[1]Hugst!$R$5:$W$9,MATCH(ROUNDUP((R$1)/10,0)*10,[1]Hugst!$R$4:$W$4,0))))</f>
        <v>660.08201697065158</v>
      </c>
      <c r="S187" s="168">
        <f ca="1">IF($C187-S$1&lt;År1,0,R186*(1-VLOOKUP($A187,[1]Hugst!$R$5:$W$9,MATCH(ROUNDUP((S$1)/10,0)*10,[1]Hugst!$R$4:$W$4,0))))</f>
        <v>661.54381009519636</v>
      </c>
      <c r="T187" s="168">
        <f ca="1">IF($C187-T$1&lt;År1,0,S186*(1-VLOOKUP($A187,[1]Hugst!$R$5:$W$9,MATCH(ROUNDUP((T$1)/10,0)*10,[1]Hugst!$R$4:$W$4,0))))</f>
        <v>663.01294891383657</v>
      </c>
      <c r="U187" s="168">
        <f ca="1">IF($C187-U$1&lt;År1,0,T186*(1-VLOOKUP($A187,[1]Hugst!$R$5:$W$9,MATCH(ROUNDUP((U$1)/10,0)*10,[1]Hugst!$R$4:$W$4,0))))</f>
        <v>664.4894703396152</v>
      </c>
      <c r="V187" s="168">
        <f ca="1">IF($C187-V$1&lt;År1,0,U186*(1-VLOOKUP($A187,[1]Hugst!$R$5:$W$9,MATCH(ROUNDUP((V$1)/10,0)*10,[1]Hugst!$R$4:$W$4,0))))</f>
        <v>665.97341147103941</v>
      </c>
      <c r="W187" s="168">
        <f ca="1">IF($C187-W$1&lt;År1,0,V186*(1-VLOOKUP($A187,[1]Hugst!$R$5:$W$9,MATCH(ROUNDUP((W$1)/10,0)*10,[1]Hugst!$R$4:$W$4,0))))</f>
        <v>667.46480959307735</v>
      </c>
      <c r="X187" s="168">
        <f ca="1">IF($C187-X$1&lt;År1,0,W186*(1-VLOOKUP($A187,[1]Hugst!$R$5:$W$9,MATCH(ROUNDUP((X$1)/10,0)*10,[1]Hugst!$R$4:$W$4,0))))</f>
        <v>668.96370217804576</v>
      </c>
      <c r="Y187" s="168">
        <f ca="1">IF($C187-Y$1&lt;År1,0,X186*(1-VLOOKUP($A187,[1]Hugst!$R$5:$W$9,MATCH(ROUNDUP((Y$1)/10,0)*10,[1]Hugst!$R$4:$W$4,0))))</f>
        <v>670.47012688654138</v>
      </c>
      <c r="Z187" s="168">
        <f ca="1">IF($C187-Z$1&lt;År1,0,Y186*(1-VLOOKUP($A187,[1]Hugst!$R$5:$W$9,MATCH(ROUNDUP((Z$1)/10,0)*10,[1]Hugst!$R$4:$W$4,0))))</f>
        <v>671.98412156847519</v>
      </c>
      <c r="AA187" s="168">
        <f ca="1">IF($C187-AA$1&lt;År1,0,Z186*(1-VLOOKUP($A187,[1]Hugst!$R$5:$W$9,MATCH(ROUNDUP((AA$1)/10,0)*10,[1]Hugst!$R$4:$W$4,0))))</f>
        <v>673.505724263861</v>
      </c>
      <c r="AB187" s="168">
        <f ca="1">IF($C187-AB$1&lt;År1,0,AA186*(1-VLOOKUP($A187,[1]Hugst!$R$5:$W$9,MATCH(ROUNDUP((AB$1)/10,0)*10,[1]Hugst!$R$4:$W$4,0))))</f>
        <v>675.03497320395729</v>
      </c>
      <c r="AC187" s="168">
        <f ca="1">IF($C187-AC$1&lt;År1,0,AB186*(1-VLOOKUP($A187,[1]Hugst!$R$5:$W$9,MATCH(ROUNDUP((AC$1)/10,0)*10,[1]Hugst!$R$4:$W$4,0))))</f>
        <v>676.57190681208488</v>
      </c>
      <c r="AD187" s="168">
        <f ca="1">IF($C187-AD$1&lt;År1,0,AC186*(1-VLOOKUP($A187,[1]Hugst!$R$5:$W$9,MATCH(ROUNDUP((AD$1)/10,0)*10,[1]Hugst!$R$4:$W$4,0))))</f>
        <v>678.11656370469757</v>
      </c>
      <c r="AE187" s="168">
        <f ca="1">IF($C187-AE$1&lt;År1,0,AD186*(1-VLOOKUP($A187,[1]Hugst!$R$5:$W$9,MATCH(ROUNDUP((AE$1)/10,0)*10,[1]Hugst!$R$4:$W$4,0))))</f>
        <v>679.66898269221895</v>
      </c>
      <c r="AF187" s="168">
        <f ca="1">IF($C187-AF$1&lt;År1,0,AE186*(1-VLOOKUP($A187,[1]Hugst!$R$5:$W$9,MATCH(ROUNDUP((AF$1)/10,0)*10,[1]Hugst!$R$4:$W$4,0))))</f>
        <v>681.22920278019922</v>
      </c>
      <c r="AG187" s="168">
        <f ca="1">IF($C187-AG$1&lt;År1,0,AF186*(1-VLOOKUP($A187,[1]Hugst!$R$5:$W$9,MATCH(ROUNDUP((AG$1)/10,0)*10,[1]Hugst!$R$4:$W$4,0))))</f>
        <v>682.79726317011557</v>
      </c>
      <c r="AH187" s="168">
        <f ca="1">IF($C187-AH$1&lt;År1,0,AG186*(1-VLOOKUP($A187,[1]Hugst!$R$5:$W$9,MATCH(ROUNDUP((AH$1)/10,0)*10,[1]Hugst!$R$4:$W$4,0))))</f>
        <v>684.37320326049996</v>
      </c>
      <c r="AI187" s="168">
        <f ca="1">IF($C187-AI$1&lt;År1,0,AH186*(1-VLOOKUP($A187,[1]Hugst!$R$5:$W$9,MATCH(ROUNDUP((AI$1)/10,0)*10,[1]Hugst!$R$4:$W$4,0))))</f>
        <v>685.95706264781222</v>
      </c>
      <c r="AJ187" s="168">
        <f ca="1">IF($C187-AJ$1&lt;År1,0,AI186*(1-VLOOKUP($A187,[1]Hugst!$R$5:$W$9,MATCH(ROUNDUP((AJ$1)/10,0)*10,[1]Hugst!$R$4:$W$4,0))))</f>
        <v>686.29879225274681</v>
      </c>
    </row>
    <row r="188" spans="1:36" x14ac:dyDescent="0.25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*VLOOKUP(A188,Skovbrug!$A$13:$D$17,IF('Skovbrug-alder'!C188&lt;=År2,3,4),FALSE)-IF(C188&gt;2020,SUM(INDEX($C$1:$D$311,MATCH(1,(2020=$C$1:$C$311)*(B188=$B$1:$B$311)*(A188=$A$1:$A$311),0),2):D187),0)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*VLOOKUP(A189,Skovbrug!$A$13:$D$17,IF('Skovbrug-alder'!C189&lt;=År2,3,4),FALSE)-IF(C189&gt;2020,SUM(INDEX($C$1:$D$311,MATCH(1,(2020=$C$1:$C$311)*(B189=$B$1:$B$311)*(A189=$A$1:$A$311),0),2):D188),0))</f>
        <v>0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8">
        <f ca="1">IF($C189-G$1&lt;År1,0,F188*(1-VLOOKUP($A189,[1]Hugst!$R$5:$W$9,MATCH(ROUNDUP((G$1)/10,0)*10,[1]Hugst!$R$4:$W$4,0))))</f>
        <v>0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*VLOOKUP(A190,Skovbrug!$A$13:$D$17,IF('Skovbrug-alder'!C190&lt;=År2,3,4),FALSE)-IF(C190&gt;2020,SUM(INDEX($C$1:$D$311,MATCH(1,(2020=$C$1:$C$311)*(B190=$B$1:$B$311)*(A190=$A$1:$A$311),0),2):D189),0))</f>
        <v>0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8">
        <f ca="1">IF($C190-G$1&lt;År1,0,F189*(1-VLOOKUP($A190,[1]Hugst!$R$5:$W$9,MATCH(ROUNDUP((G$1)/10,0)*10,[1]Hugst!$R$4:$W$4,0))))</f>
        <v>0</v>
      </c>
      <c r="H190" s="168">
        <f ca="1">IF($C190-H$1&lt;År1,0,G189*(1-VLOOKUP($A190,[1]Hugst!$R$5:$W$9,MATCH(ROUNDUP((H$1)/10,0)*10,[1]Hugst!$R$4:$W$4,0))))</f>
        <v>0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*VLOOKUP(A191,Skovbrug!$A$13:$D$17,IF('Skovbrug-alder'!C191&lt;=År2,3,4),FALSE)-IF(C191&gt;2020,SUM(INDEX($C$1:$D$311,MATCH(1,(2020=$C$1:$C$311)*(B191=$B$1:$B$311)*(A191=$A$1:$A$311),0),2):D190),0))</f>
        <v>0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8">
        <f ca="1">IF($C191-G$1&lt;År1,0,F190*(1-VLOOKUP($A191,[1]Hugst!$R$5:$W$9,MATCH(ROUNDUP((G$1)/10,0)*10,[1]Hugst!$R$4:$W$4,0))))</f>
        <v>0</v>
      </c>
      <c r="H191" s="168">
        <f ca="1">IF($C191-H$1&lt;År1,0,G190*(1-VLOOKUP($A191,[1]Hugst!$R$5:$W$9,MATCH(ROUNDUP((H$1)/10,0)*10,[1]Hugst!$R$4:$W$4,0))))</f>
        <v>0</v>
      </c>
      <c r="I191" s="168">
        <f ca="1">IF($C191-I$1&lt;År1,0,H190*(1-VLOOKUP($A191,[1]Hugst!$R$5:$W$9,MATCH(ROUNDUP((I$1)/10,0)*10,[1]Hugst!$R$4:$W$4,0))))</f>
        <v>0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*VLOOKUP(A192,Skovbrug!$A$13:$D$17,IF('Skovbrug-alder'!C192&lt;=År2,3,4),FALSE)-IF(C192&gt;2020,SUM(INDEX($C$1:$D$311,MATCH(1,(2020=$C$1:$C$311)*(B192=$B$1:$B$311)*(A192=$A$1:$A$311),0),2):D191),0))</f>
        <v>0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8">
        <f ca="1">IF($C192-G$1&lt;År1,0,F191*(1-VLOOKUP($A192,[1]Hugst!$R$5:$W$9,MATCH(ROUNDUP((G$1)/10,0)*10,[1]Hugst!$R$4:$W$4,0))))</f>
        <v>0</v>
      </c>
      <c r="H192" s="168">
        <f ca="1">IF($C192-H$1&lt;År1,0,G191*(1-VLOOKUP($A192,[1]Hugst!$R$5:$W$9,MATCH(ROUNDUP((H$1)/10,0)*10,[1]Hugst!$R$4:$W$4,0))))</f>
        <v>0</v>
      </c>
      <c r="I192" s="168">
        <f ca="1">IF($C192-I$1&lt;År1,0,H191*(1-VLOOKUP($A192,[1]Hugst!$R$5:$W$9,MATCH(ROUNDUP((I$1)/10,0)*10,[1]Hugst!$R$4:$W$4,0))))</f>
        <v>0</v>
      </c>
      <c r="J192" s="168">
        <f ca="1">IF($C192-J$1&lt;År1,0,I191*(1-VLOOKUP($A192,[1]Hugst!$R$5:$W$9,MATCH(ROUNDUP((J$1)/10,0)*10,[1]Hugst!$R$4:$W$4,0))))</f>
        <v>0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*VLOOKUP(A193,Skovbrug!$A$13:$D$17,IF('Skovbrug-alder'!C193&lt;=År2,3,4),FALSE)-IF(C193&gt;2020,SUM(INDEX($C$1:$D$311,MATCH(1,(2020=$C$1:$C$311)*(B193=$B$1:$B$311)*(A193=$A$1:$A$311),0),2):D192),0))</f>
        <v>0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8">
        <f ca="1">IF($C193-G$1&lt;År1,0,F192*(1-VLOOKUP($A193,[1]Hugst!$R$5:$W$9,MATCH(ROUNDUP((G$1)/10,0)*10,[1]Hugst!$R$4:$W$4,0))))</f>
        <v>0</v>
      </c>
      <c r="H193" s="168">
        <f ca="1">IF($C193-H$1&lt;År1,0,G192*(1-VLOOKUP($A193,[1]Hugst!$R$5:$W$9,MATCH(ROUNDUP((H$1)/10,0)*10,[1]Hugst!$R$4:$W$4,0))))</f>
        <v>0</v>
      </c>
      <c r="I193" s="168">
        <f ca="1">IF($C193-I$1&lt;År1,0,H192*(1-VLOOKUP($A193,[1]Hugst!$R$5:$W$9,MATCH(ROUNDUP((I$1)/10,0)*10,[1]Hugst!$R$4:$W$4,0))))</f>
        <v>0</v>
      </c>
      <c r="J193" s="168">
        <f ca="1">IF($C193-J$1&lt;År1,0,I192*(1-VLOOKUP($A193,[1]Hugst!$R$5:$W$9,MATCH(ROUNDUP((J$1)/10,0)*10,[1]Hugst!$R$4:$W$4,0))))</f>
        <v>0</v>
      </c>
      <c r="K193" s="168">
        <f ca="1">IF($C193-K$1&lt;År1,0,J192*(1-VLOOKUP($A193,[1]Hugst!$R$5:$W$9,MATCH(ROUNDUP((K$1)/10,0)*10,[1]Hugst!$R$4:$W$4,0))))</f>
        <v>0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*VLOOKUP(A194,Skovbrug!$A$13:$D$17,IF('Skovbrug-alder'!C194&lt;=År2,3,4),FALSE)-IF(C194&gt;2020,SUM(INDEX($C$1:$D$311,MATCH(1,(2020=$C$1:$C$311)*(B194=$B$1:$B$311)*(A194=$A$1:$A$311),0),2):D193),0))</f>
        <v>0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8">
        <f ca="1">IF($C194-G$1&lt;År1,0,F193*(1-VLOOKUP($A194,[1]Hugst!$R$5:$W$9,MATCH(ROUNDUP((G$1)/10,0)*10,[1]Hugst!$R$4:$W$4,0))))</f>
        <v>0</v>
      </c>
      <c r="H194" s="168">
        <f ca="1">IF($C194-H$1&lt;År1,0,G193*(1-VLOOKUP($A194,[1]Hugst!$R$5:$W$9,MATCH(ROUNDUP((H$1)/10,0)*10,[1]Hugst!$R$4:$W$4,0))))</f>
        <v>0</v>
      </c>
      <c r="I194" s="168">
        <f ca="1">IF($C194-I$1&lt;År1,0,H193*(1-VLOOKUP($A194,[1]Hugst!$R$5:$W$9,MATCH(ROUNDUP((I$1)/10,0)*10,[1]Hugst!$R$4:$W$4,0))))</f>
        <v>0</v>
      </c>
      <c r="J194" s="168">
        <f ca="1">IF($C194-J$1&lt;År1,0,I193*(1-VLOOKUP($A194,[1]Hugst!$R$5:$W$9,MATCH(ROUNDUP((J$1)/10,0)*10,[1]Hugst!$R$4:$W$4,0))))</f>
        <v>0</v>
      </c>
      <c r="K194" s="168">
        <f ca="1">IF($C194-K$1&lt;År1,0,J193*(1-VLOOKUP($A194,[1]Hugst!$R$5:$W$9,MATCH(ROUNDUP((K$1)/10,0)*10,[1]Hugst!$R$4:$W$4,0))))</f>
        <v>0</v>
      </c>
      <c r="L194" s="168">
        <f ca="1">IF($C194-L$1&lt;År1,0,K193*(1-VLOOKUP($A194,[1]Hugst!$R$5:$W$9,MATCH(ROUNDUP((L$1)/10,0)*10,[1]Hugst!$R$4:$W$4,0))))</f>
        <v>0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*VLOOKUP(A195,Skovbrug!$A$13:$D$17,IF('Skovbrug-alder'!C195&lt;=År2,3,4),FALSE)-IF(C195&gt;2020,SUM(INDEX($C$1:$D$311,MATCH(1,(2020=$C$1:$C$311)*(B195=$B$1:$B$311)*(A195=$A$1:$A$311),0),2):D194),0))</f>
        <v>0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8">
        <f ca="1">IF($C195-G$1&lt;År1,0,F194*(1-VLOOKUP($A195,[1]Hugst!$R$5:$W$9,MATCH(ROUNDUP((G$1)/10,0)*10,[1]Hugst!$R$4:$W$4,0))))</f>
        <v>0</v>
      </c>
      <c r="H195" s="168">
        <f ca="1">IF($C195-H$1&lt;År1,0,G194*(1-VLOOKUP($A195,[1]Hugst!$R$5:$W$9,MATCH(ROUNDUP((H$1)/10,0)*10,[1]Hugst!$R$4:$W$4,0))))</f>
        <v>0</v>
      </c>
      <c r="I195" s="168">
        <f ca="1">IF($C195-I$1&lt;År1,0,H194*(1-VLOOKUP($A195,[1]Hugst!$R$5:$W$9,MATCH(ROUNDUP((I$1)/10,0)*10,[1]Hugst!$R$4:$W$4,0))))</f>
        <v>0</v>
      </c>
      <c r="J195" s="168">
        <f ca="1">IF($C195-J$1&lt;År1,0,I194*(1-VLOOKUP($A195,[1]Hugst!$R$5:$W$9,MATCH(ROUNDUP((J$1)/10,0)*10,[1]Hugst!$R$4:$W$4,0))))</f>
        <v>0</v>
      </c>
      <c r="K195" s="168">
        <f ca="1">IF($C195-K$1&lt;År1,0,J194*(1-VLOOKUP($A195,[1]Hugst!$R$5:$W$9,MATCH(ROUNDUP((K$1)/10,0)*10,[1]Hugst!$R$4:$W$4,0))))</f>
        <v>0</v>
      </c>
      <c r="L195" s="168">
        <f ca="1">IF($C195-L$1&lt;År1,0,K194*(1-VLOOKUP($A195,[1]Hugst!$R$5:$W$9,MATCH(ROUNDUP((L$1)/10,0)*10,[1]Hugst!$R$4:$W$4,0))))</f>
        <v>0</v>
      </c>
      <c r="M195" s="168">
        <f ca="1">IF($C195-M$1&lt;År1,0,L194*(1-VLOOKUP($A195,[1]Hugst!$R$5:$W$9,MATCH(ROUNDUP((M$1)/10,0)*10,[1]Hugst!$R$4:$W$4,0))))</f>
        <v>0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*VLOOKUP(A196,Skovbrug!$A$13:$D$17,IF('Skovbrug-alder'!C196&lt;=År2,3,4),FALSE)-IF(C196&gt;2020,SUM(INDEX($C$1:$D$311,MATCH(1,(2020=$C$1:$C$311)*(B196=$B$1:$B$311)*(A196=$A$1:$A$311),0),2):D195),0))</f>
        <v>0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8">
        <f ca="1">IF($C196-G$1&lt;År1,0,F195*(1-VLOOKUP($A196,[1]Hugst!$R$5:$W$9,MATCH(ROUNDUP((G$1)/10,0)*10,[1]Hugst!$R$4:$W$4,0))))</f>
        <v>0</v>
      </c>
      <c r="H196" s="168">
        <f ca="1">IF($C196-H$1&lt;År1,0,G195*(1-VLOOKUP($A196,[1]Hugst!$R$5:$W$9,MATCH(ROUNDUP((H$1)/10,0)*10,[1]Hugst!$R$4:$W$4,0))))</f>
        <v>0</v>
      </c>
      <c r="I196" s="168">
        <f ca="1">IF($C196-I$1&lt;År1,0,H195*(1-VLOOKUP($A196,[1]Hugst!$R$5:$W$9,MATCH(ROUNDUP((I$1)/10,0)*10,[1]Hugst!$R$4:$W$4,0))))</f>
        <v>0</v>
      </c>
      <c r="J196" s="168">
        <f ca="1">IF($C196-J$1&lt;År1,0,I195*(1-VLOOKUP($A196,[1]Hugst!$R$5:$W$9,MATCH(ROUNDUP((J$1)/10,0)*10,[1]Hugst!$R$4:$W$4,0))))</f>
        <v>0</v>
      </c>
      <c r="K196" s="168">
        <f ca="1">IF($C196-K$1&lt;År1,0,J195*(1-VLOOKUP($A196,[1]Hugst!$R$5:$W$9,MATCH(ROUNDUP((K$1)/10,0)*10,[1]Hugst!$R$4:$W$4,0))))</f>
        <v>0</v>
      </c>
      <c r="L196" s="168">
        <f ca="1">IF($C196-L$1&lt;År1,0,K195*(1-VLOOKUP($A196,[1]Hugst!$R$5:$W$9,MATCH(ROUNDUP((L$1)/10,0)*10,[1]Hugst!$R$4:$W$4,0))))</f>
        <v>0</v>
      </c>
      <c r="M196" s="168">
        <f ca="1">IF($C196-M$1&lt;År1,0,L195*(1-VLOOKUP($A196,[1]Hugst!$R$5:$W$9,MATCH(ROUNDUP((M$1)/10,0)*10,[1]Hugst!$R$4:$W$4,0))))</f>
        <v>0</v>
      </c>
      <c r="N196" s="168">
        <f ca="1">IF($C196-N$1&lt;År1,0,M195*(1-VLOOKUP($A196,[1]Hugst!$R$5:$W$9,MATCH(ROUNDUP((N$1)/10,0)*10,[1]Hugst!$R$4:$W$4,0))))</f>
        <v>0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*VLOOKUP(A197,Skovbrug!$A$13:$D$17,IF('Skovbrug-alder'!C197&lt;=År2,3,4),FALSE)-IF(C197&gt;2020,SUM(INDEX($C$1:$D$311,MATCH(1,(2020=$C$1:$C$311)*(B197=$B$1:$B$311)*(A197=$A$1:$A$311),0),2):D196),0))</f>
        <v>0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8">
        <f ca="1">IF($C197-G$1&lt;År1,0,F196*(1-VLOOKUP($A197,[1]Hugst!$R$5:$W$9,MATCH(ROUNDUP((G$1)/10,0)*10,[1]Hugst!$R$4:$W$4,0))))</f>
        <v>0</v>
      </c>
      <c r="H197" s="168">
        <f ca="1">IF($C197-H$1&lt;År1,0,G196*(1-VLOOKUP($A197,[1]Hugst!$R$5:$W$9,MATCH(ROUNDUP((H$1)/10,0)*10,[1]Hugst!$R$4:$W$4,0))))</f>
        <v>0</v>
      </c>
      <c r="I197" s="168">
        <f ca="1">IF($C197-I$1&lt;År1,0,H196*(1-VLOOKUP($A197,[1]Hugst!$R$5:$W$9,MATCH(ROUNDUP((I$1)/10,0)*10,[1]Hugst!$R$4:$W$4,0))))</f>
        <v>0</v>
      </c>
      <c r="J197" s="168">
        <f ca="1">IF($C197-J$1&lt;År1,0,I196*(1-VLOOKUP($A197,[1]Hugst!$R$5:$W$9,MATCH(ROUNDUP((J$1)/10,0)*10,[1]Hugst!$R$4:$W$4,0))))</f>
        <v>0</v>
      </c>
      <c r="K197" s="168">
        <f ca="1">IF($C197-K$1&lt;År1,0,J196*(1-VLOOKUP($A197,[1]Hugst!$R$5:$W$9,MATCH(ROUNDUP((K$1)/10,0)*10,[1]Hugst!$R$4:$W$4,0))))</f>
        <v>0</v>
      </c>
      <c r="L197" s="168">
        <f ca="1">IF($C197-L$1&lt;År1,0,K196*(1-VLOOKUP($A197,[1]Hugst!$R$5:$W$9,MATCH(ROUNDUP((L$1)/10,0)*10,[1]Hugst!$R$4:$W$4,0))))</f>
        <v>0</v>
      </c>
      <c r="M197" s="168">
        <f ca="1">IF($C197-M$1&lt;År1,0,L196*(1-VLOOKUP($A197,[1]Hugst!$R$5:$W$9,MATCH(ROUNDUP((M$1)/10,0)*10,[1]Hugst!$R$4:$W$4,0))))</f>
        <v>0</v>
      </c>
      <c r="N197" s="168">
        <f ca="1">IF($C197-N$1&lt;År1,0,M196*(1-VLOOKUP($A197,[1]Hugst!$R$5:$W$9,MATCH(ROUNDUP((N$1)/10,0)*10,[1]Hugst!$R$4:$W$4,0))))</f>
        <v>0</v>
      </c>
      <c r="O197" s="168">
        <f ca="1">IF($C197-O$1&lt;År1,0,N196*(1-VLOOKUP($A197,[1]Hugst!$R$5:$W$9,MATCH(ROUNDUP((O$1)/10,0)*10,[1]Hugst!$R$4:$W$4,0))))</f>
        <v>0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*VLOOKUP(A198,Skovbrug!$A$13:$D$17,IF('Skovbrug-alder'!C198&lt;=År2,3,4),FALSE)-IF(C198&gt;2020,SUM(INDEX($C$1:$D$311,MATCH(1,(2020=$C$1:$C$311)*(B198=$B$1:$B$311)*(A198=$A$1:$A$311),0),2):D197),0))</f>
        <v>0</v>
      </c>
      <c r="E198" s="168">
        <f t="shared" ca="1" si="4"/>
        <v>0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8">
        <f ca="1">IF($C198-G$1&lt;År1,0,F197*(1-VLOOKUP($A198,[1]Hugst!$R$5:$W$9,MATCH(ROUNDUP((G$1)/10,0)*10,[1]Hugst!$R$4:$W$4,0))))</f>
        <v>0</v>
      </c>
      <c r="H198" s="168">
        <f ca="1">IF($C198-H$1&lt;År1,0,G197*(1-VLOOKUP($A198,[1]Hugst!$R$5:$W$9,MATCH(ROUNDUP((H$1)/10,0)*10,[1]Hugst!$R$4:$W$4,0))))</f>
        <v>0</v>
      </c>
      <c r="I198" s="168">
        <f ca="1">IF($C198-I$1&lt;År1,0,H197*(1-VLOOKUP($A198,[1]Hugst!$R$5:$W$9,MATCH(ROUNDUP((I$1)/10,0)*10,[1]Hugst!$R$4:$W$4,0))))</f>
        <v>0</v>
      </c>
      <c r="J198" s="168">
        <f ca="1">IF($C198-J$1&lt;År1,0,I197*(1-VLOOKUP($A198,[1]Hugst!$R$5:$W$9,MATCH(ROUNDUP((J$1)/10,0)*10,[1]Hugst!$R$4:$W$4,0))))</f>
        <v>0</v>
      </c>
      <c r="K198" s="168">
        <f ca="1">IF($C198-K$1&lt;År1,0,J197*(1-VLOOKUP($A198,[1]Hugst!$R$5:$W$9,MATCH(ROUNDUP((K$1)/10,0)*10,[1]Hugst!$R$4:$W$4,0))))</f>
        <v>0</v>
      </c>
      <c r="L198" s="168">
        <f ca="1">IF($C198-L$1&lt;År1,0,K197*(1-VLOOKUP($A198,[1]Hugst!$R$5:$W$9,MATCH(ROUNDUP((L$1)/10,0)*10,[1]Hugst!$R$4:$W$4,0))))</f>
        <v>0</v>
      </c>
      <c r="M198" s="168">
        <f ca="1">IF($C198-M$1&lt;År1,0,L197*(1-VLOOKUP($A198,[1]Hugst!$R$5:$W$9,MATCH(ROUNDUP((M$1)/10,0)*10,[1]Hugst!$R$4:$W$4,0))))</f>
        <v>0</v>
      </c>
      <c r="N198" s="168">
        <f ca="1">IF($C198-N$1&lt;År1,0,M197*(1-VLOOKUP($A198,[1]Hugst!$R$5:$W$9,MATCH(ROUNDUP((N$1)/10,0)*10,[1]Hugst!$R$4:$W$4,0))))</f>
        <v>0</v>
      </c>
      <c r="O198" s="168">
        <f ca="1">IF($C198-O$1&lt;År1,0,N197*(1-VLOOKUP($A198,[1]Hugst!$R$5:$W$9,MATCH(ROUNDUP((O$1)/10,0)*10,[1]Hugst!$R$4:$W$4,0))))</f>
        <v>0</v>
      </c>
      <c r="P198" s="168">
        <f ca="1">IF($C198-P$1&lt;År1,0,O197*(1-VLOOKUP($A198,[1]Hugst!$R$5:$W$9,MATCH(ROUNDUP((P$1)/10,0)*10,[1]Hugst!$R$4:$W$4,0))))</f>
        <v>0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*VLOOKUP(A199,Skovbrug!$A$13:$D$17,IF('Skovbrug-alder'!C199&lt;=År2,3,4),FALSE)-IF(C199&gt;2020,SUM(INDEX($C$1:$D$311,MATCH(1,(2020=$C$1:$C$311)*(B199=$B$1:$B$311)*(A199=$A$1:$A$311),0),2):D198),0))</f>
        <v>0</v>
      </c>
      <c r="E199" s="168">
        <f t="shared" ca="1" si="4"/>
        <v>0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8">
        <f ca="1">IF($C199-G$1&lt;År1,0,F198*(1-VLOOKUP($A199,[1]Hugst!$R$5:$W$9,MATCH(ROUNDUP((G$1)/10,0)*10,[1]Hugst!$R$4:$W$4,0))))</f>
        <v>0</v>
      </c>
      <c r="H199" s="168">
        <f ca="1">IF($C199-H$1&lt;År1,0,G198*(1-VLOOKUP($A199,[1]Hugst!$R$5:$W$9,MATCH(ROUNDUP((H$1)/10,0)*10,[1]Hugst!$R$4:$W$4,0))))</f>
        <v>0</v>
      </c>
      <c r="I199" s="168">
        <f ca="1">IF($C199-I$1&lt;År1,0,H198*(1-VLOOKUP($A199,[1]Hugst!$R$5:$W$9,MATCH(ROUNDUP((I$1)/10,0)*10,[1]Hugst!$R$4:$W$4,0))))</f>
        <v>0</v>
      </c>
      <c r="J199" s="168">
        <f ca="1">IF($C199-J$1&lt;År1,0,I198*(1-VLOOKUP($A199,[1]Hugst!$R$5:$W$9,MATCH(ROUNDUP((J$1)/10,0)*10,[1]Hugst!$R$4:$W$4,0))))</f>
        <v>0</v>
      </c>
      <c r="K199" s="168">
        <f ca="1">IF($C199-K$1&lt;År1,0,J198*(1-VLOOKUP($A199,[1]Hugst!$R$5:$W$9,MATCH(ROUNDUP((K$1)/10,0)*10,[1]Hugst!$R$4:$W$4,0))))</f>
        <v>0</v>
      </c>
      <c r="L199" s="168">
        <f ca="1">IF($C199-L$1&lt;År1,0,K198*(1-VLOOKUP($A199,[1]Hugst!$R$5:$W$9,MATCH(ROUNDUP((L$1)/10,0)*10,[1]Hugst!$R$4:$W$4,0))))</f>
        <v>0</v>
      </c>
      <c r="M199" s="168">
        <f ca="1">IF($C199-M$1&lt;År1,0,L198*(1-VLOOKUP($A199,[1]Hugst!$R$5:$W$9,MATCH(ROUNDUP((M$1)/10,0)*10,[1]Hugst!$R$4:$W$4,0))))</f>
        <v>0</v>
      </c>
      <c r="N199" s="168">
        <f ca="1">IF($C199-N$1&lt;År1,0,M198*(1-VLOOKUP($A199,[1]Hugst!$R$5:$W$9,MATCH(ROUNDUP((N$1)/10,0)*10,[1]Hugst!$R$4:$W$4,0))))</f>
        <v>0</v>
      </c>
      <c r="O199" s="168">
        <f ca="1">IF($C199-O$1&lt;År1,0,N198*(1-VLOOKUP($A199,[1]Hugst!$R$5:$W$9,MATCH(ROUNDUP((O$1)/10,0)*10,[1]Hugst!$R$4:$W$4,0))))</f>
        <v>0</v>
      </c>
      <c r="P199" s="168">
        <f ca="1">IF($C199-P$1&lt;År1,0,O198*(1-VLOOKUP($A199,[1]Hugst!$R$5:$W$9,MATCH(ROUNDUP((P$1)/10,0)*10,[1]Hugst!$R$4:$W$4,0))))</f>
        <v>0</v>
      </c>
      <c r="Q199" s="168">
        <f ca="1">IF($C199-Q$1&lt;År1,0,P198*(1-VLOOKUP($A199,[1]Hugst!$R$5:$W$9,MATCH(ROUNDUP((Q$1)/10,0)*10,[1]Hugst!$R$4:$W$4,0))))</f>
        <v>0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*VLOOKUP(A200,Skovbrug!$A$13:$D$17,IF('Skovbrug-alder'!C200&lt;=År2,3,4),FALSE)-IF(C200&gt;2020,SUM(INDEX($C$1:$D$311,MATCH(1,(2020=$C$1:$C$311)*(B200=$B$1:$B$311)*(A200=$A$1:$A$311),0),2):D199),0))</f>
        <v>0</v>
      </c>
      <c r="E200" s="168">
        <f t="shared" ca="1" si="4"/>
        <v>0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8">
        <f ca="1">IF($C200-G$1&lt;År1,0,F199*(1-VLOOKUP($A200,[1]Hugst!$R$5:$W$9,MATCH(ROUNDUP((G$1)/10,0)*10,[1]Hugst!$R$4:$W$4,0))))</f>
        <v>0</v>
      </c>
      <c r="H200" s="168">
        <f ca="1">IF($C200-H$1&lt;År1,0,G199*(1-VLOOKUP($A200,[1]Hugst!$R$5:$W$9,MATCH(ROUNDUP((H$1)/10,0)*10,[1]Hugst!$R$4:$W$4,0))))</f>
        <v>0</v>
      </c>
      <c r="I200" s="168">
        <f ca="1">IF($C200-I$1&lt;År1,0,H199*(1-VLOOKUP($A200,[1]Hugst!$R$5:$W$9,MATCH(ROUNDUP((I$1)/10,0)*10,[1]Hugst!$R$4:$W$4,0))))</f>
        <v>0</v>
      </c>
      <c r="J200" s="168">
        <f ca="1">IF($C200-J$1&lt;År1,0,I199*(1-VLOOKUP($A200,[1]Hugst!$R$5:$W$9,MATCH(ROUNDUP((J$1)/10,0)*10,[1]Hugst!$R$4:$W$4,0))))</f>
        <v>0</v>
      </c>
      <c r="K200" s="168">
        <f ca="1">IF($C200-K$1&lt;År1,0,J199*(1-VLOOKUP($A200,[1]Hugst!$R$5:$W$9,MATCH(ROUNDUP((K$1)/10,0)*10,[1]Hugst!$R$4:$W$4,0))))</f>
        <v>0</v>
      </c>
      <c r="L200" s="168">
        <f ca="1">IF($C200-L$1&lt;År1,0,K199*(1-VLOOKUP($A200,[1]Hugst!$R$5:$W$9,MATCH(ROUNDUP((L$1)/10,0)*10,[1]Hugst!$R$4:$W$4,0))))</f>
        <v>0</v>
      </c>
      <c r="M200" s="168">
        <f ca="1">IF($C200-M$1&lt;År1,0,L199*(1-VLOOKUP($A200,[1]Hugst!$R$5:$W$9,MATCH(ROUNDUP((M$1)/10,0)*10,[1]Hugst!$R$4:$W$4,0))))</f>
        <v>0</v>
      </c>
      <c r="N200" s="168">
        <f ca="1">IF($C200-N$1&lt;År1,0,M199*(1-VLOOKUP($A200,[1]Hugst!$R$5:$W$9,MATCH(ROUNDUP((N$1)/10,0)*10,[1]Hugst!$R$4:$W$4,0))))</f>
        <v>0</v>
      </c>
      <c r="O200" s="168">
        <f ca="1">IF($C200-O$1&lt;År1,0,N199*(1-VLOOKUP($A200,[1]Hugst!$R$5:$W$9,MATCH(ROUNDUP((O$1)/10,0)*10,[1]Hugst!$R$4:$W$4,0))))</f>
        <v>0</v>
      </c>
      <c r="P200" s="168">
        <f ca="1">IF($C200-P$1&lt;År1,0,O199*(1-VLOOKUP($A200,[1]Hugst!$R$5:$W$9,MATCH(ROUNDUP((P$1)/10,0)*10,[1]Hugst!$R$4:$W$4,0))))</f>
        <v>0</v>
      </c>
      <c r="Q200" s="168">
        <f ca="1">IF($C200-Q$1&lt;År1,0,P199*(1-VLOOKUP($A200,[1]Hugst!$R$5:$W$9,MATCH(ROUNDUP((Q$1)/10,0)*10,[1]Hugst!$R$4:$W$4,0))))</f>
        <v>0</v>
      </c>
      <c r="R200" s="168">
        <f ca="1">IF($C200-R$1&lt;År1,0,Q199*(1-VLOOKUP($A200,[1]Hugst!$R$5:$W$9,MATCH(ROUNDUP((R$1)/10,0)*10,[1]Hugst!$R$4:$W$4,0))))</f>
        <v>0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*VLOOKUP(A201,Skovbrug!$A$13:$D$17,IF('Skovbrug-alder'!C201&lt;=År2,3,4),FALSE)-IF(C201&gt;2020,SUM(INDEX($C$1:$D$311,MATCH(1,(2020=$C$1:$C$311)*(B201=$B$1:$B$311)*(A201=$A$1:$A$311),0),2):D200),0))</f>
        <v>0</v>
      </c>
      <c r="E201" s="168">
        <f t="shared" ca="1" si="4"/>
        <v>0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8">
        <f ca="1">IF($C201-G$1&lt;År1,0,F200*(1-VLOOKUP($A201,[1]Hugst!$R$5:$W$9,MATCH(ROUNDUP((G$1)/10,0)*10,[1]Hugst!$R$4:$W$4,0))))</f>
        <v>0</v>
      </c>
      <c r="H201" s="168">
        <f ca="1">IF($C201-H$1&lt;År1,0,G200*(1-VLOOKUP($A201,[1]Hugst!$R$5:$W$9,MATCH(ROUNDUP((H$1)/10,0)*10,[1]Hugst!$R$4:$W$4,0))))</f>
        <v>0</v>
      </c>
      <c r="I201" s="168">
        <f ca="1">IF($C201-I$1&lt;År1,0,H200*(1-VLOOKUP($A201,[1]Hugst!$R$5:$W$9,MATCH(ROUNDUP((I$1)/10,0)*10,[1]Hugst!$R$4:$W$4,0))))</f>
        <v>0</v>
      </c>
      <c r="J201" s="168">
        <f ca="1">IF($C201-J$1&lt;År1,0,I200*(1-VLOOKUP($A201,[1]Hugst!$R$5:$W$9,MATCH(ROUNDUP((J$1)/10,0)*10,[1]Hugst!$R$4:$W$4,0))))</f>
        <v>0</v>
      </c>
      <c r="K201" s="168">
        <f ca="1">IF($C201-K$1&lt;År1,0,J200*(1-VLOOKUP($A201,[1]Hugst!$R$5:$W$9,MATCH(ROUNDUP((K$1)/10,0)*10,[1]Hugst!$R$4:$W$4,0))))</f>
        <v>0</v>
      </c>
      <c r="L201" s="168">
        <f ca="1">IF($C201-L$1&lt;År1,0,K200*(1-VLOOKUP($A201,[1]Hugst!$R$5:$W$9,MATCH(ROUNDUP((L$1)/10,0)*10,[1]Hugst!$R$4:$W$4,0))))</f>
        <v>0</v>
      </c>
      <c r="M201" s="168">
        <f ca="1">IF($C201-M$1&lt;År1,0,L200*(1-VLOOKUP($A201,[1]Hugst!$R$5:$W$9,MATCH(ROUNDUP((M$1)/10,0)*10,[1]Hugst!$R$4:$W$4,0))))</f>
        <v>0</v>
      </c>
      <c r="N201" s="168">
        <f ca="1">IF($C201-N$1&lt;År1,0,M200*(1-VLOOKUP($A201,[1]Hugst!$R$5:$W$9,MATCH(ROUNDUP((N$1)/10,0)*10,[1]Hugst!$R$4:$W$4,0))))</f>
        <v>0</v>
      </c>
      <c r="O201" s="168">
        <f ca="1">IF($C201-O$1&lt;År1,0,N200*(1-VLOOKUP($A201,[1]Hugst!$R$5:$W$9,MATCH(ROUNDUP((O$1)/10,0)*10,[1]Hugst!$R$4:$W$4,0))))</f>
        <v>0</v>
      </c>
      <c r="P201" s="168">
        <f ca="1">IF($C201-P$1&lt;År1,0,O200*(1-VLOOKUP($A201,[1]Hugst!$R$5:$W$9,MATCH(ROUNDUP((P$1)/10,0)*10,[1]Hugst!$R$4:$W$4,0))))</f>
        <v>0</v>
      </c>
      <c r="Q201" s="168">
        <f ca="1">IF($C201-Q$1&lt;År1,0,P200*(1-VLOOKUP($A201,[1]Hugst!$R$5:$W$9,MATCH(ROUNDUP((Q$1)/10,0)*10,[1]Hugst!$R$4:$W$4,0))))</f>
        <v>0</v>
      </c>
      <c r="R201" s="168">
        <f ca="1">IF($C201-R$1&lt;År1,0,Q200*(1-VLOOKUP($A201,[1]Hugst!$R$5:$W$9,MATCH(ROUNDUP((R$1)/10,0)*10,[1]Hugst!$R$4:$W$4,0))))</f>
        <v>0</v>
      </c>
      <c r="S201" s="168">
        <f ca="1">IF($C201-S$1&lt;År1,0,R200*(1-VLOOKUP($A201,[1]Hugst!$R$5:$W$9,MATCH(ROUNDUP((S$1)/10,0)*10,[1]Hugst!$R$4:$W$4,0))))</f>
        <v>0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*VLOOKUP(A202,Skovbrug!$A$13:$D$17,IF('Skovbrug-alder'!C202&lt;=År2,3,4),FALSE)-IF(C202&gt;2020,SUM(INDEX($C$1:$D$311,MATCH(1,(2020=$C$1:$C$311)*(B202=$B$1:$B$311)*(A202=$A$1:$A$311),0),2):D201),0))</f>
        <v>0</v>
      </c>
      <c r="E202" s="168">
        <f t="shared" ca="1" si="4"/>
        <v>0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8">
        <f ca="1">IF($C202-G$1&lt;År1,0,F201*(1-VLOOKUP($A202,[1]Hugst!$R$5:$W$9,MATCH(ROUNDUP((G$1)/10,0)*10,[1]Hugst!$R$4:$W$4,0))))</f>
        <v>0</v>
      </c>
      <c r="H202" s="168">
        <f ca="1">IF($C202-H$1&lt;År1,0,G201*(1-VLOOKUP($A202,[1]Hugst!$R$5:$W$9,MATCH(ROUNDUP((H$1)/10,0)*10,[1]Hugst!$R$4:$W$4,0))))</f>
        <v>0</v>
      </c>
      <c r="I202" s="168">
        <f ca="1">IF($C202-I$1&lt;År1,0,H201*(1-VLOOKUP($A202,[1]Hugst!$R$5:$W$9,MATCH(ROUNDUP((I$1)/10,0)*10,[1]Hugst!$R$4:$W$4,0))))</f>
        <v>0</v>
      </c>
      <c r="J202" s="168">
        <f ca="1">IF($C202-J$1&lt;År1,0,I201*(1-VLOOKUP($A202,[1]Hugst!$R$5:$W$9,MATCH(ROUNDUP((J$1)/10,0)*10,[1]Hugst!$R$4:$W$4,0))))</f>
        <v>0</v>
      </c>
      <c r="K202" s="168">
        <f ca="1">IF($C202-K$1&lt;År1,0,J201*(1-VLOOKUP($A202,[1]Hugst!$R$5:$W$9,MATCH(ROUNDUP((K$1)/10,0)*10,[1]Hugst!$R$4:$W$4,0))))</f>
        <v>0</v>
      </c>
      <c r="L202" s="168">
        <f ca="1">IF($C202-L$1&lt;År1,0,K201*(1-VLOOKUP($A202,[1]Hugst!$R$5:$W$9,MATCH(ROUNDUP((L$1)/10,0)*10,[1]Hugst!$R$4:$W$4,0))))</f>
        <v>0</v>
      </c>
      <c r="M202" s="168">
        <f ca="1">IF($C202-M$1&lt;År1,0,L201*(1-VLOOKUP($A202,[1]Hugst!$R$5:$W$9,MATCH(ROUNDUP((M$1)/10,0)*10,[1]Hugst!$R$4:$W$4,0))))</f>
        <v>0</v>
      </c>
      <c r="N202" s="168">
        <f ca="1">IF($C202-N$1&lt;År1,0,M201*(1-VLOOKUP($A202,[1]Hugst!$R$5:$W$9,MATCH(ROUNDUP((N$1)/10,0)*10,[1]Hugst!$R$4:$W$4,0))))</f>
        <v>0</v>
      </c>
      <c r="O202" s="168">
        <f ca="1">IF($C202-O$1&lt;År1,0,N201*(1-VLOOKUP($A202,[1]Hugst!$R$5:$W$9,MATCH(ROUNDUP((O$1)/10,0)*10,[1]Hugst!$R$4:$W$4,0))))</f>
        <v>0</v>
      </c>
      <c r="P202" s="168">
        <f ca="1">IF($C202-P$1&lt;År1,0,O201*(1-VLOOKUP($A202,[1]Hugst!$R$5:$W$9,MATCH(ROUNDUP((P$1)/10,0)*10,[1]Hugst!$R$4:$W$4,0))))</f>
        <v>0</v>
      </c>
      <c r="Q202" s="168">
        <f ca="1">IF($C202-Q$1&lt;År1,0,P201*(1-VLOOKUP($A202,[1]Hugst!$R$5:$W$9,MATCH(ROUNDUP((Q$1)/10,0)*10,[1]Hugst!$R$4:$W$4,0))))</f>
        <v>0</v>
      </c>
      <c r="R202" s="168">
        <f ca="1">IF($C202-R$1&lt;År1,0,Q201*(1-VLOOKUP($A202,[1]Hugst!$R$5:$W$9,MATCH(ROUNDUP((R$1)/10,0)*10,[1]Hugst!$R$4:$W$4,0))))</f>
        <v>0</v>
      </c>
      <c r="S202" s="168">
        <f ca="1">IF($C202-S$1&lt;År1,0,R201*(1-VLOOKUP($A202,[1]Hugst!$R$5:$W$9,MATCH(ROUNDUP((S$1)/10,0)*10,[1]Hugst!$R$4:$W$4,0))))</f>
        <v>0</v>
      </c>
      <c r="T202" s="168">
        <f ca="1">IF($C202-T$1&lt;År1,0,S201*(1-VLOOKUP($A202,[1]Hugst!$R$5:$W$9,MATCH(ROUNDUP((T$1)/10,0)*10,[1]Hugst!$R$4:$W$4,0))))</f>
        <v>0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*VLOOKUP(A203,Skovbrug!$A$13:$D$17,IF('Skovbrug-alder'!C203&lt;=År2,3,4),FALSE)-IF(C203&gt;2020,SUM(INDEX($C$1:$D$311,MATCH(1,(2020=$C$1:$C$311)*(B203=$B$1:$B$311)*(A203=$A$1:$A$311),0),2):D202),0))</f>
        <v>0</v>
      </c>
      <c r="E203" s="168">
        <f t="shared" ca="1" si="4"/>
        <v>0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8">
        <f ca="1">IF($C203-G$1&lt;År1,0,F202*(1-VLOOKUP($A203,[1]Hugst!$R$5:$W$9,MATCH(ROUNDUP((G$1)/10,0)*10,[1]Hugst!$R$4:$W$4,0))))</f>
        <v>0</v>
      </c>
      <c r="H203" s="168">
        <f ca="1">IF($C203-H$1&lt;År1,0,G202*(1-VLOOKUP($A203,[1]Hugst!$R$5:$W$9,MATCH(ROUNDUP((H$1)/10,0)*10,[1]Hugst!$R$4:$W$4,0))))</f>
        <v>0</v>
      </c>
      <c r="I203" s="168">
        <f ca="1">IF($C203-I$1&lt;År1,0,H202*(1-VLOOKUP($A203,[1]Hugst!$R$5:$W$9,MATCH(ROUNDUP((I$1)/10,0)*10,[1]Hugst!$R$4:$W$4,0))))</f>
        <v>0</v>
      </c>
      <c r="J203" s="168">
        <f ca="1">IF($C203-J$1&lt;År1,0,I202*(1-VLOOKUP($A203,[1]Hugst!$R$5:$W$9,MATCH(ROUNDUP((J$1)/10,0)*10,[1]Hugst!$R$4:$W$4,0))))</f>
        <v>0</v>
      </c>
      <c r="K203" s="168">
        <f ca="1">IF($C203-K$1&lt;År1,0,J202*(1-VLOOKUP($A203,[1]Hugst!$R$5:$W$9,MATCH(ROUNDUP((K$1)/10,0)*10,[1]Hugst!$R$4:$W$4,0))))</f>
        <v>0</v>
      </c>
      <c r="L203" s="168">
        <f ca="1">IF($C203-L$1&lt;År1,0,K202*(1-VLOOKUP($A203,[1]Hugst!$R$5:$W$9,MATCH(ROUNDUP((L$1)/10,0)*10,[1]Hugst!$R$4:$W$4,0))))</f>
        <v>0</v>
      </c>
      <c r="M203" s="168">
        <f ca="1">IF($C203-M$1&lt;År1,0,L202*(1-VLOOKUP($A203,[1]Hugst!$R$5:$W$9,MATCH(ROUNDUP((M$1)/10,0)*10,[1]Hugst!$R$4:$W$4,0))))</f>
        <v>0</v>
      </c>
      <c r="N203" s="168">
        <f ca="1">IF($C203-N$1&lt;År1,0,M202*(1-VLOOKUP($A203,[1]Hugst!$R$5:$W$9,MATCH(ROUNDUP((N$1)/10,0)*10,[1]Hugst!$R$4:$W$4,0))))</f>
        <v>0</v>
      </c>
      <c r="O203" s="168">
        <f ca="1">IF($C203-O$1&lt;År1,0,N202*(1-VLOOKUP($A203,[1]Hugst!$R$5:$W$9,MATCH(ROUNDUP((O$1)/10,0)*10,[1]Hugst!$R$4:$W$4,0))))</f>
        <v>0</v>
      </c>
      <c r="P203" s="168">
        <f ca="1">IF($C203-P$1&lt;År1,0,O202*(1-VLOOKUP($A203,[1]Hugst!$R$5:$W$9,MATCH(ROUNDUP((P$1)/10,0)*10,[1]Hugst!$R$4:$W$4,0))))</f>
        <v>0</v>
      </c>
      <c r="Q203" s="168">
        <f ca="1">IF($C203-Q$1&lt;År1,0,P202*(1-VLOOKUP($A203,[1]Hugst!$R$5:$W$9,MATCH(ROUNDUP((Q$1)/10,0)*10,[1]Hugst!$R$4:$W$4,0))))</f>
        <v>0</v>
      </c>
      <c r="R203" s="168">
        <f ca="1">IF($C203-R$1&lt;År1,0,Q202*(1-VLOOKUP($A203,[1]Hugst!$R$5:$W$9,MATCH(ROUNDUP((R$1)/10,0)*10,[1]Hugst!$R$4:$W$4,0))))</f>
        <v>0</v>
      </c>
      <c r="S203" s="168">
        <f ca="1">IF($C203-S$1&lt;År1,0,R202*(1-VLOOKUP($A203,[1]Hugst!$R$5:$W$9,MATCH(ROUNDUP((S$1)/10,0)*10,[1]Hugst!$R$4:$W$4,0))))</f>
        <v>0</v>
      </c>
      <c r="T203" s="168">
        <f ca="1">IF($C203-T$1&lt;År1,0,S202*(1-VLOOKUP($A203,[1]Hugst!$R$5:$W$9,MATCH(ROUNDUP((T$1)/10,0)*10,[1]Hugst!$R$4:$W$4,0))))</f>
        <v>0</v>
      </c>
      <c r="U203" s="168">
        <f ca="1">IF($C203-U$1&lt;År1,0,T202*(1-VLOOKUP($A203,[1]Hugst!$R$5:$W$9,MATCH(ROUNDUP((U$1)/10,0)*10,[1]Hugst!$R$4:$W$4,0))))</f>
        <v>0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*VLOOKUP(A204,Skovbrug!$A$13:$D$17,IF('Skovbrug-alder'!C204&lt;=År2,3,4),FALSE)-IF(C204&gt;2020,SUM(INDEX($C$1:$D$311,MATCH(1,(2020=$C$1:$C$311)*(B204=$B$1:$B$311)*(A204=$A$1:$A$311),0),2):D203),0))</f>
        <v>0</v>
      </c>
      <c r="E204" s="168">
        <f t="shared" ca="1" si="4"/>
        <v>0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8">
        <f ca="1">IF($C204-G$1&lt;År1,0,F203*(1-VLOOKUP($A204,[1]Hugst!$R$5:$W$9,MATCH(ROUNDUP((G$1)/10,0)*10,[1]Hugst!$R$4:$W$4,0))))</f>
        <v>0</v>
      </c>
      <c r="H204" s="168">
        <f ca="1">IF($C204-H$1&lt;År1,0,G203*(1-VLOOKUP($A204,[1]Hugst!$R$5:$W$9,MATCH(ROUNDUP((H$1)/10,0)*10,[1]Hugst!$R$4:$W$4,0))))</f>
        <v>0</v>
      </c>
      <c r="I204" s="168">
        <f ca="1">IF($C204-I$1&lt;År1,0,H203*(1-VLOOKUP($A204,[1]Hugst!$R$5:$W$9,MATCH(ROUNDUP((I$1)/10,0)*10,[1]Hugst!$R$4:$W$4,0))))</f>
        <v>0</v>
      </c>
      <c r="J204" s="168">
        <f ca="1">IF($C204-J$1&lt;År1,0,I203*(1-VLOOKUP($A204,[1]Hugst!$R$5:$W$9,MATCH(ROUNDUP((J$1)/10,0)*10,[1]Hugst!$R$4:$W$4,0))))</f>
        <v>0</v>
      </c>
      <c r="K204" s="168">
        <f ca="1">IF($C204-K$1&lt;År1,0,J203*(1-VLOOKUP($A204,[1]Hugst!$R$5:$W$9,MATCH(ROUNDUP((K$1)/10,0)*10,[1]Hugst!$R$4:$W$4,0))))</f>
        <v>0</v>
      </c>
      <c r="L204" s="168">
        <f ca="1">IF($C204-L$1&lt;År1,0,K203*(1-VLOOKUP($A204,[1]Hugst!$R$5:$W$9,MATCH(ROUNDUP((L$1)/10,0)*10,[1]Hugst!$R$4:$W$4,0))))</f>
        <v>0</v>
      </c>
      <c r="M204" s="168">
        <f ca="1">IF($C204-M$1&lt;År1,0,L203*(1-VLOOKUP($A204,[1]Hugst!$R$5:$W$9,MATCH(ROUNDUP((M$1)/10,0)*10,[1]Hugst!$R$4:$W$4,0))))</f>
        <v>0</v>
      </c>
      <c r="N204" s="168">
        <f ca="1">IF($C204-N$1&lt;År1,0,M203*(1-VLOOKUP($A204,[1]Hugst!$R$5:$W$9,MATCH(ROUNDUP((N$1)/10,0)*10,[1]Hugst!$R$4:$W$4,0))))</f>
        <v>0</v>
      </c>
      <c r="O204" s="168">
        <f ca="1">IF($C204-O$1&lt;År1,0,N203*(1-VLOOKUP($A204,[1]Hugst!$R$5:$W$9,MATCH(ROUNDUP((O$1)/10,0)*10,[1]Hugst!$R$4:$W$4,0))))</f>
        <v>0</v>
      </c>
      <c r="P204" s="168">
        <f ca="1">IF($C204-P$1&lt;År1,0,O203*(1-VLOOKUP($A204,[1]Hugst!$R$5:$W$9,MATCH(ROUNDUP((P$1)/10,0)*10,[1]Hugst!$R$4:$W$4,0))))</f>
        <v>0</v>
      </c>
      <c r="Q204" s="168">
        <f ca="1">IF($C204-Q$1&lt;År1,0,P203*(1-VLOOKUP($A204,[1]Hugst!$R$5:$W$9,MATCH(ROUNDUP((Q$1)/10,0)*10,[1]Hugst!$R$4:$W$4,0))))</f>
        <v>0</v>
      </c>
      <c r="R204" s="168">
        <f ca="1">IF($C204-R$1&lt;År1,0,Q203*(1-VLOOKUP($A204,[1]Hugst!$R$5:$W$9,MATCH(ROUNDUP((R$1)/10,0)*10,[1]Hugst!$R$4:$W$4,0))))</f>
        <v>0</v>
      </c>
      <c r="S204" s="168">
        <f ca="1">IF($C204-S$1&lt;År1,0,R203*(1-VLOOKUP($A204,[1]Hugst!$R$5:$W$9,MATCH(ROUNDUP((S$1)/10,0)*10,[1]Hugst!$R$4:$W$4,0))))</f>
        <v>0</v>
      </c>
      <c r="T204" s="168">
        <f ca="1">IF($C204-T$1&lt;År1,0,S203*(1-VLOOKUP($A204,[1]Hugst!$R$5:$W$9,MATCH(ROUNDUP((T$1)/10,0)*10,[1]Hugst!$R$4:$W$4,0))))</f>
        <v>0</v>
      </c>
      <c r="U204" s="168">
        <f ca="1">IF($C204-U$1&lt;År1,0,T203*(1-VLOOKUP($A204,[1]Hugst!$R$5:$W$9,MATCH(ROUNDUP((U$1)/10,0)*10,[1]Hugst!$R$4:$W$4,0))))</f>
        <v>0</v>
      </c>
      <c r="V204" s="168">
        <f ca="1">IF($C204-V$1&lt;År1,0,U203*(1-VLOOKUP($A204,[1]Hugst!$R$5:$W$9,MATCH(ROUNDUP((V$1)/10,0)*10,[1]Hugst!$R$4:$W$4,0))))</f>
        <v>0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*VLOOKUP(A205,Skovbrug!$A$13:$D$17,IF('Skovbrug-alder'!C205&lt;=År2,3,4),FALSE)-IF(C205&gt;2020,SUM(INDEX($C$1:$D$311,MATCH(1,(2020=$C$1:$C$311)*(B205=$B$1:$B$311)*(A205=$A$1:$A$311),0),2):D204),0))</f>
        <v>0</v>
      </c>
      <c r="E205" s="168">
        <f t="shared" ca="1" si="4"/>
        <v>0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8">
        <f ca="1">IF($C205-G$1&lt;År1,0,F204*(1-VLOOKUP($A205,[1]Hugst!$R$5:$W$9,MATCH(ROUNDUP((G$1)/10,0)*10,[1]Hugst!$R$4:$W$4,0))))</f>
        <v>0</v>
      </c>
      <c r="H205" s="168">
        <f ca="1">IF($C205-H$1&lt;År1,0,G204*(1-VLOOKUP($A205,[1]Hugst!$R$5:$W$9,MATCH(ROUNDUP((H$1)/10,0)*10,[1]Hugst!$R$4:$W$4,0))))</f>
        <v>0</v>
      </c>
      <c r="I205" s="168">
        <f ca="1">IF($C205-I$1&lt;År1,0,H204*(1-VLOOKUP($A205,[1]Hugst!$R$5:$W$9,MATCH(ROUNDUP((I$1)/10,0)*10,[1]Hugst!$R$4:$W$4,0))))</f>
        <v>0</v>
      </c>
      <c r="J205" s="168">
        <f ca="1">IF($C205-J$1&lt;År1,0,I204*(1-VLOOKUP($A205,[1]Hugst!$R$5:$W$9,MATCH(ROUNDUP((J$1)/10,0)*10,[1]Hugst!$R$4:$W$4,0))))</f>
        <v>0</v>
      </c>
      <c r="K205" s="168">
        <f ca="1">IF($C205-K$1&lt;År1,0,J204*(1-VLOOKUP($A205,[1]Hugst!$R$5:$W$9,MATCH(ROUNDUP((K$1)/10,0)*10,[1]Hugst!$R$4:$W$4,0))))</f>
        <v>0</v>
      </c>
      <c r="L205" s="168">
        <f ca="1">IF($C205-L$1&lt;År1,0,K204*(1-VLOOKUP($A205,[1]Hugst!$R$5:$W$9,MATCH(ROUNDUP((L$1)/10,0)*10,[1]Hugst!$R$4:$W$4,0))))</f>
        <v>0</v>
      </c>
      <c r="M205" s="168">
        <f ca="1">IF($C205-M$1&lt;År1,0,L204*(1-VLOOKUP($A205,[1]Hugst!$R$5:$W$9,MATCH(ROUNDUP((M$1)/10,0)*10,[1]Hugst!$R$4:$W$4,0))))</f>
        <v>0</v>
      </c>
      <c r="N205" s="168">
        <f ca="1">IF($C205-N$1&lt;År1,0,M204*(1-VLOOKUP($A205,[1]Hugst!$R$5:$W$9,MATCH(ROUNDUP((N$1)/10,0)*10,[1]Hugst!$R$4:$W$4,0))))</f>
        <v>0</v>
      </c>
      <c r="O205" s="168">
        <f ca="1">IF($C205-O$1&lt;År1,0,N204*(1-VLOOKUP($A205,[1]Hugst!$R$5:$W$9,MATCH(ROUNDUP((O$1)/10,0)*10,[1]Hugst!$R$4:$W$4,0))))</f>
        <v>0</v>
      </c>
      <c r="P205" s="168">
        <f ca="1">IF($C205-P$1&lt;År1,0,O204*(1-VLOOKUP($A205,[1]Hugst!$R$5:$W$9,MATCH(ROUNDUP((P$1)/10,0)*10,[1]Hugst!$R$4:$W$4,0))))</f>
        <v>0</v>
      </c>
      <c r="Q205" s="168">
        <f ca="1">IF($C205-Q$1&lt;År1,0,P204*(1-VLOOKUP($A205,[1]Hugst!$R$5:$W$9,MATCH(ROUNDUP((Q$1)/10,0)*10,[1]Hugst!$R$4:$W$4,0))))</f>
        <v>0</v>
      </c>
      <c r="R205" s="168">
        <f ca="1">IF($C205-R$1&lt;År1,0,Q204*(1-VLOOKUP($A205,[1]Hugst!$R$5:$W$9,MATCH(ROUNDUP((R$1)/10,0)*10,[1]Hugst!$R$4:$W$4,0))))</f>
        <v>0</v>
      </c>
      <c r="S205" s="168">
        <f ca="1">IF($C205-S$1&lt;År1,0,R204*(1-VLOOKUP($A205,[1]Hugst!$R$5:$W$9,MATCH(ROUNDUP((S$1)/10,0)*10,[1]Hugst!$R$4:$W$4,0))))</f>
        <v>0</v>
      </c>
      <c r="T205" s="168">
        <f ca="1">IF($C205-T$1&lt;År1,0,S204*(1-VLOOKUP($A205,[1]Hugst!$R$5:$W$9,MATCH(ROUNDUP((T$1)/10,0)*10,[1]Hugst!$R$4:$W$4,0))))</f>
        <v>0</v>
      </c>
      <c r="U205" s="168">
        <f ca="1">IF($C205-U$1&lt;År1,0,T204*(1-VLOOKUP($A205,[1]Hugst!$R$5:$W$9,MATCH(ROUNDUP((U$1)/10,0)*10,[1]Hugst!$R$4:$W$4,0))))</f>
        <v>0</v>
      </c>
      <c r="V205" s="168">
        <f ca="1">IF($C205-V$1&lt;År1,0,U204*(1-VLOOKUP($A205,[1]Hugst!$R$5:$W$9,MATCH(ROUNDUP((V$1)/10,0)*10,[1]Hugst!$R$4:$W$4,0))))</f>
        <v>0</v>
      </c>
      <c r="W205" s="168">
        <f ca="1">IF($C205-W$1&lt;År1,0,V204*(1-VLOOKUP($A205,[1]Hugst!$R$5:$W$9,MATCH(ROUNDUP((W$1)/10,0)*10,[1]Hugst!$R$4:$W$4,0))))</f>
        <v>0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*VLOOKUP(A206,Skovbrug!$A$13:$D$17,IF('Skovbrug-alder'!C206&lt;=År2,3,4),FALSE)-IF(C206&gt;2020,SUM(INDEX($C$1:$D$311,MATCH(1,(2020=$C$1:$C$311)*(B206=$B$1:$B$311)*(A206=$A$1:$A$311),0),2):D205),0))</f>
        <v>0</v>
      </c>
      <c r="E206" s="168">
        <f t="shared" ca="1" si="4"/>
        <v>0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8">
        <f ca="1">IF($C206-G$1&lt;År1,0,F205*(1-VLOOKUP($A206,[1]Hugst!$R$5:$W$9,MATCH(ROUNDUP((G$1)/10,0)*10,[1]Hugst!$R$4:$W$4,0))))</f>
        <v>0</v>
      </c>
      <c r="H206" s="168">
        <f ca="1">IF($C206-H$1&lt;År1,0,G205*(1-VLOOKUP($A206,[1]Hugst!$R$5:$W$9,MATCH(ROUNDUP((H$1)/10,0)*10,[1]Hugst!$R$4:$W$4,0))))</f>
        <v>0</v>
      </c>
      <c r="I206" s="168">
        <f ca="1">IF($C206-I$1&lt;År1,0,H205*(1-VLOOKUP($A206,[1]Hugst!$R$5:$W$9,MATCH(ROUNDUP((I$1)/10,0)*10,[1]Hugst!$R$4:$W$4,0))))</f>
        <v>0</v>
      </c>
      <c r="J206" s="168">
        <f ca="1">IF($C206-J$1&lt;År1,0,I205*(1-VLOOKUP($A206,[1]Hugst!$R$5:$W$9,MATCH(ROUNDUP((J$1)/10,0)*10,[1]Hugst!$R$4:$W$4,0))))</f>
        <v>0</v>
      </c>
      <c r="K206" s="168">
        <f ca="1">IF($C206-K$1&lt;År1,0,J205*(1-VLOOKUP($A206,[1]Hugst!$R$5:$W$9,MATCH(ROUNDUP((K$1)/10,0)*10,[1]Hugst!$R$4:$W$4,0))))</f>
        <v>0</v>
      </c>
      <c r="L206" s="168">
        <f ca="1">IF($C206-L$1&lt;År1,0,K205*(1-VLOOKUP($A206,[1]Hugst!$R$5:$W$9,MATCH(ROUNDUP((L$1)/10,0)*10,[1]Hugst!$R$4:$W$4,0))))</f>
        <v>0</v>
      </c>
      <c r="M206" s="168">
        <f ca="1">IF($C206-M$1&lt;År1,0,L205*(1-VLOOKUP($A206,[1]Hugst!$R$5:$W$9,MATCH(ROUNDUP((M$1)/10,0)*10,[1]Hugst!$R$4:$W$4,0))))</f>
        <v>0</v>
      </c>
      <c r="N206" s="168">
        <f ca="1">IF($C206-N$1&lt;År1,0,M205*(1-VLOOKUP($A206,[1]Hugst!$R$5:$W$9,MATCH(ROUNDUP((N$1)/10,0)*10,[1]Hugst!$R$4:$W$4,0))))</f>
        <v>0</v>
      </c>
      <c r="O206" s="168">
        <f ca="1">IF($C206-O$1&lt;År1,0,N205*(1-VLOOKUP($A206,[1]Hugst!$R$5:$W$9,MATCH(ROUNDUP((O$1)/10,0)*10,[1]Hugst!$R$4:$W$4,0))))</f>
        <v>0</v>
      </c>
      <c r="P206" s="168">
        <f ca="1">IF($C206-P$1&lt;År1,0,O205*(1-VLOOKUP($A206,[1]Hugst!$R$5:$W$9,MATCH(ROUNDUP((P$1)/10,0)*10,[1]Hugst!$R$4:$W$4,0))))</f>
        <v>0</v>
      </c>
      <c r="Q206" s="168">
        <f ca="1">IF($C206-Q$1&lt;År1,0,P205*(1-VLOOKUP($A206,[1]Hugst!$R$5:$W$9,MATCH(ROUNDUP((Q$1)/10,0)*10,[1]Hugst!$R$4:$W$4,0))))</f>
        <v>0</v>
      </c>
      <c r="R206" s="168">
        <f ca="1">IF($C206-R$1&lt;År1,0,Q205*(1-VLOOKUP($A206,[1]Hugst!$R$5:$W$9,MATCH(ROUNDUP((R$1)/10,0)*10,[1]Hugst!$R$4:$W$4,0))))</f>
        <v>0</v>
      </c>
      <c r="S206" s="168">
        <f ca="1">IF($C206-S$1&lt;År1,0,R205*(1-VLOOKUP($A206,[1]Hugst!$R$5:$W$9,MATCH(ROUNDUP((S$1)/10,0)*10,[1]Hugst!$R$4:$W$4,0))))</f>
        <v>0</v>
      </c>
      <c r="T206" s="168">
        <f ca="1">IF($C206-T$1&lt;År1,0,S205*(1-VLOOKUP($A206,[1]Hugst!$R$5:$W$9,MATCH(ROUNDUP((T$1)/10,0)*10,[1]Hugst!$R$4:$W$4,0))))</f>
        <v>0</v>
      </c>
      <c r="U206" s="168">
        <f ca="1">IF($C206-U$1&lt;År1,0,T205*(1-VLOOKUP($A206,[1]Hugst!$R$5:$W$9,MATCH(ROUNDUP((U$1)/10,0)*10,[1]Hugst!$R$4:$W$4,0))))</f>
        <v>0</v>
      </c>
      <c r="V206" s="168">
        <f ca="1">IF($C206-V$1&lt;År1,0,U205*(1-VLOOKUP($A206,[1]Hugst!$R$5:$W$9,MATCH(ROUNDUP((V$1)/10,0)*10,[1]Hugst!$R$4:$W$4,0))))</f>
        <v>0</v>
      </c>
      <c r="W206" s="168">
        <f ca="1">IF($C206-W$1&lt;År1,0,V205*(1-VLOOKUP($A206,[1]Hugst!$R$5:$W$9,MATCH(ROUNDUP((W$1)/10,0)*10,[1]Hugst!$R$4:$W$4,0))))</f>
        <v>0</v>
      </c>
      <c r="X206" s="168">
        <f ca="1">IF($C206-X$1&lt;År1,0,W205*(1-VLOOKUP($A206,[1]Hugst!$R$5:$W$9,MATCH(ROUNDUP((X$1)/10,0)*10,[1]Hugst!$R$4:$W$4,0))))</f>
        <v>0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*VLOOKUP(A207,Skovbrug!$A$13:$D$17,IF('Skovbrug-alder'!C207&lt;=År2,3,4),FALSE)-IF(C207&gt;2020,SUM(INDEX($C$1:$D$311,MATCH(1,(2020=$C$1:$C$311)*(B207=$B$1:$B$311)*(A207=$A$1:$A$311),0),2):D206),0))</f>
        <v>0</v>
      </c>
      <c r="E207" s="168">
        <f t="shared" ca="1" si="4"/>
        <v>0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8">
        <f ca="1">IF($C207-G$1&lt;År1,0,F206*(1-VLOOKUP($A207,[1]Hugst!$R$5:$W$9,MATCH(ROUNDUP((G$1)/10,0)*10,[1]Hugst!$R$4:$W$4,0))))</f>
        <v>0</v>
      </c>
      <c r="H207" s="168">
        <f ca="1">IF($C207-H$1&lt;År1,0,G206*(1-VLOOKUP($A207,[1]Hugst!$R$5:$W$9,MATCH(ROUNDUP((H$1)/10,0)*10,[1]Hugst!$R$4:$W$4,0))))</f>
        <v>0</v>
      </c>
      <c r="I207" s="168">
        <f ca="1">IF($C207-I$1&lt;År1,0,H206*(1-VLOOKUP($A207,[1]Hugst!$R$5:$W$9,MATCH(ROUNDUP((I$1)/10,0)*10,[1]Hugst!$R$4:$W$4,0))))</f>
        <v>0</v>
      </c>
      <c r="J207" s="168">
        <f ca="1">IF($C207-J$1&lt;År1,0,I206*(1-VLOOKUP($A207,[1]Hugst!$R$5:$W$9,MATCH(ROUNDUP((J$1)/10,0)*10,[1]Hugst!$R$4:$W$4,0))))</f>
        <v>0</v>
      </c>
      <c r="K207" s="168">
        <f ca="1">IF($C207-K$1&lt;År1,0,J206*(1-VLOOKUP($A207,[1]Hugst!$R$5:$W$9,MATCH(ROUNDUP((K$1)/10,0)*10,[1]Hugst!$R$4:$W$4,0))))</f>
        <v>0</v>
      </c>
      <c r="L207" s="168">
        <f ca="1">IF($C207-L$1&lt;År1,0,K206*(1-VLOOKUP($A207,[1]Hugst!$R$5:$W$9,MATCH(ROUNDUP((L$1)/10,0)*10,[1]Hugst!$R$4:$W$4,0))))</f>
        <v>0</v>
      </c>
      <c r="M207" s="168">
        <f ca="1">IF($C207-M$1&lt;År1,0,L206*(1-VLOOKUP($A207,[1]Hugst!$R$5:$W$9,MATCH(ROUNDUP((M$1)/10,0)*10,[1]Hugst!$R$4:$W$4,0))))</f>
        <v>0</v>
      </c>
      <c r="N207" s="168">
        <f ca="1">IF($C207-N$1&lt;År1,0,M206*(1-VLOOKUP($A207,[1]Hugst!$R$5:$W$9,MATCH(ROUNDUP((N$1)/10,0)*10,[1]Hugst!$R$4:$W$4,0))))</f>
        <v>0</v>
      </c>
      <c r="O207" s="168">
        <f ca="1">IF($C207-O$1&lt;År1,0,N206*(1-VLOOKUP($A207,[1]Hugst!$R$5:$W$9,MATCH(ROUNDUP((O$1)/10,0)*10,[1]Hugst!$R$4:$W$4,0))))</f>
        <v>0</v>
      </c>
      <c r="P207" s="168">
        <f ca="1">IF($C207-P$1&lt;År1,0,O206*(1-VLOOKUP($A207,[1]Hugst!$R$5:$W$9,MATCH(ROUNDUP((P$1)/10,0)*10,[1]Hugst!$R$4:$W$4,0))))</f>
        <v>0</v>
      </c>
      <c r="Q207" s="168">
        <f ca="1">IF($C207-Q$1&lt;År1,0,P206*(1-VLOOKUP($A207,[1]Hugst!$R$5:$W$9,MATCH(ROUNDUP((Q$1)/10,0)*10,[1]Hugst!$R$4:$W$4,0))))</f>
        <v>0</v>
      </c>
      <c r="R207" s="168">
        <f ca="1">IF($C207-R$1&lt;År1,0,Q206*(1-VLOOKUP($A207,[1]Hugst!$R$5:$W$9,MATCH(ROUNDUP((R$1)/10,0)*10,[1]Hugst!$R$4:$W$4,0))))</f>
        <v>0</v>
      </c>
      <c r="S207" s="168">
        <f ca="1">IF($C207-S$1&lt;År1,0,R206*(1-VLOOKUP($A207,[1]Hugst!$R$5:$W$9,MATCH(ROUNDUP((S$1)/10,0)*10,[1]Hugst!$R$4:$W$4,0))))</f>
        <v>0</v>
      </c>
      <c r="T207" s="168">
        <f ca="1">IF($C207-T$1&lt;År1,0,S206*(1-VLOOKUP($A207,[1]Hugst!$R$5:$W$9,MATCH(ROUNDUP((T$1)/10,0)*10,[1]Hugst!$R$4:$W$4,0))))</f>
        <v>0</v>
      </c>
      <c r="U207" s="168">
        <f ca="1">IF($C207-U$1&lt;År1,0,T206*(1-VLOOKUP($A207,[1]Hugst!$R$5:$W$9,MATCH(ROUNDUP((U$1)/10,0)*10,[1]Hugst!$R$4:$W$4,0))))</f>
        <v>0</v>
      </c>
      <c r="V207" s="168">
        <f ca="1">IF($C207-V$1&lt;År1,0,U206*(1-VLOOKUP($A207,[1]Hugst!$R$5:$W$9,MATCH(ROUNDUP((V$1)/10,0)*10,[1]Hugst!$R$4:$W$4,0))))</f>
        <v>0</v>
      </c>
      <c r="W207" s="168">
        <f ca="1">IF($C207-W$1&lt;År1,0,V206*(1-VLOOKUP($A207,[1]Hugst!$R$5:$W$9,MATCH(ROUNDUP((W$1)/10,0)*10,[1]Hugst!$R$4:$W$4,0))))</f>
        <v>0</v>
      </c>
      <c r="X207" s="168">
        <f ca="1">IF($C207-X$1&lt;År1,0,W206*(1-VLOOKUP($A207,[1]Hugst!$R$5:$W$9,MATCH(ROUNDUP((X$1)/10,0)*10,[1]Hugst!$R$4:$W$4,0))))</f>
        <v>0</v>
      </c>
      <c r="Y207" s="168">
        <f ca="1">IF($C207-Y$1&lt;År1,0,X206*(1-VLOOKUP($A207,[1]Hugst!$R$5:$W$9,MATCH(ROUNDUP((Y$1)/10,0)*10,[1]Hugst!$R$4:$W$4,0))))</f>
        <v>0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*VLOOKUP(A208,Skovbrug!$A$13:$D$17,IF('Skovbrug-alder'!C208&lt;=År2,3,4),FALSE)-IF(C208&gt;2020,SUM(INDEX($C$1:$D$311,MATCH(1,(2020=$C$1:$C$311)*(B208=$B$1:$B$311)*(A208=$A$1:$A$311),0),2):D207),0))</f>
        <v>0</v>
      </c>
      <c r="E208" s="168">
        <f t="shared" ca="1" si="4"/>
        <v>0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8">
        <f ca="1">IF($C208-G$1&lt;År1,0,F207*(1-VLOOKUP($A208,[1]Hugst!$R$5:$W$9,MATCH(ROUNDUP((G$1)/10,0)*10,[1]Hugst!$R$4:$W$4,0))))</f>
        <v>0</v>
      </c>
      <c r="H208" s="168">
        <f ca="1">IF($C208-H$1&lt;År1,0,G207*(1-VLOOKUP($A208,[1]Hugst!$R$5:$W$9,MATCH(ROUNDUP((H$1)/10,0)*10,[1]Hugst!$R$4:$W$4,0))))</f>
        <v>0</v>
      </c>
      <c r="I208" s="168">
        <f ca="1">IF($C208-I$1&lt;År1,0,H207*(1-VLOOKUP($A208,[1]Hugst!$R$5:$W$9,MATCH(ROUNDUP((I$1)/10,0)*10,[1]Hugst!$R$4:$W$4,0))))</f>
        <v>0</v>
      </c>
      <c r="J208" s="168">
        <f ca="1">IF($C208-J$1&lt;År1,0,I207*(1-VLOOKUP($A208,[1]Hugst!$R$5:$W$9,MATCH(ROUNDUP((J$1)/10,0)*10,[1]Hugst!$R$4:$W$4,0))))</f>
        <v>0</v>
      </c>
      <c r="K208" s="168">
        <f ca="1">IF($C208-K$1&lt;År1,0,J207*(1-VLOOKUP($A208,[1]Hugst!$R$5:$W$9,MATCH(ROUNDUP((K$1)/10,0)*10,[1]Hugst!$R$4:$W$4,0))))</f>
        <v>0</v>
      </c>
      <c r="L208" s="168">
        <f ca="1">IF($C208-L$1&lt;År1,0,K207*(1-VLOOKUP($A208,[1]Hugst!$R$5:$W$9,MATCH(ROUNDUP((L$1)/10,0)*10,[1]Hugst!$R$4:$W$4,0))))</f>
        <v>0</v>
      </c>
      <c r="M208" s="168">
        <f ca="1">IF($C208-M$1&lt;År1,0,L207*(1-VLOOKUP($A208,[1]Hugst!$R$5:$W$9,MATCH(ROUNDUP((M$1)/10,0)*10,[1]Hugst!$R$4:$W$4,0))))</f>
        <v>0</v>
      </c>
      <c r="N208" s="168">
        <f ca="1">IF($C208-N$1&lt;År1,0,M207*(1-VLOOKUP($A208,[1]Hugst!$R$5:$W$9,MATCH(ROUNDUP((N$1)/10,0)*10,[1]Hugst!$R$4:$W$4,0))))</f>
        <v>0</v>
      </c>
      <c r="O208" s="168">
        <f ca="1">IF($C208-O$1&lt;År1,0,N207*(1-VLOOKUP($A208,[1]Hugst!$R$5:$W$9,MATCH(ROUNDUP((O$1)/10,0)*10,[1]Hugst!$R$4:$W$4,0))))</f>
        <v>0</v>
      </c>
      <c r="P208" s="168">
        <f ca="1">IF($C208-P$1&lt;År1,0,O207*(1-VLOOKUP($A208,[1]Hugst!$R$5:$W$9,MATCH(ROUNDUP((P$1)/10,0)*10,[1]Hugst!$R$4:$W$4,0))))</f>
        <v>0</v>
      </c>
      <c r="Q208" s="168">
        <f ca="1">IF($C208-Q$1&lt;År1,0,P207*(1-VLOOKUP($A208,[1]Hugst!$R$5:$W$9,MATCH(ROUNDUP((Q$1)/10,0)*10,[1]Hugst!$R$4:$W$4,0))))</f>
        <v>0</v>
      </c>
      <c r="R208" s="168">
        <f ca="1">IF($C208-R$1&lt;År1,0,Q207*(1-VLOOKUP($A208,[1]Hugst!$R$5:$W$9,MATCH(ROUNDUP((R$1)/10,0)*10,[1]Hugst!$R$4:$W$4,0))))</f>
        <v>0</v>
      </c>
      <c r="S208" s="168">
        <f ca="1">IF($C208-S$1&lt;År1,0,R207*(1-VLOOKUP($A208,[1]Hugst!$R$5:$W$9,MATCH(ROUNDUP((S$1)/10,0)*10,[1]Hugst!$R$4:$W$4,0))))</f>
        <v>0</v>
      </c>
      <c r="T208" s="168">
        <f ca="1">IF($C208-T$1&lt;År1,0,S207*(1-VLOOKUP($A208,[1]Hugst!$R$5:$W$9,MATCH(ROUNDUP((T$1)/10,0)*10,[1]Hugst!$R$4:$W$4,0))))</f>
        <v>0</v>
      </c>
      <c r="U208" s="168">
        <f ca="1">IF($C208-U$1&lt;År1,0,T207*(1-VLOOKUP($A208,[1]Hugst!$R$5:$W$9,MATCH(ROUNDUP((U$1)/10,0)*10,[1]Hugst!$R$4:$W$4,0))))</f>
        <v>0</v>
      </c>
      <c r="V208" s="168">
        <f ca="1">IF($C208-V$1&lt;År1,0,U207*(1-VLOOKUP($A208,[1]Hugst!$R$5:$W$9,MATCH(ROUNDUP((V$1)/10,0)*10,[1]Hugst!$R$4:$W$4,0))))</f>
        <v>0</v>
      </c>
      <c r="W208" s="168">
        <f ca="1">IF($C208-W$1&lt;År1,0,V207*(1-VLOOKUP($A208,[1]Hugst!$R$5:$W$9,MATCH(ROUNDUP((W$1)/10,0)*10,[1]Hugst!$R$4:$W$4,0))))</f>
        <v>0</v>
      </c>
      <c r="X208" s="168">
        <f ca="1">IF($C208-X$1&lt;År1,0,W207*(1-VLOOKUP($A208,[1]Hugst!$R$5:$W$9,MATCH(ROUNDUP((X$1)/10,0)*10,[1]Hugst!$R$4:$W$4,0))))</f>
        <v>0</v>
      </c>
      <c r="Y208" s="168">
        <f ca="1">IF($C208-Y$1&lt;År1,0,X207*(1-VLOOKUP($A208,[1]Hugst!$R$5:$W$9,MATCH(ROUNDUP((Y$1)/10,0)*10,[1]Hugst!$R$4:$W$4,0))))</f>
        <v>0</v>
      </c>
      <c r="Z208" s="168">
        <f ca="1">IF($C208-Z$1&lt;År1,0,Y207*(1-VLOOKUP($A208,[1]Hugst!$R$5:$W$9,MATCH(ROUNDUP((Z$1)/10,0)*10,[1]Hugst!$R$4:$W$4,0))))</f>
        <v>0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*VLOOKUP(A209,Skovbrug!$A$13:$D$17,IF('Skovbrug-alder'!C209&lt;=År2,3,4),FALSE)-IF(C209&gt;2020,SUM(INDEX($C$1:$D$311,MATCH(1,(2020=$C$1:$C$311)*(B209=$B$1:$B$311)*(A209=$A$1:$A$311),0),2):D208),0))</f>
        <v>0</v>
      </c>
      <c r="E209" s="168">
        <f t="shared" ca="1" si="4"/>
        <v>0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8">
        <f ca="1">IF($C209-G$1&lt;År1,0,F208*(1-VLOOKUP($A209,[1]Hugst!$R$5:$W$9,MATCH(ROUNDUP((G$1)/10,0)*10,[1]Hugst!$R$4:$W$4,0))))</f>
        <v>0</v>
      </c>
      <c r="H209" s="168">
        <f ca="1">IF($C209-H$1&lt;År1,0,G208*(1-VLOOKUP($A209,[1]Hugst!$R$5:$W$9,MATCH(ROUNDUP((H$1)/10,0)*10,[1]Hugst!$R$4:$W$4,0))))</f>
        <v>0</v>
      </c>
      <c r="I209" s="168">
        <f ca="1">IF($C209-I$1&lt;År1,0,H208*(1-VLOOKUP($A209,[1]Hugst!$R$5:$W$9,MATCH(ROUNDUP((I$1)/10,0)*10,[1]Hugst!$R$4:$W$4,0))))</f>
        <v>0</v>
      </c>
      <c r="J209" s="168">
        <f ca="1">IF($C209-J$1&lt;År1,0,I208*(1-VLOOKUP($A209,[1]Hugst!$R$5:$W$9,MATCH(ROUNDUP((J$1)/10,0)*10,[1]Hugst!$R$4:$W$4,0))))</f>
        <v>0</v>
      </c>
      <c r="K209" s="168">
        <f ca="1">IF($C209-K$1&lt;År1,0,J208*(1-VLOOKUP($A209,[1]Hugst!$R$5:$W$9,MATCH(ROUNDUP((K$1)/10,0)*10,[1]Hugst!$R$4:$W$4,0))))</f>
        <v>0</v>
      </c>
      <c r="L209" s="168">
        <f ca="1">IF($C209-L$1&lt;År1,0,K208*(1-VLOOKUP($A209,[1]Hugst!$R$5:$W$9,MATCH(ROUNDUP((L$1)/10,0)*10,[1]Hugst!$R$4:$W$4,0))))</f>
        <v>0</v>
      </c>
      <c r="M209" s="168">
        <f ca="1">IF($C209-M$1&lt;År1,0,L208*(1-VLOOKUP($A209,[1]Hugst!$R$5:$W$9,MATCH(ROUNDUP((M$1)/10,0)*10,[1]Hugst!$R$4:$W$4,0))))</f>
        <v>0</v>
      </c>
      <c r="N209" s="168">
        <f ca="1">IF($C209-N$1&lt;År1,0,M208*(1-VLOOKUP($A209,[1]Hugst!$R$5:$W$9,MATCH(ROUNDUP((N$1)/10,0)*10,[1]Hugst!$R$4:$W$4,0))))</f>
        <v>0</v>
      </c>
      <c r="O209" s="168">
        <f ca="1">IF($C209-O$1&lt;År1,0,N208*(1-VLOOKUP($A209,[1]Hugst!$R$5:$W$9,MATCH(ROUNDUP((O$1)/10,0)*10,[1]Hugst!$R$4:$W$4,0))))</f>
        <v>0</v>
      </c>
      <c r="P209" s="168">
        <f ca="1">IF($C209-P$1&lt;År1,0,O208*(1-VLOOKUP($A209,[1]Hugst!$R$5:$W$9,MATCH(ROUNDUP((P$1)/10,0)*10,[1]Hugst!$R$4:$W$4,0))))</f>
        <v>0</v>
      </c>
      <c r="Q209" s="168">
        <f ca="1">IF($C209-Q$1&lt;År1,0,P208*(1-VLOOKUP($A209,[1]Hugst!$R$5:$W$9,MATCH(ROUNDUP((Q$1)/10,0)*10,[1]Hugst!$R$4:$W$4,0))))</f>
        <v>0</v>
      </c>
      <c r="R209" s="168">
        <f ca="1">IF($C209-R$1&lt;År1,0,Q208*(1-VLOOKUP($A209,[1]Hugst!$R$5:$W$9,MATCH(ROUNDUP((R$1)/10,0)*10,[1]Hugst!$R$4:$W$4,0))))</f>
        <v>0</v>
      </c>
      <c r="S209" s="168">
        <f ca="1">IF($C209-S$1&lt;År1,0,R208*(1-VLOOKUP($A209,[1]Hugst!$R$5:$W$9,MATCH(ROUNDUP((S$1)/10,0)*10,[1]Hugst!$R$4:$W$4,0))))</f>
        <v>0</v>
      </c>
      <c r="T209" s="168">
        <f ca="1">IF($C209-T$1&lt;År1,0,S208*(1-VLOOKUP($A209,[1]Hugst!$R$5:$W$9,MATCH(ROUNDUP((T$1)/10,0)*10,[1]Hugst!$R$4:$W$4,0))))</f>
        <v>0</v>
      </c>
      <c r="U209" s="168">
        <f ca="1">IF($C209-U$1&lt;År1,0,T208*(1-VLOOKUP($A209,[1]Hugst!$R$5:$W$9,MATCH(ROUNDUP((U$1)/10,0)*10,[1]Hugst!$R$4:$W$4,0))))</f>
        <v>0</v>
      </c>
      <c r="V209" s="168">
        <f ca="1">IF($C209-V$1&lt;År1,0,U208*(1-VLOOKUP($A209,[1]Hugst!$R$5:$W$9,MATCH(ROUNDUP((V$1)/10,0)*10,[1]Hugst!$R$4:$W$4,0))))</f>
        <v>0</v>
      </c>
      <c r="W209" s="168">
        <f ca="1">IF($C209-W$1&lt;År1,0,V208*(1-VLOOKUP($A209,[1]Hugst!$R$5:$W$9,MATCH(ROUNDUP((W$1)/10,0)*10,[1]Hugst!$R$4:$W$4,0))))</f>
        <v>0</v>
      </c>
      <c r="X209" s="168">
        <f ca="1">IF($C209-X$1&lt;År1,0,W208*(1-VLOOKUP($A209,[1]Hugst!$R$5:$W$9,MATCH(ROUNDUP((X$1)/10,0)*10,[1]Hugst!$R$4:$W$4,0))))</f>
        <v>0</v>
      </c>
      <c r="Y209" s="168">
        <f ca="1">IF($C209-Y$1&lt;År1,0,X208*(1-VLOOKUP($A209,[1]Hugst!$R$5:$W$9,MATCH(ROUNDUP((Y$1)/10,0)*10,[1]Hugst!$R$4:$W$4,0))))</f>
        <v>0</v>
      </c>
      <c r="Z209" s="168">
        <f ca="1">IF($C209-Z$1&lt;År1,0,Y208*(1-VLOOKUP($A209,[1]Hugst!$R$5:$W$9,MATCH(ROUNDUP((Z$1)/10,0)*10,[1]Hugst!$R$4:$W$4,0))))</f>
        <v>0</v>
      </c>
      <c r="AA209" s="168">
        <f ca="1">IF($C209-AA$1&lt;År1,0,Z208*(1-VLOOKUP($A209,[1]Hugst!$R$5:$W$9,MATCH(ROUNDUP((AA$1)/10,0)*10,[1]Hugst!$R$4:$W$4,0))))</f>
        <v>0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*VLOOKUP(A210,Skovbrug!$A$13:$D$17,IF('Skovbrug-alder'!C210&lt;=År2,3,4),FALSE)-IF(C210&gt;2020,SUM(INDEX($C$1:$D$311,MATCH(1,(2020=$C$1:$C$311)*(B210=$B$1:$B$311)*(A210=$A$1:$A$311),0),2):D209),0))</f>
        <v>0</v>
      </c>
      <c r="E210" s="168">
        <f t="shared" ca="1" si="4"/>
        <v>0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8">
        <f ca="1">IF($C210-G$1&lt;År1,0,F209*(1-VLOOKUP($A210,[1]Hugst!$R$5:$W$9,MATCH(ROUNDUP((G$1)/10,0)*10,[1]Hugst!$R$4:$W$4,0))))</f>
        <v>0</v>
      </c>
      <c r="H210" s="168">
        <f ca="1">IF($C210-H$1&lt;År1,0,G209*(1-VLOOKUP($A210,[1]Hugst!$R$5:$W$9,MATCH(ROUNDUP((H$1)/10,0)*10,[1]Hugst!$R$4:$W$4,0))))</f>
        <v>0</v>
      </c>
      <c r="I210" s="168">
        <f ca="1">IF($C210-I$1&lt;År1,0,H209*(1-VLOOKUP($A210,[1]Hugst!$R$5:$W$9,MATCH(ROUNDUP((I$1)/10,0)*10,[1]Hugst!$R$4:$W$4,0))))</f>
        <v>0</v>
      </c>
      <c r="J210" s="168">
        <f ca="1">IF($C210-J$1&lt;År1,0,I209*(1-VLOOKUP($A210,[1]Hugst!$R$5:$W$9,MATCH(ROUNDUP((J$1)/10,0)*10,[1]Hugst!$R$4:$W$4,0))))</f>
        <v>0</v>
      </c>
      <c r="K210" s="168">
        <f ca="1">IF($C210-K$1&lt;År1,0,J209*(1-VLOOKUP($A210,[1]Hugst!$R$5:$W$9,MATCH(ROUNDUP((K$1)/10,0)*10,[1]Hugst!$R$4:$W$4,0))))</f>
        <v>0</v>
      </c>
      <c r="L210" s="168">
        <f ca="1">IF($C210-L$1&lt;År1,0,K209*(1-VLOOKUP($A210,[1]Hugst!$R$5:$W$9,MATCH(ROUNDUP((L$1)/10,0)*10,[1]Hugst!$R$4:$W$4,0))))</f>
        <v>0</v>
      </c>
      <c r="M210" s="168">
        <f ca="1">IF($C210-M$1&lt;År1,0,L209*(1-VLOOKUP($A210,[1]Hugst!$R$5:$W$9,MATCH(ROUNDUP((M$1)/10,0)*10,[1]Hugst!$R$4:$W$4,0))))</f>
        <v>0</v>
      </c>
      <c r="N210" s="168">
        <f ca="1">IF($C210-N$1&lt;År1,0,M209*(1-VLOOKUP($A210,[1]Hugst!$R$5:$W$9,MATCH(ROUNDUP((N$1)/10,0)*10,[1]Hugst!$R$4:$W$4,0))))</f>
        <v>0</v>
      </c>
      <c r="O210" s="168">
        <f ca="1">IF($C210-O$1&lt;År1,0,N209*(1-VLOOKUP($A210,[1]Hugst!$R$5:$W$9,MATCH(ROUNDUP((O$1)/10,0)*10,[1]Hugst!$R$4:$W$4,0))))</f>
        <v>0</v>
      </c>
      <c r="P210" s="168">
        <f ca="1">IF($C210-P$1&lt;År1,0,O209*(1-VLOOKUP($A210,[1]Hugst!$R$5:$W$9,MATCH(ROUNDUP((P$1)/10,0)*10,[1]Hugst!$R$4:$W$4,0))))</f>
        <v>0</v>
      </c>
      <c r="Q210" s="168">
        <f ca="1">IF($C210-Q$1&lt;År1,0,P209*(1-VLOOKUP($A210,[1]Hugst!$R$5:$W$9,MATCH(ROUNDUP((Q$1)/10,0)*10,[1]Hugst!$R$4:$W$4,0))))</f>
        <v>0</v>
      </c>
      <c r="R210" s="168">
        <f ca="1">IF($C210-R$1&lt;År1,0,Q209*(1-VLOOKUP($A210,[1]Hugst!$R$5:$W$9,MATCH(ROUNDUP((R$1)/10,0)*10,[1]Hugst!$R$4:$W$4,0))))</f>
        <v>0</v>
      </c>
      <c r="S210" s="168">
        <f ca="1">IF($C210-S$1&lt;År1,0,R209*(1-VLOOKUP($A210,[1]Hugst!$R$5:$W$9,MATCH(ROUNDUP((S$1)/10,0)*10,[1]Hugst!$R$4:$W$4,0))))</f>
        <v>0</v>
      </c>
      <c r="T210" s="168">
        <f ca="1">IF($C210-T$1&lt;År1,0,S209*(1-VLOOKUP($A210,[1]Hugst!$R$5:$W$9,MATCH(ROUNDUP((T$1)/10,0)*10,[1]Hugst!$R$4:$W$4,0))))</f>
        <v>0</v>
      </c>
      <c r="U210" s="168">
        <f ca="1">IF($C210-U$1&lt;År1,0,T209*(1-VLOOKUP($A210,[1]Hugst!$R$5:$W$9,MATCH(ROUNDUP((U$1)/10,0)*10,[1]Hugst!$R$4:$W$4,0))))</f>
        <v>0</v>
      </c>
      <c r="V210" s="168">
        <f ca="1">IF($C210-V$1&lt;År1,0,U209*(1-VLOOKUP($A210,[1]Hugst!$R$5:$W$9,MATCH(ROUNDUP((V$1)/10,0)*10,[1]Hugst!$R$4:$W$4,0))))</f>
        <v>0</v>
      </c>
      <c r="W210" s="168">
        <f ca="1">IF($C210-W$1&lt;År1,0,V209*(1-VLOOKUP($A210,[1]Hugst!$R$5:$W$9,MATCH(ROUNDUP((W$1)/10,0)*10,[1]Hugst!$R$4:$W$4,0))))</f>
        <v>0</v>
      </c>
      <c r="X210" s="168">
        <f ca="1">IF($C210-X$1&lt;År1,0,W209*(1-VLOOKUP($A210,[1]Hugst!$R$5:$W$9,MATCH(ROUNDUP((X$1)/10,0)*10,[1]Hugst!$R$4:$W$4,0))))</f>
        <v>0</v>
      </c>
      <c r="Y210" s="168">
        <f ca="1">IF($C210-Y$1&lt;År1,0,X209*(1-VLOOKUP($A210,[1]Hugst!$R$5:$W$9,MATCH(ROUNDUP((Y$1)/10,0)*10,[1]Hugst!$R$4:$W$4,0))))</f>
        <v>0</v>
      </c>
      <c r="Z210" s="168">
        <f ca="1">IF($C210-Z$1&lt;År1,0,Y209*(1-VLOOKUP($A210,[1]Hugst!$R$5:$W$9,MATCH(ROUNDUP((Z$1)/10,0)*10,[1]Hugst!$R$4:$W$4,0))))</f>
        <v>0</v>
      </c>
      <c r="AA210" s="168">
        <f ca="1">IF($C210-AA$1&lt;År1,0,Z209*(1-VLOOKUP($A210,[1]Hugst!$R$5:$W$9,MATCH(ROUNDUP((AA$1)/10,0)*10,[1]Hugst!$R$4:$W$4,0))))</f>
        <v>0</v>
      </c>
      <c r="AB210" s="168">
        <f ca="1">IF($C210-AB$1&lt;År1,0,AA209*(1-VLOOKUP($A210,[1]Hugst!$R$5:$W$9,MATCH(ROUNDUP((AB$1)/10,0)*10,[1]Hugst!$R$4:$W$4,0))))</f>
        <v>0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*VLOOKUP(A211,Skovbrug!$A$13:$D$17,IF('Skovbrug-alder'!C211&lt;=År2,3,4),FALSE)-IF(C211&gt;2020,SUM(INDEX($C$1:$D$311,MATCH(1,(2020=$C$1:$C$311)*(B211=$B$1:$B$311)*(A211=$A$1:$A$311),0),2):D210),0))</f>
        <v>0</v>
      </c>
      <c r="E211" s="168">
        <f t="shared" ca="1" si="4"/>
        <v>0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8">
        <f ca="1">IF($C211-G$1&lt;År1,0,F210*(1-VLOOKUP($A211,[1]Hugst!$R$5:$W$9,MATCH(ROUNDUP((G$1)/10,0)*10,[1]Hugst!$R$4:$W$4,0))))</f>
        <v>0</v>
      </c>
      <c r="H211" s="168">
        <f ca="1">IF($C211-H$1&lt;År1,0,G210*(1-VLOOKUP($A211,[1]Hugst!$R$5:$W$9,MATCH(ROUNDUP((H$1)/10,0)*10,[1]Hugst!$R$4:$W$4,0))))</f>
        <v>0</v>
      </c>
      <c r="I211" s="168">
        <f ca="1">IF($C211-I$1&lt;År1,0,H210*(1-VLOOKUP($A211,[1]Hugst!$R$5:$W$9,MATCH(ROUNDUP((I$1)/10,0)*10,[1]Hugst!$R$4:$W$4,0))))</f>
        <v>0</v>
      </c>
      <c r="J211" s="168">
        <f ca="1">IF($C211-J$1&lt;År1,0,I210*(1-VLOOKUP($A211,[1]Hugst!$R$5:$W$9,MATCH(ROUNDUP((J$1)/10,0)*10,[1]Hugst!$R$4:$W$4,0))))</f>
        <v>0</v>
      </c>
      <c r="K211" s="168">
        <f ca="1">IF($C211-K$1&lt;År1,0,J210*(1-VLOOKUP($A211,[1]Hugst!$R$5:$W$9,MATCH(ROUNDUP((K$1)/10,0)*10,[1]Hugst!$R$4:$W$4,0))))</f>
        <v>0</v>
      </c>
      <c r="L211" s="168">
        <f ca="1">IF($C211-L$1&lt;År1,0,K210*(1-VLOOKUP($A211,[1]Hugst!$R$5:$W$9,MATCH(ROUNDUP((L$1)/10,0)*10,[1]Hugst!$R$4:$W$4,0))))</f>
        <v>0</v>
      </c>
      <c r="M211" s="168">
        <f ca="1">IF($C211-M$1&lt;År1,0,L210*(1-VLOOKUP($A211,[1]Hugst!$R$5:$W$9,MATCH(ROUNDUP((M$1)/10,0)*10,[1]Hugst!$R$4:$W$4,0))))</f>
        <v>0</v>
      </c>
      <c r="N211" s="168">
        <f ca="1">IF($C211-N$1&lt;År1,0,M210*(1-VLOOKUP($A211,[1]Hugst!$R$5:$W$9,MATCH(ROUNDUP((N$1)/10,0)*10,[1]Hugst!$R$4:$W$4,0))))</f>
        <v>0</v>
      </c>
      <c r="O211" s="168">
        <f ca="1">IF($C211-O$1&lt;År1,0,N210*(1-VLOOKUP($A211,[1]Hugst!$R$5:$W$9,MATCH(ROUNDUP((O$1)/10,0)*10,[1]Hugst!$R$4:$W$4,0))))</f>
        <v>0</v>
      </c>
      <c r="P211" s="168">
        <f ca="1">IF($C211-P$1&lt;År1,0,O210*(1-VLOOKUP($A211,[1]Hugst!$R$5:$W$9,MATCH(ROUNDUP((P$1)/10,0)*10,[1]Hugst!$R$4:$W$4,0))))</f>
        <v>0</v>
      </c>
      <c r="Q211" s="168">
        <f ca="1">IF($C211-Q$1&lt;År1,0,P210*(1-VLOOKUP($A211,[1]Hugst!$R$5:$W$9,MATCH(ROUNDUP((Q$1)/10,0)*10,[1]Hugst!$R$4:$W$4,0))))</f>
        <v>0</v>
      </c>
      <c r="R211" s="168">
        <f ca="1">IF($C211-R$1&lt;År1,0,Q210*(1-VLOOKUP($A211,[1]Hugst!$R$5:$W$9,MATCH(ROUNDUP((R$1)/10,0)*10,[1]Hugst!$R$4:$W$4,0))))</f>
        <v>0</v>
      </c>
      <c r="S211" s="168">
        <f ca="1">IF($C211-S$1&lt;År1,0,R210*(1-VLOOKUP($A211,[1]Hugst!$R$5:$W$9,MATCH(ROUNDUP((S$1)/10,0)*10,[1]Hugst!$R$4:$W$4,0))))</f>
        <v>0</v>
      </c>
      <c r="T211" s="168">
        <f ca="1">IF($C211-T$1&lt;År1,0,S210*(1-VLOOKUP($A211,[1]Hugst!$R$5:$W$9,MATCH(ROUNDUP((T$1)/10,0)*10,[1]Hugst!$R$4:$W$4,0))))</f>
        <v>0</v>
      </c>
      <c r="U211" s="168">
        <f ca="1">IF($C211-U$1&lt;År1,0,T210*(1-VLOOKUP($A211,[1]Hugst!$R$5:$W$9,MATCH(ROUNDUP((U$1)/10,0)*10,[1]Hugst!$R$4:$W$4,0))))</f>
        <v>0</v>
      </c>
      <c r="V211" s="168">
        <f ca="1">IF($C211-V$1&lt;År1,0,U210*(1-VLOOKUP($A211,[1]Hugst!$R$5:$W$9,MATCH(ROUNDUP((V$1)/10,0)*10,[1]Hugst!$R$4:$W$4,0))))</f>
        <v>0</v>
      </c>
      <c r="W211" s="168">
        <f ca="1">IF($C211-W$1&lt;År1,0,V210*(1-VLOOKUP($A211,[1]Hugst!$R$5:$W$9,MATCH(ROUNDUP((W$1)/10,0)*10,[1]Hugst!$R$4:$W$4,0))))</f>
        <v>0</v>
      </c>
      <c r="X211" s="168">
        <f ca="1">IF($C211-X$1&lt;År1,0,W210*(1-VLOOKUP($A211,[1]Hugst!$R$5:$W$9,MATCH(ROUNDUP((X$1)/10,0)*10,[1]Hugst!$R$4:$W$4,0))))</f>
        <v>0</v>
      </c>
      <c r="Y211" s="168">
        <f ca="1">IF($C211-Y$1&lt;År1,0,X210*(1-VLOOKUP($A211,[1]Hugst!$R$5:$W$9,MATCH(ROUNDUP((Y$1)/10,0)*10,[1]Hugst!$R$4:$W$4,0))))</f>
        <v>0</v>
      </c>
      <c r="Z211" s="168">
        <f ca="1">IF($C211-Z$1&lt;År1,0,Y210*(1-VLOOKUP($A211,[1]Hugst!$R$5:$W$9,MATCH(ROUNDUP((Z$1)/10,0)*10,[1]Hugst!$R$4:$W$4,0))))</f>
        <v>0</v>
      </c>
      <c r="AA211" s="168">
        <f ca="1">IF($C211-AA$1&lt;År1,0,Z210*(1-VLOOKUP($A211,[1]Hugst!$R$5:$W$9,MATCH(ROUNDUP((AA$1)/10,0)*10,[1]Hugst!$R$4:$W$4,0))))</f>
        <v>0</v>
      </c>
      <c r="AB211" s="168">
        <f ca="1">IF($C211-AB$1&lt;År1,0,AA210*(1-VLOOKUP($A211,[1]Hugst!$R$5:$W$9,MATCH(ROUNDUP((AB$1)/10,0)*10,[1]Hugst!$R$4:$W$4,0))))</f>
        <v>0</v>
      </c>
      <c r="AC211" s="168">
        <f ca="1">IF($C211-AC$1&lt;År1,0,AB210*(1-VLOOKUP($A211,[1]Hugst!$R$5:$W$9,MATCH(ROUNDUP((AC$1)/10,0)*10,[1]Hugst!$R$4:$W$4,0))))</f>
        <v>0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*VLOOKUP(A212,Skovbrug!$A$13:$D$17,IF('Skovbrug-alder'!C212&lt;=År2,3,4),FALSE)-IF(C212&gt;2020,SUM(INDEX($C$1:$D$311,MATCH(1,(2020=$C$1:$C$311)*(B212=$B$1:$B$311)*(A212=$A$1:$A$311),0),2):D211),0))</f>
        <v>0</v>
      </c>
      <c r="E212" s="168">
        <f t="shared" ca="1" si="4"/>
        <v>0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8">
        <f ca="1">IF($C212-G$1&lt;År1,0,F211*(1-VLOOKUP($A212,[1]Hugst!$R$5:$W$9,MATCH(ROUNDUP((G$1)/10,0)*10,[1]Hugst!$R$4:$W$4,0))))</f>
        <v>0</v>
      </c>
      <c r="H212" s="168">
        <f ca="1">IF($C212-H$1&lt;År1,0,G211*(1-VLOOKUP($A212,[1]Hugst!$R$5:$W$9,MATCH(ROUNDUP((H$1)/10,0)*10,[1]Hugst!$R$4:$W$4,0))))</f>
        <v>0</v>
      </c>
      <c r="I212" s="168">
        <f ca="1">IF($C212-I$1&lt;År1,0,H211*(1-VLOOKUP($A212,[1]Hugst!$R$5:$W$9,MATCH(ROUNDUP((I$1)/10,0)*10,[1]Hugst!$R$4:$W$4,0))))</f>
        <v>0</v>
      </c>
      <c r="J212" s="168">
        <f ca="1">IF($C212-J$1&lt;År1,0,I211*(1-VLOOKUP($A212,[1]Hugst!$R$5:$W$9,MATCH(ROUNDUP((J$1)/10,0)*10,[1]Hugst!$R$4:$W$4,0))))</f>
        <v>0</v>
      </c>
      <c r="K212" s="168">
        <f ca="1">IF($C212-K$1&lt;År1,0,J211*(1-VLOOKUP($A212,[1]Hugst!$R$5:$W$9,MATCH(ROUNDUP((K$1)/10,0)*10,[1]Hugst!$R$4:$W$4,0))))</f>
        <v>0</v>
      </c>
      <c r="L212" s="168">
        <f ca="1">IF($C212-L$1&lt;År1,0,K211*(1-VLOOKUP($A212,[1]Hugst!$R$5:$W$9,MATCH(ROUNDUP((L$1)/10,0)*10,[1]Hugst!$R$4:$W$4,0))))</f>
        <v>0</v>
      </c>
      <c r="M212" s="168">
        <f ca="1">IF($C212-M$1&lt;År1,0,L211*(1-VLOOKUP($A212,[1]Hugst!$R$5:$W$9,MATCH(ROUNDUP((M$1)/10,0)*10,[1]Hugst!$R$4:$W$4,0))))</f>
        <v>0</v>
      </c>
      <c r="N212" s="168">
        <f ca="1">IF($C212-N$1&lt;År1,0,M211*(1-VLOOKUP($A212,[1]Hugst!$R$5:$W$9,MATCH(ROUNDUP((N$1)/10,0)*10,[1]Hugst!$R$4:$W$4,0))))</f>
        <v>0</v>
      </c>
      <c r="O212" s="168">
        <f ca="1">IF($C212-O$1&lt;År1,0,N211*(1-VLOOKUP($A212,[1]Hugst!$R$5:$W$9,MATCH(ROUNDUP((O$1)/10,0)*10,[1]Hugst!$R$4:$W$4,0))))</f>
        <v>0</v>
      </c>
      <c r="P212" s="168">
        <f ca="1">IF($C212-P$1&lt;År1,0,O211*(1-VLOOKUP($A212,[1]Hugst!$R$5:$W$9,MATCH(ROUNDUP((P$1)/10,0)*10,[1]Hugst!$R$4:$W$4,0))))</f>
        <v>0</v>
      </c>
      <c r="Q212" s="168">
        <f ca="1">IF($C212-Q$1&lt;År1,0,P211*(1-VLOOKUP($A212,[1]Hugst!$R$5:$W$9,MATCH(ROUNDUP((Q$1)/10,0)*10,[1]Hugst!$R$4:$W$4,0))))</f>
        <v>0</v>
      </c>
      <c r="R212" s="168">
        <f ca="1">IF($C212-R$1&lt;År1,0,Q211*(1-VLOOKUP($A212,[1]Hugst!$R$5:$W$9,MATCH(ROUNDUP((R$1)/10,0)*10,[1]Hugst!$R$4:$W$4,0))))</f>
        <v>0</v>
      </c>
      <c r="S212" s="168">
        <f ca="1">IF($C212-S$1&lt;År1,0,R211*(1-VLOOKUP($A212,[1]Hugst!$R$5:$W$9,MATCH(ROUNDUP((S$1)/10,0)*10,[1]Hugst!$R$4:$W$4,0))))</f>
        <v>0</v>
      </c>
      <c r="T212" s="168">
        <f ca="1">IF($C212-T$1&lt;År1,0,S211*(1-VLOOKUP($A212,[1]Hugst!$R$5:$W$9,MATCH(ROUNDUP((T$1)/10,0)*10,[1]Hugst!$R$4:$W$4,0))))</f>
        <v>0</v>
      </c>
      <c r="U212" s="168">
        <f ca="1">IF($C212-U$1&lt;År1,0,T211*(1-VLOOKUP($A212,[1]Hugst!$R$5:$W$9,MATCH(ROUNDUP((U$1)/10,0)*10,[1]Hugst!$R$4:$W$4,0))))</f>
        <v>0</v>
      </c>
      <c r="V212" s="168">
        <f ca="1">IF($C212-V$1&lt;År1,0,U211*(1-VLOOKUP($A212,[1]Hugst!$R$5:$W$9,MATCH(ROUNDUP((V$1)/10,0)*10,[1]Hugst!$R$4:$W$4,0))))</f>
        <v>0</v>
      </c>
      <c r="W212" s="168">
        <f ca="1">IF($C212-W$1&lt;År1,0,V211*(1-VLOOKUP($A212,[1]Hugst!$R$5:$W$9,MATCH(ROUNDUP((W$1)/10,0)*10,[1]Hugst!$R$4:$W$4,0))))</f>
        <v>0</v>
      </c>
      <c r="X212" s="168">
        <f ca="1">IF($C212-X$1&lt;År1,0,W211*(1-VLOOKUP($A212,[1]Hugst!$R$5:$W$9,MATCH(ROUNDUP((X$1)/10,0)*10,[1]Hugst!$R$4:$W$4,0))))</f>
        <v>0</v>
      </c>
      <c r="Y212" s="168">
        <f ca="1">IF($C212-Y$1&lt;År1,0,X211*(1-VLOOKUP($A212,[1]Hugst!$R$5:$W$9,MATCH(ROUNDUP((Y$1)/10,0)*10,[1]Hugst!$R$4:$W$4,0))))</f>
        <v>0</v>
      </c>
      <c r="Z212" s="168">
        <f ca="1">IF($C212-Z$1&lt;År1,0,Y211*(1-VLOOKUP($A212,[1]Hugst!$R$5:$W$9,MATCH(ROUNDUP((Z$1)/10,0)*10,[1]Hugst!$R$4:$W$4,0))))</f>
        <v>0</v>
      </c>
      <c r="AA212" s="168">
        <f ca="1">IF($C212-AA$1&lt;År1,0,Z211*(1-VLOOKUP($A212,[1]Hugst!$R$5:$W$9,MATCH(ROUNDUP((AA$1)/10,0)*10,[1]Hugst!$R$4:$W$4,0))))</f>
        <v>0</v>
      </c>
      <c r="AB212" s="168">
        <f ca="1">IF($C212-AB$1&lt;År1,0,AA211*(1-VLOOKUP($A212,[1]Hugst!$R$5:$W$9,MATCH(ROUNDUP((AB$1)/10,0)*10,[1]Hugst!$R$4:$W$4,0))))</f>
        <v>0</v>
      </c>
      <c r="AC212" s="168">
        <f ca="1">IF($C212-AC$1&lt;År1,0,AB211*(1-VLOOKUP($A212,[1]Hugst!$R$5:$W$9,MATCH(ROUNDUP((AC$1)/10,0)*10,[1]Hugst!$R$4:$W$4,0))))</f>
        <v>0</v>
      </c>
      <c r="AD212" s="168">
        <f ca="1">IF($C212-AD$1&lt;År1,0,AC211*(1-VLOOKUP($A212,[1]Hugst!$R$5:$W$9,MATCH(ROUNDUP((AD$1)/10,0)*10,[1]Hugst!$R$4:$W$4,0))))</f>
        <v>0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*VLOOKUP(A213,Skovbrug!$A$13:$D$17,IF('Skovbrug-alder'!C213&lt;=År2,3,4),FALSE)-IF(C213&gt;2020,SUM(INDEX($C$1:$D$311,MATCH(1,(2020=$C$1:$C$311)*(B213=$B$1:$B$311)*(A213=$A$1:$A$311),0),2):D212),0))</f>
        <v>0</v>
      </c>
      <c r="E213" s="168">
        <f t="shared" ca="1" si="4"/>
        <v>0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8">
        <f ca="1">IF($C213-G$1&lt;År1,0,F212*(1-VLOOKUP($A213,[1]Hugst!$R$5:$W$9,MATCH(ROUNDUP((G$1)/10,0)*10,[1]Hugst!$R$4:$W$4,0))))</f>
        <v>0</v>
      </c>
      <c r="H213" s="168">
        <f ca="1">IF($C213-H$1&lt;År1,0,G212*(1-VLOOKUP($A213,[1]Hugst!$R$5:$W$9,MATCH(ROUNDUP((H$1)/10,0)*10,[1]Hugst!$R$4:$W$4,0))))</f>
        <v>0</v>
      </c>
      <c r="I213" s="168">
        <f ca="1">IF($C213-I$1&lt;År1,0,H212*(1-VLOOKUP($A213,[1]Hugst!$R$5:$W$9,MATCH(ROUNDUP((I$1)/10,0)*10,[1]Hugst!$R$4:$W$4,0))))</f>
        <v>0</v>
      </c>
      <c r="J213" s="168">
        <f ca="1">IF($C213-J$1&lt;År1,0,I212*(1-VLOOKUP($A213,[1]Hugst!$R$5:$W$9,MATCH(ROUNDUP((J$1)/10,0)*10,[1]Hugst!$R$4:$W$4,0))))</f>
        <v>0</v>
      </c>
      <c r="K213" s="168">
        <f ca="1">IF($C213-K$1&lt;År1,0,J212*(1-VLOOKUP($A213,[1]Hugst!$R$5:$W$9,MATCH(ROUNDUP((K$1)/10,0)*10,[1]Hugst!$R$4:$W$4,0))))</f>
        <v>0</v>
      </c>
      <c r="L213" s="168">
        <f ca="1">IF($C213-L$1&lt;År1,0,K212*(1-VLOOKUP($A213,[1]Hugst!$R$5:$W$9,MATCH(ROUNDUP((L$1)/10,0)*10,[1]Hugst!$R$4:$W$4,0))))</f>
        <v>0</v>
      </c>
      <c r="M213" s="168">
        <f ca="1">IF($C213-M$1&lt;År1,0,L212*(1-VLOOKUP($A213,[1]Hugst!$R$5:$W$9,MATCH(ROUNDUP((M$1)/10,0)*10,[1]Hugst!$R$4:$W$4,0))))</f>
        <v>0</v>
      </c>
      <c r="N213" s="168">
        <f ca="1">IF($C213-N$1&lt;År1,0,M212*(1-VLOOKUP($A213,[1]Hugst!$R$5:$W$9,MATCH(ROUNDUP((N$1)/10,0)*10,[1]Hugst!$R$4:$W$4,0))))</f>
        <v>0</v>
      </c>
      <c r="O213" s="168">
        <f ca="1">IF($C213-O$1&lt;År1,0,N212*(1-VLOOKUP($A213,[1]Hugst!$R$5:$W$9,MATCH(ROUNDUP((O$1)/10,0)*10,[1]Hugst!$R$4:$W$4,0))))</f>
        <v>0</v>
      </c>
      <c r="P213" s="168">
        <f ca="1">IF($C213-P$1&lt;År1,0,O212*(1-VLOOKUP($A213,[1]Hugst!$R$5:$W$9,MATCH(ROUNDUP((P$1)/10,0)*10,[1]Hugst!$R$4:$W$4,0))))</f>
        <v>0</v>
      </c>
      <c r="Q213" s="168">
        <f ca="1">IF($C213-Q$1&lt;År1,0,P212*(1-VLOOKUP($A213,[1]Hugst!$R$5:$W$9,MATCH(ROUNDUP((Q$1)/10,0)*10,[1]Hugst!$R$4:$W$4,0))))</f>
        <v>0</v>
      </c>
      <c r="R213" s="168">
        <f ca="1">IF($C213-R$1&lt;År1,0,Q212*(1-VLOOKUP($A213,[1]Hugst!$R$5:$W$9,MATCH(ROUNDUP((R$1)/10,0)*10,[1]Hugst!$R$4:$W$4,0))))</f>
        <v>0</v>
      </c>
      <c r="S213" s="168">
        <f ca="1">IF($C213-S$1&lt;År1,0,R212*(1-VLOOKUP($A213,[1]Hugst!$R$5:$W$9,MATCH(ROUNDUP((S$1)/10,0)*10,[1]Hugst!$R$4:$W$4,0))))</f>
        <v>0</v>
      </c>
      <c r="T213" s="168">
        <f ca="1">IF($C213-T$1&lt;År1,0,S212*(1-VLOOKUP($A213,[1]Hugst!$R$5:$W$9,MATCH(ROUNDUP((T$1)/10,0)*10,[1]Hugst!$R$4:$W$4,0))))</f>
        <v>0</v>
      </c>
      <c r="U213" s="168">
        <f ca="1">IF($C213-U$1&lt;År1,0,T212*(1-VLOOKUP($A213,[1]Hugst!$R$5:$W$9,MATCH(ROUNDUP((U$1)/10,0)*10,[1]Hugst!$R$4:$W$4,0))))</f>
        <v>0</v>
      </c>
      <c r="V213" s="168">
        <f ca="1">IF($C213-V$1&lt;År1,0,U212*(1-VLOOKUP($A213,[1]Hugst!$R$5:$W$9,MATCH(ROUNDUP((V$1)/10,0)*10,[1]Hugst!$R$4:$W$4,0))))</f>
        <v>0</v>
      </c>
      <c r="W213" s="168">
        <f ca="1">IF($C213-W$1&lt;År1,0,V212*(1-VLOOKUP($A213,[1]Hugst!$R$5:$W$9,MATCH(ROUNDUP((W$1)/10,0)*10,[1]Hugst!$R$4:$W$4,0))))</f>
        <v>0</v>
      </c>
      <c r="X213" s="168">
        <f ca="1">IF($C213-X$1&lt;År1,0,W212*(1-VLOOKUP($A213,[1]Hugst!$R$5:$W$9,MATCH(ROUNDUP((X$1)/10,0)*10,[1]Hugst!$R$4:$W$4,0))))</f>
        <v>0</v>
      </c>
      <c r="Y213" s="168">
        <f ca="1">IF($C213-Y$1&lt;År1,0,X212*(1-VLOOKUP($A213,[1]Hugst!$R$5:$W$9,MATCH(ROUNDUP((Y$1)/10,0)*10,[1]Hugst!$R$4:$W$4,0))))</f>
        <v>0</v>
      </c>
      <c r="Z213" s="168">
        <f ca="1">IF($C213-Z$1&lt;År1,0,Y212*(1-VLOOKUP($A213,[1]Hugst!$R$5:$W$9,MATCH(ROUNDUP((Z$1)/10,0)*10,[1]Hugst!$R$4:$W$4,0))))</f>
        <v>0</v>
      </c>
      <c r="AA213" s="168">
        <f ca="1">IF($C213-AA$1&lt;År1,0,Z212*(1-VLOOKUP($A213,[1]Hugst!$R$5:$W$9,MATCH(ROUNDUP((AA$1)/10,0)*10,[1]Hugst!$R$4:$W$4,0))))</f>
        <v>0</v>
      </c>
      <c r="AB213" s="168">
        <f ca="1">IF($C213-AB$1&lt;År1,0,AA212*(1-VLOOKUP($A213,[1]Hugst!$R$5:$W$9,MATCH(ROUNDUP((AB$1)/10,0)*10,[1]Hugst!$R$4:$W$4,0))))</f>
        <v>0</v>
      </c>
      <c r="AC213" s="168">
        <f ca="1">IF($C213-AC$1&lt;År1,0,AB212*(1-VLOOKUP($A213,[1]Hugst!$R$5:$W$9,MATCH(ROUNDUP((AC$1)/10,0)*10,[1]Hugst!$R$4:$W$4,0))))</f>
        <v>0</v>
      </c>
      <c r="AD213" s="168">
        <f ca="1">IF($C213-AD$1&lt;År1,0,AC212*(1-VLOOKUP($A213,[1]Hugst!$R$5:$W$9,MATCH(ROUNDUP((AD$1)/10,0)*10,[1]Hugst!$R$4:$W$4,0))))</f>
        <v>0</v>
      </c>
      <c r="AE213" s="168">
        <f ca="1">IF($C213-AE$1&lt;År1,0,AD212*(1-VLOOKUP($A213,[1]Hugst!$R$5:$W$9,MATCH(ROUNDUP((AE$1)/10,0)*10,[1]Hugst!$R$4:$W$4,0))))</f>
        <v>0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*VLOOKUP(A214,Skovbrug!$A$13:$D$17,IF('Skovbrug-alder'!C214&lt;=År2,3,4),FALSE)-IF(C214&gt;2020,SUM(INDEX($C$1:$D$311,MATCH(1,(2020=$C$1:$C$311)*(B214=$B$1:$B$311)*(A214=$A$1:$A$311),0),2):D213),0))</f>
        <v>0</v>
      </c>
      <c r="E214" s="168">
        <f t="shared" ca="1" si="4"/>
        <v>0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8">
        <f ca="1">IF($C214-G$1&lt;År1,0,F213*(1-VLOOKUP($A214,[1]Hugst!$R$5:$W$9,MATCH(ROUNDUP((G$1)/10,0)*10,[1]Hugst!$R$4:$W$4,0))))</f>
        <v>0</v>
      </c>
      <c r="H214" s="168">
        <f ca="1">IF($C214-H$1&lt;År1,0,G213*(1-VLOOKUP($A214,[1]Hugst!$R$5:$W$9,MATCH(ROUNDUP((H$1)/10,0)*10,[1]Hugst!$R$4:$W$4,0))))</f>
        <v>0</v>
      </c>
      <c r="I214" s="168">
        <f ca="1">IF($C214-I$1&lt;År1,0,H213*(1-VLOOKUP($A214,[1]Hugst!$R$5:$W$9,MATCH(ROUNDUP((I$1)/10,0)*10,[1]Hugst!$R$4:$W$4,0))))</f>
        <v>0</v>
      </c>
      <c r="J214" s="168">
        <f ca="1">IF($C214-J$1&lt;År1,0,I213*(1-VLOOKUP($A214,[1]Hugst!$R$5:$W$9,MATCH(ROUNDUP((J$1)/10,0)*10,[1]Hugst!$R$4:$W$4,0))))</f>
        <v>0</v>
      </c>
      <c r="K214" s="168">
        <f ca="1">IF($C214-K$1&lt;År1,0,J213*(1-VLOOKUP($A214,[1]Hugst!$R$5:$W$9,MATCH(ROUNDUP((K$1)/10,0)*10,[1]Hugst!$R$4:$W$4,0))))</f>
        <v>0</v>
      </c>
      <c r="L214" s="168">
        <f ca="1">IF($C214-L$1&lt;År1,0,K213*(1-VLOOKUP($A214,[1]Hugst!$R$5:$W$9,MATCH(ROUNDUP((L$1)/10,0)*10,[1]Hugst!$R$4:$W$4,0))))</f>
        <v>0</v>
      </c>
      <c r="M214" s="168">
        <f ca="1">IF($C214-M$1&lt;År1,0,L213*(1-VLOOKUP($A214,[1]Hugst!$R$5:$W$9,MATCH(ROUNDUP((M$1)/10,0)*10,[1]Hugst!$R$4:$W$4,0))))</f>
        <v>0</v>
      </c>
      <c r="N214" s="168">
        <f ca="1">IF($C214-N$1&lt;År1,0,M213*(1-VLOOKUP($A214,[1]Hugst!$R$5:$W$9,MATCH(ROUNDUP((N$1)/10,0)*10,[1]Hugst!$R$4:$W$4,0))))</f>
        <v>0</v>
      </c>
      <c r="O214" s="168">
        <f ca="1">IF($C214-O$1&lt;År1,0,N213*(1-VLOOKUP($A214,[1]Hugst!$R$5:$W$9,MATCH(ROUNDUP((O$1)/10,0)*10,[1]Hugst!$R$4:$W$4,0))))</f>
        <v>0</v>
      </c>
      <c r="P214" s="168">
        <f ca="1">IF($C214-P$1&lt;År1,0,O213*(1-VLOOKUP($A214,[1]Hugst!$R$5:$W$9,MATCH(ROUNDUP((P$1)/10,0)*10,[1]Hugst!$R$4:$W$4,0))))</f>
        <v>0</v>
      </c>
      <c r="Q214" s="168">
        <f ca="1">IF($C214-Q$1&lt;År1,0,P213*(1-VLOOKUP($A214,[1]Hugst!$R$5:$W$9,MATCH(ROUNDUP((Q$1)/10,0)*10,[1]Hugst!$R$4:$W$4,0))))</f>
        <v>0</v>
      </c>
      <c r="R214" s="168">
        <f ca="1">IF($C214-R$1&lt;År1,0,Q213*(1-VLOOKUP($A214,[1]Hugst!$R$5:$W$9,MATCH(ROUNDUP((R$1)/10,0)*10,[1]Hugst!$R$4:$W$4,0))))</f>
        <v>0</v>
      </c>
      <c r="S214" s="168">
        <f ca="1">IF($C214-S$1&lt;År1,0,R213*(1-VLOOKUP($A214,[1]Hugst!$R$5:$W$9,MATCH(ROUNDUP((S$1)/10,0)*10,[1]Hugst!$R$4:$W$4,0))))</f>
        <v>0</v>
      </c>
      <c r="T214" s="168">
        <f ca="1">IF($C214-T$1&lt;År1,0,S213*(1-VLOOKUP($A214,[1]Hugst!$R$5:$W$9,MATCH(ROUNDUP((T$1)/10,0)*10,[1]Hugst!$R$4:$W$4,0))))</f>
        <v>0</v>
      </c>
      <c r="U214" s="168">
        <f ca="1">IF($C214-U$1&lt;År1,0,T213*(1-VLOOKUP($A214,[1]Hugst!$R$5:$W$9,MATCH(ROUNDUP((U$1)/10,0)*10,[1]Hugst!$R$4:$W$4,0))))</f>
        <v>0</v>
      </c>
      <c r="V214" s="168">
        <f ca="1">IF($C214-V$1&lt;År1,0,U213*(1-VLOOKUP($A214,[1]Hugst!$R$5:$W$9,MATCH(ROUNDUP((V$1)/10,0)*10,[1]Hugst!$R$4:$W$4,0))))</f>
        <v>0</v>
      </c>
      <c r="W214" s="168">
        <f ca="1">IF($C214-W$1&lt;År1,0,V213*(1-VLOOKUP($A214,[1]Hugst!$R$5:$W$9,MATCH(ROUNDUP((W$1)/10,0)*10,[1]Hugst!$R$4:$W$4,0))))</f>
        <v>0</v>
      </c>
      <c r="X214" s="168">
        <f ca="1">IF($C214-X$1&lt;År1,0,W213*(1-VLOOKUP($A214,[1]Hugst!$R$5:$W$9,MATCH(ROUNDUP((X$1)/10,0)*10,[1]Hugst!$R$4:$W$4,0))))</f>
        <v>0</v>
      </c>
      <c r="Y214" s="168">
        <f ca="1">IF($C214-Y$1&lt;År1,0,X213*(1-VLOOKUP($A214,[1]Hugst!$R$5:$W$9,MATCH(ROUNDUP((Y$1)/10,0)*10,[1]Hugst!$R$4:$W$4,0))))</f>
        <v>0</v>
      </c>
      <c r="Z214" s="168">
        <f ca="1">IF($C214-Z$1&lt;År1,0,Y213*(1-VLOOKUP($A214,[1]Hugst!$R$5:$W$9,MATCH(ROUNDUP((Z$1)/10,0)*10,[1]Hugst!$R$4:$W$4,0))))</f>
        <v>0</v>
      </c>
      <c r="AA214" s="168">
        <f ca="1">IF($C214-AA$1&lt;År1,0,Z213*(1-VLOOKUP($A214,[1]Hugst!$R$5:$W$9,MATCH(ROUNDUP((AA$1)/10,0)*10,[1]Hugst!$R$4:$W$4,0))))</f>
        <v>0</v>
      </c>
      <c r="AB214" s="168">
        <f ca="1">IF($C214-AB$1&lt;År1,0,AA213*(1-VLOOKUP($A214,[1]Hugst!$R$5:$W$9,MATCH(ROUNDUP((AB$1)/10,0)*10,[1]Hugst!$R$4:$W$4,0))))</f>
        <v>0</v>
      </c>
      <c r="AC214" s="168">
        <f ca="1">IF($C214-AC$1&lt;År1,0,AB213*(1-VLOOKUP($A214,[1]Hugst!$R$5:$W$9,MATCH(ROUNDUP((AC$1)/10,0)*10,[1]Hugst!$R$4:$W$4,0))))</f>
        <v>0</v>
      </c>
      <c r="AD214" s="168">
        <f ca="1">IF($C214-AD$1&lt;År1,0,AC213*(1-VLOOKUP($A214,[1]Hugst!$R$5:$W$9,MATCH(ROUNDUP((AD$1)/10,0)*10,[1]Hugst!$R$4:$W$4,0))))</f>
        <v>0</v>
      </c>
      <c r="AE214" s="168">
        <f ca="1">IF($C214-AE$1&lt;År1,0,AD213*(1-VLOOKUP($A214,[1]Hugst!$R$5:$W$9,MATCH(ROUNDUP((AE$1)/10,0)*10,[1]Hugst!$R$4:$W$4,0))))</f>
        <v>0</v>
      </c>
      <c r="AF214" s="168">
        <f ca="1">IF($C214-AF$1&lt;År1,0,AE213*(1-VLOOKUP($A214,[1]Hugst!$R$5:$W$9,MATCH(ROUNDUP((AF$1)/10,0)*10,[1]Hugst!$R$4:$W$4,0))))</f>
        <v>0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*VLOOKUP(A215,Skovbrug!$A$13:$D$17,IF('Skovbrug-alder'!C215&lt;=År2,3,4),FALSE)-IF(C215&gt;2020,SUM(INDEX($C$1:$D$311,MATCH(1,(2020=$C$1:$C$311)*(B215=$B$1:$B$311)*(A215=$A$1:$A$311),0),2):D214),0))</f>
        <v>0</v>
      </c>
      <c r="E215" s="168">
        <f t="shared" ca="1" si="4"/>
        <v>0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8">
        <f ca="1">IF($C215-G$1&lt;År1,0,F214*(1-VLOOKUP($A215,[1]Hugst!$R$5:$W$9,MATCH(ROUNDUP((G$1)/10,0)*10,[1]Hugst!$R$4:$W$4,0))))</f>
        <v>0</v>
      </c>
      <c r="H215" s="168">
        <f ca="1">IF($C215-H$1&lt;År1,0,G214*(1-VLOOKUP($A215,[1]Hugst!$R$5:$W$9,MATCH(ROUNDUP((H$1)/10,0)*10,[1]Hugst!$R$4:$W$4,0))))</f>
        <v>0</v>
      </c>
      <c r="I215" s="168">
        <f ca="1">IF($C215-I$1&lt;År1,0,H214*(1-VLOOKUP($A215,[1]Hugst!$R$5:$W$9,MATCH(ROUNDUP((I$1)/10,0)*10,[1]Hugst!$R$4:$W$4,0))))</f>
        <v>0</v>
      </c>
      <c r="J215" s="168">
        <f ca="1">IF($C215-J$1&lt;År1,0,I214*(1-VLOOKUP($A215,[1]Hugst!$R$5:$W$9,MATCH(ROUNDUP((J$1)/10,0)*10,[1]Hugst!$R$4:$W$4,0))))</f>
        <v>0</v>
      </c>
      <c r="K215" s="168">
        <f ca="1">IF($C215-K$1&lt;År1,0,J214*(1-VLOOKUP($A215,[1]Hugst!$R$5:$W$9,MATCH(ROUNDUP((K$1)/10,0)*10,[1]Hugst!$R$4:$W$4,0))))</f>
        <v>0</v>
      </c>
      <c r="L215" s="168">
        <f ca="1">IF($C215-L$1&lt;År1,0,K214*(1-VLOOKUP($A215,[1]Hugst!$R$5:$W$9,MATCH(ROUNDUP((L$1)/10,0)*10,[1]Hugst!$R$4:$W$4,0))))</f>
        <v>0</v>
      </c>
      <c r="M215" s="168">
        <f ca="1">IF($C215-M$1&lt;År1,0,L214*(1-VLOOKUP($A215,[1]Hugst!$R$5:$W$9,MATCH(ROUNDUP((M$1)/10,0)*10,[1]Hugst!$R$4:$W$4,0))))</f>
        <v>0</v>
      </c>
      <c r="N215" s="168">
        <f ca="1">IF($C215-N$1&lt;År1,0,M214*(1-VLOOKUP($A215,[1]Hugst!$R$5:$W$9,MATCH(ROUNDUP((N$1)/10,0)*10,[1]Hugst!$R$4:$W$4,0))))</f>
        <v>0</v>
      </c>
      <c r="O215" s="168">
        <f ca="1">IF($C215-O$1&lt;År1,0,N214*(1-VLOOKUP($A215,[1]Hugst!$R$5:$W$9,MATCH(ROUNDUP((O$1)/10,0)*10,[1]Hugst!$R$4:$W$4,0))))</f>
        <v>0</v>
      </c>
      <c r="P215" s="168">
        <f ca="1">IF($C215-P$1&lt;År1,0,O214*(1-VLOOKUP($A215,[1]Hugst!$R$5:$W$9,MATCH(ROUNDUP((P$1)/10,0)*10,[1]Hugst!$R$4:$W$4,0))))</f>
        <v>0</v>
      </c>
      <c r="Q215" s="168">
        <f ca="1">IF($C215-Q$1&lt;År1,0,P214*(1-VLOOKUP($A215,[1]Hugst!$R$5:$W$9,MATCH(ROUNDUP((Q$1)/10,0)*10,[1]Hugst!$R$4:$W$4,0))))</f>
        <v>0</v>
      </c>
      <c r="R215" s="168">
        <f ca="1">IF($C215-R$1&lt;År1,0,Q214*(1-VLOOKUP($A215,[1]Hugst!$R$5:$W$9,MATCH(ROUNDUP((R$1)/10,0)*10,[1]Hugst!$R$4:$W$4,0))))</f>
        <v>0</v>
      </c>
      <c r="S215" s="168">
        <f ca="1">IF($C215-S$1&lt;År1,0,R214*(1-VLOOKUP($A215,[1]Hugst!$R$5:$W$9,MATCH(ROUNDUP((S$1)/10,0)*10,[1]Hugst!$R$4:$W$4,0))))</f>
        <v>0</v>
      </c>
      <c r="T215" s="168">
        <f ca="1">IF($C215-T$1&lt;År1,0,S214*(1-VLOOKUP($A215,[1]Hugst!$R$5:$W$9,MATCH(ROUNDUP((T$1)/10,0)*10,[1]Hugst!$R$4:$W$4,0))))</f>
        <v>0</v>
      </c>
      <c r="U215" s="168">
        <f ca="1">IF($C215-U$1&lt;År1,0,T214*(1-VLOOKUP($A215,[1]Hugst!$R$5:$W$9,MATCH(ROUNDUP((U$1)/10,0)*10,[1]Hugst!$R$4:$W$4,0))))</f>
        <v>0</v>
      </c>
      <c r="V215" s="168">
        <f ca="1">IF($C215-V$1&lt;År1,0,U214*(1-VLOOKUP($A215,[1]Hugst!$R$5:$W$9,MATCH(ROUNDUP((V$1)/10,0)*10,[1]Hugst!$R$4:$W$4,0))))</f>
        <v>0</v>
      </c>
      <c r="W215" s="168">
        <f ca="1">IF($C215-W$1&lt;År1,0,V214*(1-VLOOKUP($A215,[1]Hugst!$R$5:$W$9,MATCH(ROUNDUP((W$1)/10,0)*10,[1]Hugst!$R$4:$W$4,0))))</f>
        <v>0</v>
      </c>
      <c r="X215" s="168">
        <f ca="1">IF($C215-X$1&lt;År1,0,W214*(1-VLOOKUP($A215,[1]Hugst!$R$5:$W$9,MATCH(ROUNDUP((X$1)/10,0)*10,[1]Hugst!$R$4:$W$4,0))))</f>
        <v>0</v>
      </c>
      <c r="Y215" s="168">
        <f ca="1">IF($C215-Y$1&lt;År1,0,X214*(1-VLOOKUP($A215,[1]Hugst!$R$5:$W$9,MATCH(ROUNDUP((Y$1)/10,0)*10,[1]Hugst!$R$4:$W$4,0))))</f>
        <v>0</v>
      </c>
      <c r="Z215" s="168">
        <f ca="1">IF($C215-Z$1&lt;År1,0,Y214*(1-VLOOKUP($A215,[1]Hugst!$R$5:$W$9,MATCH(ROUNDUP((Z$1)/10,0)*10,[1]Hugst!$R$4:$W$4,0))))</f>
        <v>0</v>
      </c>
      <c r="AA215" s="168">
        <f ca="1">IF($C215-AA$1&lt;År1,0,Z214*(1-VLOOKUP($A215,[1]Hugst!$R$5:$W$9,MATCH(ROUNDUP((AA$1)/10,0)*10,[1]Hugst!$R$4:$W$4,0))))</f>
        <v>0</v>
      </c>
      <c r="AB215" s="168">
        <f ca="1">IF($C215-AB$1&lt;År1,0,AA214*(1-VLOOKUP($A215,[1]Hugst!$R$5:$W$9,MATCH(ROUNDUP((AB$1)/10,0)*10,[1]Hugst!$R$4:$W$4,0))))</f>
        <v>0</v>
      </c>
      <c r="AC215" s="168">
        <f ca="1">IF($C215-AC$1&lt;År1,0,AB214*(1-VLOOKUP($A215,[1]Hugst!$R$5:$W$9,MATCH(ROUNDUP((AC$1)/10,0)*10,[1]Hugst!$R$4:$W$4,0))))</f>
        <v>0</v>
      </c>
      <c r="AD215" s="168">
        <f ca="1">IF($C215-AD$1&lt;År1,0,AC214*(1-VLOOKUP($A215,[1]Hugst!$R$5:$W$9,MATCH(ROUNDUP((AD$1)/10,0)*10,[1]Hugst!$R$4:$W$4,0))))</f>
        <v>0</v>
      </c>
      <c r="AE215" s="168">
        <f ca="1">IF($C215-AE$1&lt;År1,0,AD214*(1-VLOOKUP($A215,[1]Hugst!$R$5:$W$9,MATCH(ROUNDUP((AE$1)/10,0)*10,[1]Hugst!$R$4:$W$4,0))))</f>
        <v>0</v>
      </c>
      <c r="AF215" s="168">
        <f ca="1">IF($C215-AF$1&lt;År1,0,AE214*(1-VLOOKUP($A215,[1]Hugst!$R$5:$W$9,MATCH(ROUNDUP((AF$1)/10,0)*10,[1]Hugst!$R$4:$W$4,0))))</f>
        <v>0</v>
      </c>
      <c r="AG215" s="168">
        <f ca="1">IF($C215-AG$1&lt;År1,0,AF214*(1-VLOOKUP($A215,[1]Hugst!$R$5:$W$9,MATCH(ROUNDUP((AG$1)/10,0)*10,[1]Hugst!$R$4:$W$4,0))))</f>
        <v>0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*VLOOKUP(A216,Skovbrug!$A$13:$D$17,IF('Skovbrug-alder'!C216&lt;=År2,3,4),FALSE)-IF(C216&gt;2020,SUM(INDEX($C$1:$D$311,MATCH(1,(2020=$C$1:$C$311)*(B216=$B$1:$B$311)*(A216=$A$1:$A$311),0),2):D215),0))</f>
        <v>0</v>
      </c>
      <c r="E216" s="168">
        <f t="shared" ca="1" si="4"/>
        <v>0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8">
        <f ca="1">IF($C216-G$1&lt;År1,0,F215*(1-VLOOKUP($A216,[1]Hugst!$R$5:$W$9,MATCH(ROUNDUP((G$1)/10,0)*10,[1]Hugst!$R$4:$W$4,0))))</f>
        <v>0</v>
      </c>
      <c r="H216" s="168">
        <f ca="1">IF($C216-H$1&lt;År1,0,G215*(1-VLOOKUP($A216,[1]Hugst!$R$5:$W$9,MATCH(ROUNDUP((H$1)/10,0)*10,[1]Hugst!$R$4:$W$4,0))))</f>
        <v>0</v>
      </c>
      <c r="I216" s="168">
        <f ca="1">IF($C216-I$1&lt;År1,0,H215*(1-VLOOKUP($A216,[1]Hugst!$R$5:$W$9,MATCH(ROUNDUP((I$1)/10,0)*10,[1]Hugst!$R$4:$W$4,0))))</f>
        <v>0</v>
      </c>
      <c r="J216" s="168">
        <f ca="1">IF($C216-J$1&lt;År1,0,I215*(1-VLOOKUP($A216,[1]Hugst!$R$5:$W$9,MATCH(ROUNDUP((J$1)/10,0)*10,[1]Hugst!$R$4:$W$4,0))))</f>
        <v>0</v>
      </c>
      <c r="K216" s="168">
        <f ca="1">IF($C216-K$1&lt;År1,0,J215*(1-VLOOKUP($A216,[1]Hugst!$R$5:$W$9,MATCH(ROUNDUP((K$1)/10,0)*10,[1]Hugst!$R$4:$W$4,0))))</f>
        <v>0</v>
      </c>
      <c r="L216" s="168">
        <f ca="1">IF($C216-L$1&lt;År1,0,K215*(1-VLOOKUP($A216,[1]Hugst!$R$5:$W$9,MATCH(ROUNDUP((L$1)/10,0)*10,[1]Hugst!$R$4:$W$4,0))))</f>
        <v>0</v>
      </c>
      <c r="M216" s="168">
        <f ca="1">IF($C216-M$1&lt;År1,0,L215*(1-VLOOKUP($A216,[1]Hugst!$R$5:$W$9,MATCH(ROUNDUP((M$1)/10,0)*10,[1]Hugst!$R$4:$W$4,0))))</f>
        <v>0</v>
      </c>
      <c r="N216" s="168">
        <f ca="1">IF($C216-N$1&lt;År1,0,M215*(1-VLOOKUP($A216,[1]Hugst!$R$5:$W$9,MATCH(ROUNDUP((N$1)/10,0)*10,[1]Hugst!$R$4:$W$4,0))))</f>
        <v>0</v>
      </c>
      <c r="O216" s="168">
        <f ca="1">IF($C216-O$1&lt;År1,0,N215*(1-VLOOKUP($A216,[1]Hugst!$R$5:$W$9,MATCH(ROUNDUP((O$1)/10,0)*10,[1]Hugst!$R$4:$W$4,0))))</f>
        <v>0</v>
      </c>
      <c r="P216" s="168">
        <f ca="1">IF($C216-P$1&lt;År1,0,O215*(1-VLOOKUP($A216,[1]Hugst!$R$5:$W$9,MATCH(ROUNDUP((P$1)/10,0)*10,[1]Hugst!$R$4:$W$4,0))))</f>
        <v>0</v>
      </c>
      <c r="Q216" s="168">
        <f ca="1">IF($C216-Q$1&lt;År1,0,P215*(1-VLOOKUP($A216,[1]Hugst!$R$5:$W$9,MATCH(ROUNDUP((Q$1)/10,0)*10,[1]Hugst!$R$4:$W$4,0))))</f>
        <v>0</v>
      </c>
      <c r="R216" s="168">
        <f ca="1">IF($C216-R$1&lt;År1,0,Q215*(1-VLOOKUP($A216,[1]Hugst!$R$5:$W$9,MATCH(ROUNDUP((R$1)/10,0)*10,[1]Hugst!$R$4:$W$4,0))))</f>
        <v>0</v>
      </c>
      <c r="S216" s="168">
        <f ca="1">IF($C216-S$1&lt;År1,0,R215*(1-VLOOKUP($A216,[1]Hugst!$R$5:$W$9,MATCH(ROUNDUP((S$1)/10,0)*10,[1]Hugst!$R$4:$W$4,0))))</f>
        <v>0</v>
      </c>
      <c r="T216" s="168">
        <f ca="1">IF($C216-T$1&lt;År1,0,S215*(1-VLOOKUP($A216,[1]Hugst!$R$5:$W$9,MATCH(ROUNDUP((T$1)/10,0)*10,[1]Hugst!$R$4:$W$4,0))))</f>
        <v>0</v>
      </c>
      <c r="U216" s="168">
        <f ca="1">IF($C216-U$1&lt;År1,0,T215*(1-VLOOKUP($A216,[1]Hugst!$R$5:$W$9,MATCH(ROUNDUP((U$1)/10,0)*10,[1]Hugst!$R$4:$W$4,0))))</f>
        <v>0</v>
      </c>
      <c r="V216" s="168">
        <f ca="1">IF($C216-V$1&lt;År1,0,U215*(1-VLOOKUP($A216,[1]Hugst!$R$5:$W$9,MATCH(ROUNDUP((V$1)/10,0)*10,[1]Hugst!$R$4:$W$4,0))))</f>
        <v>0</v>
      </c>
      <c r="W216" s="168">
        <f ca="1">IF($C216-W$1&lt;År1,0,V215*(1-VLOOKUP($A216,[1]Hugst!$R$5:$W$9,MATCH(ROUNDUP((W$1)/10,0)*10,[1]Hugst!$R$4:$W$4,0))))</f>
        <v>0</v>
      </c>
      <c r="X216" s="168">
        <f ca="1">IF($C216-X$1&lt;År1,0,W215*(1-VLOOKUP($A216,[1]Hugst!$R$5:$W$9,MATCH(ROUNDUP((X$1)/10,0)*10,[1]Hugst!$R$4:$W$4,0))))</f>
        <v>0</v>
      </c>
      <c r="Y216" s="168">
        <f ca="1">IF($C216-Y$1&lt;År1,0,X215*(1-VLOOKUP($A216,[1]Hugst!$R$5:$W$9,MATCH(ROUNDUP((Y$1)/10,0)*10,[1]Hugst!$R$4:$W$4,0))))</f>
        <v>0</v>
      </c>
      <c r="Z216" s="168">
        <f ca="1">IF($C216-Z$1&lt;År1,0,Y215*(1-VLOOKUP($A216,[1]Hugst!$R$5:$W$9,MATCH(ROUNDUP((Z$1)/10,0)*10,[1]Hugst!$R$4:$W$4,0))))</f>
        <v>0</v>
      </c>
      <c r="AA216" s="168">
        <f ca="1">IF($C216-AA$1&lt;År1,0,Z215*(1-VLOOKUP($A216,[1]Hugst!$R$5:$W$9,MATCH(ROUNDUP((AA$1)/10,0)*10,[1]Hugst!$R$4:$W$4,0))))</f>
        <v>0</v>
      </c>
      <c r="AB216" s="168">
        <f ca="1">IF($C216-AB$1&lt;År1,0,AA215*(1-VLOOKUP($A216,[1]Hugst!$R$5:$W$9,MATCH(ROUNDUP((AB$1)/10,0)*10,[1]Hugst!$R$4:$W$4,0))))</f>
        <v>0</v>
      </c>
      <c r="AC216" s="168">
        <f ca="1">IF($C216-AC$1&lt;År1,0,AB215*(1-VLOOKUP($A216,[1]Hugst!$R$5:$W$9,MATCH(ROUNDUP((AC$1)/10,0)*10,[1]Hugst!$R$4:$W$4,0))))</f>
        <v>0</v>
      </c>
      <c r="AD216" s="168">
        <f ca="1">IF($C216-AD$1&lt;År1,0,AC215*(1-VLOOKUP($A216,[1]Hugst!$R$5:$W$9,MATCH(ROUNDUP((AD$1)/10,0)*10,[1]Hugst!$R$4:$W$4,0))))</f>
        <v>0</v>
      </c>
      <c r="AE216" s="168">
        <f ca="1">IF($C216-AE$1&lt;År1,0,AD215*(1-VLOOKUP($A216,[1]Hugst!$R$5:$W$9,MATCH(ROUNDUP((AE$1)/10,0)*10,[1]Hugst!$R$4:$W$4,0))))</f>
        <v>0</v>
      </c>
      <c r="AF216" s="168">
        <f ca="1">IF($C216-AF$1&lt;År1,0,AE215*(1-VLOOKUP($A216,[1]Hugst!$R$5:$W$9,MATCH(ROUNDUP((AF$1)/10,0)*10,[1]Hugst!$R$4:$W$4,0))))</f>
        <v>0</v>
      </c>
      <c r="AG216" s="168">
        <f ca="1">IF($C216-AG$1&lt;År1,0,AF215*(1-VLOOKUP($A216,[1]Hugst!$R$5:$W$9,MATCH(ROUNDUP((AG$1)/10,0)*10,[1]Hugst!$R$4:$W$4,0))))</f>
        <v>0</v>
      </c>
      <c r="AH216" s="168">
        <f ca="1">IF($C216-AH$1&lt;År1,0,AG215*(1-VLOOKUP($A216,[1]Hugst!$R$5:$W$9,MATCH(ROUNDUP((AH$1)/10,0)*10,[1]Hugst!$R$4:$W$4,0))))</f>
        <v>0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*VLOOKUP(A217,Skovbrug!$A$13:$D$17,IF('Skovbrug-alder'!C217&lt;=År2,3,4),FALSE)-IF(C217&gt;2020,SUM(INDEX($C$1:$D$311,MATCH(1,(2020=$C$1:$C$311)*(B217=$B$1:$B$311)*(A217=$A$1:$A$311),0),2):D216),0))</f>
        <v>0</v>
      </c>
      <c r="E217" s="168">
        <f t="shared" ca="1" si="4"/>
        <v>0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8">
        <f ca="1">IF($C217-G$1&lt;År1,0,F216*(1-VLOOKUP($A217,[1]Hugst!$R$5:$W$9,MATCH(ROUNDUP((G$1)/10,0)*10,[1]Hugst!$R$4:$W$4,0))))</f>
        <v>0</v>
      </c>
      <c r="H217" s="168">
        <f ca="1">IF($C217-H$1&lt;År1,0,G216*(1-VLOOKUP($A217,[1]Hugst!$R$5:$W$9,MATCH(ROUNDUP((H$1)/10,0)*10,[1]Hugst!$R$4:$W$4,0))))</f>
        <v>0</v>
      </c>
      <c r="I217" s="168">
        <f ca="1">IF($C217-I$1&lt;År1,0,H216*(1-VLOOKUP($A217,[1]Hugst!$R$5:$W$9,MATCH(ROUNDUP((I$1)/10,0)*10,[1]Hugst!$R$4:$W$4,0))))</f>
        <v>0</v>
      </c>
      <c r="J217" s="168">
        <f ca="1">IF($C217-J$1&lt;År1,0,I216*(1-VLOOKUP($A217,[1]Hugst!$R$5:$W$9,MATCH(ROUNDUP((J$1)/10,0)*10,[1]Hugst!$R$4:$W$4,0))))</f>
        <v>0</v>
      </c>
      <c r="K217" s="168">
        <f ca="1">IF($C217-K$1&lt;År1,0,J216*(1-VLOOKUP($A217,[1]Hugst!$R$5:$W$9,MATCH(ROUNDUP((K$1)/10,0)*10,[1]Hugst!$R$4:$W$4,0))))</f>
        <v>0</v>
      </c>
      <c r="L217" s="168">
        <f ca="1">IF($C217-L$1&lt;År1,0,K216*(1-VLOOKUP($A217,[1]Hugst!$R$5:$W$9,MATCH(ROUNDUP((L$1)/10,0)*10,[1]Hugst!$R$4:$W$4,0))))</f>
        <v>0</v>
      </c>
      <c r="M217" s="168">
        <f ca="1">IF($C217-M$1&lt;År1,0,L216*(1-VLOOKUP($A217,[1]Hugst!$R$5:$W$9,MATCH(ROUNDUP((M$1)/10,0)*10,[1]Hugst!$R$4:$W$4,0))))</f>
        <v>0</v>
      </c>
      <c r="N217" s="168">
        <f ca="1">IF($C217-N$1&lt;År1,0,M216*(1-VLOOKUP($A217,[1]Hugst!$R$5:$W$9,MATCH(ROUNDUP((N$1)/10,0)*10,[1]Hugst!$R$4:$W$4,0))))</f>
        <v>0</v>
      </c>
      <c r="O217" s="168">
        <f ca="1">IF($C217-O$1&lt;År1,0,N216*(1-VLOOKUP($A217,[1]Hugst!$R$5:$W$9,MATCH(ROUNDUP((O$1)/10,0)*10,[1]Hugst!$R$4:$W$4,0))))</f>
        <v>0</v>
      </c>
      <c r="P217" s="168">
        <f ca="1">IF($C217-P$1&lt;År1,0,O216*(1-VLOOKUP($A217,[1]Hugst!$R$5:$W$9,MATCH(ROUNDUP((P$1)/10,0)*10,[1]Hugst!$R$4:$W$4,0))))</f>
        <v>0</v>
      </c>
      <c r="Q217" s="168">
        <f ca="1">IF($C217-Q$1&lt;År1,0,P216*(1-VLOOKUP($A217,[1]Hugst!$R$5:$W$9,MATCH(ROUNDUP((Q$1)/10,0)*10,[1]Hugst!$R$4:$W$4,0))))</f>
        <v>0</v>
      </c>
      <c r="R217" s="168">
        <f ca="1">IF($C217-R$1&lt;År1,0,Q216*(1-VLOOKUP($A217,[1]Hugst!$R$5:$W$9,MATCH(ROUNDUP((R$1)/10,0)*10,[1]Hugst!$R$4:$W$4,0))))</f>
        <v>0</v>
      </c>
      <c r="S217" s="168">
        <f ca="1">IF($C217-S$1&lt;År1,0,R216*(1-VLOOKUP($A217,[1]Hugst!$R$5:$W$9,MATCH(ROUNDUP((S$1)/10,0)*10,[1]Hugst!$R$4:$W$4,0))))</f>
        <v>0</v>
      </c>
      <c r="T217" s="168">
        <f ca="1">IF($C217-T$1&lt;År1,0,S216*(1-VLOOKUP($A217,[1]Hugst!$R$5:$W$9,MATCH(ROUNDUP((T$1)/10,0)*10,[1]Hugst!$R$4:$W$4,0))))</f>
        <v>0</v>
      </c>
      <c r="U217" s="168">
        <f ca="1">IF($C217-U$1&lt;År1,0,T216*(1-VLOOKUP($A217,[1]Hugst!$R$5:$W$9,MATCH(ROUNDUP((U$1)/10,0)*10,[1]Hugst!$R$4:$W$4,0))))</f>
        <v>0</v>
      </c>
      <c r="V217" s="168">
        <f ca="1">IF($C217-V$1&lt;År1,0,U216*(1-VLOOKUP($A217,[1]Hugst!$R$5:$W$9,MATCH(ROUNDUP((V$1)/10,0)*10,[1]Hugst!$R$4:$W$4,0))))</f>
        <v>0</v>
      </c>
      <c r="W217" s="168">
        <f ca="1">IF($C217-W$1&lt;År1,0,V216*(1-VLOOKUP($A217,[1]Hugst!$R$5:$W$9,MATCH(ROUNDUP((W$1)/10,0)*10,[1]Hugst!$R$4:$W$4,0))))</f>
        <v>0</v>
      </c>
      <c r="X217" s="168">
        <f ca="1">IF($C217-X$1&lt;År1,0,W216*(1-VLOOKUP($A217,[1]Hugst!$R$5:$W$9,MATCH(ROUNDUP((X$1)/10,0)*10,[1]Hugst!$R$4:$W$4,0))))</f>
        <v>0</v>
      </c>
      <c r="Y217" s="168">
        <f ca="1">IF($C217-Y$1&lt;År1,0,X216*(1-VLOOKUP($A217,[1]Hugst!$R$5:$W$9,MATCH(ROUNDUP((Y$1)/10,0)*10,[1]Hugst!$R$4:$W$4,0))))</f>
        <v>0</v>
      </c>
      <c r="Z217" s="168">
        <f ca="1">IF($C217-Z$1&lt;År1,0,Y216*(1-VLOOKUP($A217,[1]Hugst!$R$5:$W$9,MATCH(ROUNDUP((Z$1)/10,0)*10,[1]Hugst!$R$4:$W$4,0))))</f>
        <v>0</v>
      </c>
      <c r="AA217" s="168">
        <f ca="1">IF($C217-AA$1&lt;År1,0,Z216*(1-VLOOKUP($A217,[1]Hugst!$R$5:$W$9,MATCH(ROUNDUP((AA$1)/10,0)*10,[1]Hugst!$R$4:$W$4,0))))</f>
        <v>0</v>
      </c>
      <c r="AB217" s="168">
        <f ca="1">IF($C217-AB$1&lt;År1,0,AA216*(1-VLOOKUP($A217,[1]Hugst!$R$5:$W$9,MATCH(ROUNDUP((AB$1)/10,0)*10,[1]Hugst!$R$4:$W$4,0))))</f>
        <v>0</v>
      </c>
      <c r="AC217" s="168">
        <f ca="1">IF($C217-AC$1&lt;År1,0,AB216*(1-VLOOKUP($A217,[1]Hugst!$R$5:$W$9,MATCH(ROUNDUP((AC$1)/10,0)*10,[1]Hugst!$R$4:$W$4,0))))</f>
        <v>0</v>
      </c>
      <c r="AD217" s="168">
        <f ca="1">IF($C217-AD$1&lt;År1,0,AC216*(1-VLOOKUP($A217,[1]Hugst!$R$5:$W$9,MATCH(ROUNDUP((AD$1)/10,0)*10,[1]Hugst!$R$4:$W$4,0))))</f>
        <v>0</v>
      </c>
      <c r="AE217" s="168">
        <f ca="1">IF($C217-AE$1&lt;År1,0,AD216*(1-VLOOKUP($A217,[1]Hugst!$R$5:$W$9,MATCH(ROUNDUP((AE$1)/10,0)*10,[1]Hugst!$R$4:$W$4,0))))</f>
        <v>0</v>
      </c>
      <c r="AF217" s="168">
        <f ca="1">IF($C217-AF$1&lt;År1,0,AE216*(1-VLOOKUP($A217,[1]Hugst!$R$5:$W$9,MATCH(ROUNDUP((AF$1)/10,0)*10,[1]Hugst!$R$4:$W$4,0))))</f>
        <v>0</v>
      </c>
      <c r="AG217" s="168">
        <f ca="1">IF($C217-AG$1&lt;År1,0,AF216*(1-VLOOKUP($A217,[1]Hugst!$R$5:$W$9,MATCH(ROUNDUP((AG$1)/10,0)*10,[1]Hugst!$R$4:$W$4,0))))</f>
        <v>0</v>
      </c>
      <c r="AH217" s="168">
        <f ca="1">IF($C217-AH$1&lt;År1,0,AG216*(1-VLOOKUP($A217,[1]Hugst!$R$5:$W$9,MATCH(ROUNDUP((AH$1)/10,0)*10,[1]Hugst!$R$4:$W$4,0))))</f>
        <v>0</v>
      </c>
      <c r="AI217" s="168">
        <f ca="1">IF($C217-AI$1&lt;År1,0,AH216*(1-VLOOKUP($A217,[1]Hugst!$R$5:$W$9,MATCH(ROUNDUP((AI$1)/10,0)*10,[1]Hugst!$R$4:$W$4,0))))</f>
        <v>0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*VLOOKUP(A218,Skovbrug!$A$13:$D$17,IF('Skovbrug-alder'!C218&lt;=År2,3,4),FALSE)-IF(C218&gt;2020,SUM(INDEX($C$1:$D$311,MATCH(1,(2020=$C$1:$C$311)*(B218=$B$1:$B$311)*(A218=$A$1:$A$311),0),2):D217),0))</f>
        <v>0</v>
      </c>
      <c r="E218" s="168">
        <f t="shared" ca="1" si="4"/>
        <v>0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8">
        <f ca="1">IF($C218-G$1&lt;År1,0,F217*(1-VLOOKUP($A218,[1]Hugst!$R$5:$W$9,MATCH(ROUNDUP((G$1)/10,0)*10,[1]Hugst!$R$4:$W$4,0))))</f>
        <v>0</v>
      </c>
      <c r="H218" s="168">
        <f ca="1">IF($C218-H$1&lt;År1,0,G217*(1-VLOOKUP($A218,[1]Hugst!$R$5:$W$9,MATCH(ROUNDUP((H$1)/10,0)*10,[1]Hugst!$R$4:$W$4,0))))</f>
        <v>0</v>
      </c>
      <c r="I218" s="168">
        <f ca="1">IF($C218-I$1&lt;År1,0,H217*(1-VLOOKUP($A218,[1]Hugst!$R$5:$W$9,MATCH(ROUNDUP((I$1)/10,0)*10,[1]Hugst!$R$4:$W$4,0))))</f>
        <v>0</v>
      </c>
      <c r="J218" s="168">
        <f ca="1">IF($C218-J$1&lt;År1,0,I217*(1-VLOOKUP($A218,[1]Hugst!$R$5:$W$9,MATCH(ROUNDUP((J$1)/10,0)*10,[1]Hugst!$R$4:$W$4,0))))</f>
        <v>0</v>
      </c>
      <c r="K218" s="168">
        <f ca="1">IF($C218-K$1&lt;År1,0,J217*(1-VLOOKUP($A218,[1]Hugst!$R$5:$W$9,MATCH(ROUNDUP((K$1)/10,0)*10,[1]Hugst!$R$4:$W$4,0))))</f>
        <v>0</v>
      </c>
      <c r="L218" s="168">
        <f ca="1">IF($C218-L$1&lt;År1,0,K217*(1-VLOOKUP($A218,[1]Hugst!$R$5:$W$9,MATCH(ROUNDUP((L$1)/10,0)*10,[1]Hugst!$R$4:$W$4,0))))</f>
        <v>0</v>
      </c>
      <c r="M218" s="168">
        <f ca="1">IF($C218-M$1&lt;År1,0,L217*(1-VLOOKUP($A218,[1]Hugst!$R$5:$W$9,MATCH(ROUNDUP((M$1)/10,0)*10,[1]Hugst!$R$4:$W$4,0))))</f>
        <v>0</v>
      </c>
      <c r="N218" s="168">
        <f ca="1">IF($C218-N$1&lt;År1,0,M217*(1-VLOOKUP($A218,[1]Hugst!$R$5:$W$9,MATCH(ROUNDUP((N$1)/10,0)*10,[1]Hugst!$R$4:$W$4,0))))</f>
        <v>0</v>
      </c>
      <c r="O218" s="168">
        <f ca="1">IF($C218-O$1&lt;År1,0,N217*(1-VLOOKUP($A218,[1]Hugst!$R$5:$W$9,MATCH(ROUNDUP((O$1)/10,0)*10,[1]Hugst!$R$4:$W$4,0))))</f>
        <v>0</v>
      </c>
      <c r="P218" s="168">
        <f ca="1">IF($C218-P$1&lt;År1,0,O217*(1-VLOOKUP($A218,[1]Hugst!$R$5:$W$9,MATCH(ROUNDUP((P$1)/10,0)*10,[1]Hugst!$R$4:$W$4,0))))</f>
        <v>0</v>
      </c>
      <c r="Q218" s="168">
        <f ca="1">IF($C218-Q$1&lt;År1,0,P217*(1-VLOOKUP($A218,[1]Hugst!$R$5:$W$9,MATCH(ROUNDUP((Q$1)/10,0)*10,[1]Hugst!$R$4:$W$4,0))))</f>
        <v>0</v>
      </c>
      <c r="R218" s="168">
        <f ca="1">IF($C218-R$1&lt;År1,0,Q217*(1-VLOOKUP($A218,[1]Hugst!$R$5:$W$9,MATCH(ROUNDUP((R$1)/10,0)*10,[1]Hugst!$R$4:$W$4,0))))</f>
        <v>0</v>
      </c>
      <c r="S218" s="168">
        <f ca="1">IF($C218-S$1&lt;År1,0,R217*(1-VLOOKUP($A218,[1]Hugst!$R$5:$W$9,MATCH(ROUNDUP((S$1)/10,0)*10,[1]Hugst!$R$4:$W$4,0))))</f>
        <v>0</v>
      </c>
      <c r="T218" s="168">
        <f ca="1">IF($C218-T$1&lt;År1,0,S217*(1-VLOOKUP($A218,[1]Hugst!$R$5:$W$9,MATCH(ROUNDUP((T$1)/10,0)*10,[1]Hugst!$R$4:$W$4,0))))</f>
        <v>0</v>
      </c>
      <c r="U218" s="168">
        <f ca="1">IF($C218-U$1&lt;År1,0,T217*(1-VLOOKUP($A218,[1]Hugst!$R$5:$W$9,MATCH(ROUNDUP((U$1)/10,0)*10,[1]Hugst!$R$4:$W$4,0))))</f>
        <v>0</v>
      </c>
      <c r="V218" s="168">
        <f ca="1">IF($C218-V$1&lt;År1,0,U217*(1-VLOOKUP($A218,[1]Hugst!$R$5:$W$9,MATCH(ROUNDUP((V$1)/10,0)*10,[1]Hugst!$R$4:$W$4,0))))</f>
        <v>0</v>
      </c>
      <c r="W218" s="168">
        <f ca="1">IF($C218-W$1&lt;År1,0,V217*(1-VLOOKUP($A218,[1]Hugst!$R$5:$W$9,MATCH(ROUNDUP((W$1)/10,0)*10,[1]Hugst!$R$4:$W$4,0))))</f>
        <v>0</v>
      </c>
      <c r="X218" s="168">
        <f ca="1">IF($C218-X$1&lt;År1,0,W217*(1-VLOOKUP($A218,[1]Hugst!$R$5:$W$9,MATCH(ROUNDUP((X$1)/10,0)*10,[1]Hugst!$R$4:$W$4,0))))</f>
        <v>0</v>
      </c>
      <c r="Y218" s="168">
        <f ca="1">IF($C218-Y$1&lt;År1,0,X217*(1-VLOOKUP($A218,[1]Hugst!$R$5:$W$9,MATCH(ROUNDUP((Y$1)/10,0)*10,[1]Hugst!$R$4:$W$4,0))))</f>
        <v>0</v>
      </c>
      <c r="Z218" s="168">
        <f ca="1">IF($C218-Z$1&lt;År1,0,Y217*(1-VLOOKUP($A218,[1]Hugst!$R$5:$W$9,MATCH(ROUNDUP((Z$1)/10,0)*10,[1]Hugst!$R$4:$W$4,0))))</f>
        <v>0</v>
      </c>
      <c r="AA218" s="168">
        <f ca="1">IF($C218-AA$1&lt;År1,0,Z217*(1-VLOOKUP($A218,[1]Hugst!$R$5:$W$9,MATCH(ROUNDUP((AA$1)/10,0)*10,[1]Hugst!$R$4:$W$4,0))))</f>
        <v>0</v>
      </c>
      <c r="AB218" s="168">
        <f ca="1">IF($C218-AB$1&lt;År1,0,AA217*(1-VLOOKUP($A218,[1]Hugst!$R$5:$W$9,MATCH(ROUNDUP((AB$1)/10,0)*10,[1]Hugst!$R$4:$W$4,0))))</f>
        <v>0</v>
      </c>
      <c r="AC218" s="168">
        <f ca="1">IF($C218-AC$1&lt;År1,0,AB217*(1-VLOOKUP($A218,[1]Hugst!$R$5:$W$9,MATCH(ROUNDUP((AC$1)/10,0)*10,[1]Hugst!$R$4:$W$4,0))))</f>
        <v>0</v>
      </c>
      <c r="AD218" s="168">
        <f ca="1">IF($C218-AD$1&lt;År1,0,AC217*(1-VLOOKUP($A218,[1]Hugst!$R$5:$W$9,MATCH(ROUNDUP((AD$1)/10,0)*10,[1]Hugst!$R$4:$W$4,0))))</f>
        <v>0</v>
      </c>
      <c r="AE218" s="168">
        <f ca="1">IF($C218-AE$1&lt;År1,0,AD217*(1-VLOOKUP($A218,[1]Hugst!$R$5:$W$9,MATCH(ROUNDUP((AE$1)/10,0)*10,[1]Hugst!$R$4:$W$4,0))))</f>
        <v>0</v>
      </c>
      <c r="AF218" s="168">
        <f ca="1">IF($C218-AF$1&lt;År1,0,AE217*(1-VLOOKUP($A218,[1]Hugst!$R$5:$W$9,MATCH(ROUNDUP((AF$1)/10,0)*10,[1]Hugst!$R$4:$W$4,0))))</f>
        <v>0</v>
      </c>
      <c r="AG218" s="168">
        <f ca="1">IF($C218-AG$1&lt;År1,0,AF217*(1-VLOOKUP($A218,[1]Hugst!$R$5:$W$9,MATCH(ROUNDUP((AG$1)/10,0)*10,[1]Hugst!$R$4:$W$4,0))))</f>
        <v>0</v>
      </c>
      <c r="AH218" s="168">
        <f ca="1">IF($C218-AH$1&lt;År1,0,AG217*(1-VLOOKUP($A218,[1]Hugst!$R$5:$W$9,MATCH(ROUNDUP((AH$1)/10,0)*10,[1]Hugst!$R$4:$W$4,0))))</f>
        <v>0</v>
      </c>
      <c r="AI218" s="168">
        <f ca="1">IF($C218-AI$1&lt;År1,0,AH217*(1-VLOOKUP($A218,[1]Hugst!$R$5:$W$9,MATCH(ROUNDUP((AI$1)/10,0)*10,[1]Hugst!$R$4:$W$4,0))))</f>
        <v>0</v>
      </c>
      <c r="AJ218" s="168">
        <f ca="1">IF($C218-AJ$1&lt;År1,0,AI217*(1-VLOOKUP($A218,[1]Hugst!$R$5:$W$9,MATCH(ROUNDUP((AJ$1)/10,0)*10,[1]Hugst!$R$4:$W$4,0))))</f>
        <v>0</v>
      </c>
    </row>
    <row r="219" spans="1:36" x14ac:dyDescent="0.25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*VLOOKUP(A219,Skovbrug!$A$13:$D$17,IF('Skovbrug-alder'!C219&lt;=År2,3,4),FALSE)-IF(C219&gt;2020,SUM(INDEX($C$1:$D$311,MATCH(1,(2020=$C$1:$C$311)*(B219=$B$1:$B$311)*(A219=$A$1:$A$311),0),2):D218),0)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*VLOOKUP(A220,Skovbrug!$A$13:$D$17,IF('Skovbrug-alder'!C220&lt;=År2,3,4),FALSE)-IF(C220&gt;2020,SUM(INDEX($C$1:$D$311,MATCH(1,(2020=$C$1:$C$311)*(B220=$B$1:$B$311)*(A220=$A$1:$A$311),0),2):D219),0))</f>
        <v>0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8">
        <f ca="1">IF($C220-G$1&lt;År1,0,F219*(1-VLOOKUP($A220,[1]Hugst!$R$5:$W$9,MATCH(ROUNDUP((G$1)/10,0)*10,[1]Hugst!$R$4:$W$4,0))))</f>
        <v>0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*VLOOKUP(A221,Skovbrug!$A$13:$D$17,IF('Skovbrug-alder'!C221&lt;=År2,3,4),FALSE)-IF(C221&gt;2020,SUM(INDEX($C$1:$D$311,MATCH(1,(2020=$C$1:$C$311)*(B221=$B$1:$B$311)*(A221=$A$1:$A$311),0),2):D220),0))</f>
        <v>0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8">
        <f ca="1">IF($C221-G$1&lt;År1,0,F220*(1-VLOOKUP($A221,[1]Hugst!$R$5:$W$9,MATCH(ROUNDUP((G$1)/10,0)*10,[1]Hugst!$R$4:$W$4,0))))</f>
        <v>0</v>
      </c>
      <c r="H221" s="168">
        <f ca="1">IF($C221-H$1&lt;År1,0,G220*(1-VLOOKUP($A221,[1]Hugst!$R$5:$W$9,MATCH(ROUNDUP((H$1)/10,0)*10,[1]Hugst!$R$4:$W$4,0))))</f>
        <v>0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*VLOOKUP(A222,Skovbrug!$A$13:$D$17,IF('Skovbrug-alder'!C222&lt;=År2,3,4),FALSE)-IF(C222&gt;2020,SUM(INDEX($C$1:$D$311,MATCH(1,(2020=$C$1:$C$311)*(B222=$B$1:$B$311)*(A222=$A$1:$A$311),0),2):D221),0))</f>
        <v>0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8">
        <f ca="1">IF($C222-G$1&lt;År1,0,F221*(1-VLOOKUP($A222,[1]Hugst!$R$5:$W$9,MATCH(ROUNDUP((G$1)/10,0)*10,[1]Hugst!$R$4:$W$4,0))))</f>
        <v>0</v>
      </c>
      <c r="H222" s="168">
        <f ca="1">IF($C222-H$1&lt;År1,0,G221*(1-VLOOKUP($A222,[1]Hugst!$R$5:$W$9,MATCH(ROUNDUP((H$1)/10,0)*10,[1]Hugst!$R$4:$W$4,0))))</f>
        <v>0</v>
      </c>
      <c r="I222" s="168">
        <f ca="1">IF($C222-I$1&lt;År1,0,H221*(1-VLOOKUP($A222,[1]Hugst!$R$5:$W$9,MATCH(ROUNDUP((I$1)/10,0)*10,[1]Hugst!$R$4:$W$4,0))))</f>
        <v>0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*VLOOKUP(A223,Skovbrug!$A$13:$D$17,IF('Skovbrug-alder'!C223&lt;=År2,3,4),FALSE)-IF(C223&gt;2020,SUM(INDEX($C$1:$D$311,MATCH(1,(2020=$C$1:$C$311)*(B223=$B$1:$B$311)*(A223=$A$1:$A$311),0),2):D222),0))</f>
        <v>0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8">
        <f ca="1">IF($C223-G$1&lt;År1,0,F222*(1-VLOOKUP($A223,[1]Hugst!$R$5:$W$9,MATCH(ROUNDUP((G$1)/10,0)*10,[1]Hugst!$R$4:$W$4,0))))</f>
        <v>0</v>
      </c>
      <c r="H223" s="168">
        <f ca="1">IF($C223-H$1&lt;År1,0,G222*(1-VLOOKUP($A223,[1]Hugst!$R$5:$W$9,MATCH(ROUNDUP((H$1)/10,0)*10,[1]Hugst!$R$4:$W$4,0))))</f>
        <v>0</v>
      </c>
      <c r="I223" s="168">
        <f ca="1">IF($C223-I$1&lt;År1,0,H222*(1-VLOOKUP($A223,[1]Hugst!$R$5:$W$9,MATCH(ROUNDUP((I$1)/10,0)*10,[1]Hugst!$R$4:$W$4,0))))</f>
        <v>0</v>
      </c>
      <c r="J223" s="168">
        <f ca="1">IF($C223-J$1&lt;År1,0,I222*(1-VLOOKUP($A223,[1]Hugst!$R$5:$W$9,MATCH(ROUNDUP((J$1)/10,0)*10,[1]Hugst!$R$4:$W$4,0))))</f>
        <v>0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*VLOOKUP(A224,Skovbrug!$A$13:$D$17,IF('Skovbrug-alder'!C224&lt;=År2,3,4),FALSE)-IF(C224&gt;2020,SUM(INDEX($C$1:$D$311,MATCH(1,(2020=$C$1:$C$311)*(B224=$B$1:$B$311)*(A224=$A$1:$A$311),0),2):D223),0))</f>
        <v>0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8">
        <f ca="1">IF($C224-G$1&lt;År1,0,F223*(1-VLOOKUP($A224,[1]Hugst!$R$5:$W$9,MATCH(ROUNDUP((G$1)/10,0)*10,[1]Hugst!$R$4:$W$4,0))))</f>
        <v>0</v>
      </c>
      <c r="H224" s="168">
        <f ca="1">IF($C224-H$1&lt;År1,0,G223*(1-VLOOKUP($A224,[1]Hugst!$R$5:$W$9,MATCH(ROUNDUP((H$1)/10,0)*10,[1]Hugst!$R$4:$W$4,0))))</f>
        <v>0</v>
      </c>
      <c r="I224" s="168">
        <f ca="1">IF($C224-I$1&lt;År1,0,H223*(1-VLOOKUP($A224,[1]Hugst!$R$5:$W$9,MATCH(ROUNDUP((I$1)/10,0)*10,[1]Hugst!$R$4:$W$4,0))))</f>
        <v>0</v>
      </c>
      <c r="J224" s="168">
        <f ca="1">IF($C224-J$1&lt;År1,0,I223*(1-VLOOKUP($A224,[1]Hugst!$R$5:$W$9,MATCH(ROUNDUP((J$1)/10,0)*10,[1]Hugst!$R$4:$W$4,0))))</f>
        <v>0</v>
      </c>
      <c r="K224" s="168">
        <f ca="1">IF($C224-K$1&lt;År1,0,J223*(1-VLOOKUP($A224,[1]Hugst!$R$5:$W$9,MATCH(ROUNDUP((K$1)/10,0)*10,[1]Hugst!$R$4:$W$4,0))))</f>
        <v>0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*VLOOKUP(A225,Skovbrug!$A$13:$D$17,IF('Skovbrug-alder'!C225&lt;=År2,3,4),FALSE)-IF(C225&gt;2020,SUM(INDEX($C$1:$D$311,MATCH(1,(2020=$C$1:$C$311)*(B225=$B$1:$B$311)*(A225=$A$1:$A$311),0),2):D224),0))</f>
        <v>0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8">
        <f ca="1">IF($C225-G$1&lt;År1,0,F224*(1-VLOOKUP($A225,[1]Hugst!$R$5:$W$9,MATCH(ROUNDUP((G$1)/10,0)*10,[1]Hugst!$R$4:$W$4,0))))</f>
        <v>0</v>
      </c>
      <c r="H225" s="168">
        <f ca="1">IF($C225-H$1&lt;År1,0,G224*(1-VLOOKUP($A225,[1]Hugst!$R$5:$W$9,MATCH(ROUNDUP((H$1)/10,0)*10,[1]Hugst!$R$4:$W$4,0))))</f>
        <v>0</v>
      </c>
      <c r="I225" s="168">
        <f ca="1">IF($C225-I$1&lt;År1,0,H224*(1-VLOOKUP($A225,[1]Hugst!$R$5:$W$9,MATCH(ROUNDUP((I$1)/10,0)*10,[1]Hugst!$R$4:$W$4,0))))</f>
        <v>0</v>
      </c>
      <c r="J225" s="168">
        <f ca="1">IF($C225-J$1&lt;År1,0,I224*(1-VLOOKUP($A225,[1]Hugst!$R$5:$W$9,MATCH(ROUNDUP((J$1)/10,0)*10,[1]Hugst!$R$4:$W$4,0))))</f>
        <v>0</v>
      </c>
      <c r="K225" s="168">
        <f ca="1">IF($C225-K$1&lt;År1,0,J224*(1-VLOOKUP($A225,[1]Hugst!$R$5:$W$9,MATCH(ROUNDUP((K$1)/10,0)*10,[1]Hugst!$R$4:$W$4,0))))</f>
        <v>0</v>
      </c>
      <c r="L225" s="168">
        <f ca="1">IF($C225-L$1&lt;År1,0,K224*(1-VLOOKUP($A225,[1]Hugst!$R$5:$W$9,MATCH(ROUNDUP((L$1)/10,0)*10,[1]Hugst!$R$4:$W$4,0))))</f>
        <v>0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*VLOOKUP(A226,Skovbrug!$A$13:$D$17,IF('Skovbrug-alder'!C226&lt;=År2,3,4),FALSE)-IF(C226&gt;2020,SUM(INDEX($C$1:$D$311,MATCH(1,(2020=$C$1:$C$311)*(B226=$B$1:$B$311)*(A226=$A$1:$A$311),0),2):D225),0))</f>
        <v>0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8">
        <f ca="1">IF($C226-G$1&lt;År1,0,F225*(1-VLOOKUP($A226,[1]Hugst!$R$5:$W$9,MATCH(ROUNDUP((G$1)/10,0)*10,[1]Hugst!$R$4:$W$4,0))))</f>
        <v>0</v>
      </c>
      <c r="H226" s="168">
        <f ca="1">IF($C226-H$1&lt;År1,0,G225*(1-VLOOKUP($A226,[1]Hugst!$R$5:$W$9,MATCH(ROUNDUP((H$1)/10,0)*10,[1]Hugst!$R$4:$W$4,0))))</f>
        <v>0</v>
      </c>
      <c r="I226" s="168">
        <f ca="1">IF($C226-I$1&lt;År1,0,H225*(1-VLOOKUP($A226,[1]Hugst!$R$5:$W$9,MATCH(ROUNDUP((I$1)/10,0)*10,[1]Hugst!$R$4:$W$4,0))))</f>
        <v>0</v>
      </c>
      <c r="J226" s="168">
        <f ca="1">IF($C226-J$1&lt;År1,0,I225*(1-VLOOKUP($A226,[1]Hugst!$R$5:$W$9,MATCH(ROUNDUP((J$1)/10,0)*10,[1]Hugst!$R$4:$W$4,0))))</f>
        <v>0</v>
      </c>
      <c r="K226" s="168">
        <f ca="1">IF($C226-K$1&lt;År1,0,J225*(1-VLOOKUP($A226,[1]Hugst!$R$5:$W$9,MATCH(ROUNDUP((K$1)/10,0)*10,[1]Hugst!$R$4:$W$4,0))))</f>
        <v>0</v>
      </c>
      <c r="L226" s="168">
        <f ca="1">IF($C226-L$1&lt;År1,0,K225*(1-VLOOKUP($A226,[1]Hugst!$R$5:$W$9,MATCH(ROUNDUP((L$1)/10,0)*10,[1]Hugst!$R$4:$W$4,0))))</f>
        <v>0</v>
      </c>
      <c r="M226" s="168">
        <f ca="1">IF($C226-M$1&lt;År1,0,L225*(1-VLOOKUP($A226,[1]Hugst!$R$5:$W$9,MATCH(ROUNDUP((M$1)/10,0)*10,[1]Hugst!$R$4:$W$4,0))))</f>
        <v>0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*VLOOKUP(A227,Skovbrug!$A$13:$D$17,IF('Skovbrug-alder'!C227&lt;=År2,3,4),FALSE)-IF(C227&gt;2020,SUM(INDEX($C$1:$D$311,MATCH(1,(2020=$C$1:$C$311)*(B227=$B$1:$B$311)*(A227=$A$1:$A$311),0),2):D226),0))</f>
        <v>0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8">
        <f ca="1">IF($C227-G$1&lt;År1,0,F226*(1-VLOOKUP($A227,[1]Hugst!$R$5:$W$9,MATCH(ROUNDUP((G$1)/10,0)*10,[1]Hugst!$R$4:$W$4,0))))</f>
        <v>0</v>
      </c>
      <c r="H227" s="168">
        <f ca="1">IF($C227-H$1&lt;År1,0,G226*(1-VLOOKUP($A227,[1]Hugst!$R$5:$W$9,MATCH(ROUNDUP((H$1)/10,0)*10,[1]Hugst!$R$4:$W$4,0))))</f>
        <v>0</v>
      </c>
      <c r="I227" s="168">
        <f ca="1">IF($C227-I$1&lt;År1,0,H226*(1-VLOOKUP($A227,[1]Hugst!$R$5:$W$9,MATCH(ROUNDUP((I$1)/10,0)*10,[1]Hugst!$R$4:$W$4,0))))</f>
        <v>0</v>
      </c>
      <c r="J227" s="168">
        <f ca="1">IF($C227-J$1&lt;År1,0,I226*(1-VLOOKUP($A227,[1]Hugst!$R$5:$W$9,MATCH(ROUNDUP((J$1)/10,0)*10,[1]Hugst!$R$4:$W$4,0))))</f>
        <v>0</v>
      </c>
      <c r="K227" s="168">
        <f ca="1">IF($C227-K$1&lt;År1,0,J226*(1-VLOOKUP($A227,[1]Hugst!$R$5:$W$9,MATCH(ROUNDUP((K$1)/10,0)*10,[1]Hugst!$R$4:$W$4,0))))</f>
        <v>0</v>
      </c>
      <c r="L227" s="168">
        <f ca="1">IF($C227-L$1&lt;År1,0,K226*(1-VLOOKUP($A227,[1]Hugst!$R$5:$W$9,MATCH(ROUNDUP((L$1)/10,0)*10,[1]Hugst!$R$4:$W$4,0))))</f>
        <v>0</v>
      </c>
      <c r="M227" s="168">
        <f ca="1">IF($C227-M$1&lt;År1,0,L226*(1-VLOOKUP($A227,[1]Hugst!$R$5:$W$9,MATCH(ROUNDUP((M$1)/10,0)*10,[1]Hugst!$R$4:$W$4,0))))</f>
        <v>0</v>
      </c>
      <c r="N227" s="168">
        <f ca="1">IF($C227-N$1&lt;År1,0,M226*(1-VLOOKUP($A227,[1]Hugst!$R$5:$W$9,MATCH(ROUNDUP((N$1)/10,0)*10,[1]Hugst!$R$4:$W$4,0))))</f>
        <v>0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*VLOOKUP(A228,Skovbrug!$A$13:$D$17,IF('Skovbrug-alder'!C228&lt;=År2,3,4),FALSE)-IF(C228&gt;2020,SUM(INDEX($C$1:$D$311,MATCH(1,(2020=$C$1:$C$311)*(B228=$B$1:$B$311)*(A228=$A$1:$A$311),0),2):D227),0))</f>
        <v>0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8">
        <f ca="1">IF($C228-G$1&lt;År1,0,F227*(1-VLOOKUP($A228,[1]Hugst!$R$5:$W$9,MATCH(ROUNDUP((G$1)/10,0)*10,[1]Hugst!$R$4:$W$4,0))))</f>
        <v>0</v>
      </c>
      <c r="H228" s="168">
        <f ca="1">IF($C228-H$1&lt;År1,0,G227*(1-VLOOKUP($A228,[1]Hugst!$R$5:$W$9,MATCH(ROUNDUP((H$1)/10,0)*10,[1]Hugst!$R$4:$W$4,0))))</f>
        <v>0</v>
      </c>
      <c r="I228" s="168">
        <f ca="1">IF($C228-I$1&lt;År1,0,H227*(1-VLOOKUP($A228,[1]Hugst!$R$5:$W$9,MATCH(ROUNDUP((I$1)/10,0)*10,[1]Hugst!$R$4:$W$4,0))))</f>
        <v>0</v>
      </c>
      <c r="J228" s="168">
        <f ca="1">IF($C228-J$1&lt;År1,0,I227*(1-VLOOKUP($A228,[1]Hugst!$R$5:$W$9,MATCH(ROUNDUP((J$1)/10,0)*10,[1]Hugst!$R$4:$W$4,0))))</f>
        <v>0</v>
      </c>
      <c r="K228" s="168">
        <f ca="1">IF($C228-K$1&lt;År1,0,J227*(1-VLOOKUP($A228,[1]Hugst!$R$5:$W$9,MATCH(ROUNDUP((K$1)/10,0)*10,[1]Hugst!$R$4:$W$4,0))))</f>
        <v>0</v>
      </c>
      <c r="L228" s="168">
        <f ca="1">IF($C228-L$1&lt;År1,0,K227*(1-VLOOKUP($A228,[1]Hugst!$R$5:$W$9,MATCH(ROUNDUP((L$1)/10,0)*10,[1]Hugst!$R$4:$W$4,0))))</f>
        <v>0</v>
      </c>
      <c r="M228" s="168">
        <f ca="1">IF($C228-M$1&lt;År1,0,L227*(1-VLOOKUP($A228,[1]Hugst!$R$5:$W$9,MATCH(ROUNDUP((M$1)/10,0)*10,[1]Hugst!$R$4:$W$4,0))))</f>
        <v>0</v>
      </c>
      <c r="N228" s="168">
        <f ca="1">IF($C228-N$1&lt;År1,0,M227*(1-VLOOKUP($A228,[1]Hugst!$R$5:$W$9,MATCH(ROUNDUP((N$1)/10,0)*10,[1]Hugst!$R$4:$W$4,0))))</f>
        <v>0</v>
      </c>
      <c r="O228" s="168">
        <f ca="1">IF($C228-O$1&lt;År1,0,N227*(1-VLOOKUP($A228,[1]Hugst!$R$5:$W$9,MATCH(ROUNDUP((O$1)/10,0)*10,[1]Hugst!$R$4:$W$4,0))))</f>
        <v>0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*VLOOKUP(A229,Skovbrug!$A$13:$D$17,IF('Skovbrug-alder'!C229&lt;=År2,3,4),FALSE)-IF(C229&gt;2020,SUM(INDEX($C$1:$D$311,MATCH(1,(2020=$C$1:$C$311)*(B229=$B$1:$B$311)*(A229=$A$1:$A$311),0),2):D228),0))</f>
        <v>0</v>
      </c>
      <c r="E229" s="168">
        <f t="shared" ca="1" si="5"/>
        <v>0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8">
        <f ca="1">IF($C229-G$1&lt;År1,0,F228*(1-VLOOKUP($A229,[1]Hugst!$R$5:$W$9,MATCH(ROUNDUP((G$1)/10,0)*10,[1]Hugst!$R$4:$W$4,0))))</f>
        <v>0</v>
      </c>
      <c r="H229" s="168">
        <f ca="1">IF($C229-H$1&lt;År1,0,G228*(1-VLOOKUP($A229,[1]Hugst!$R$5:$W$9,MATCH(ROUNDUP((H$1)/10,0)*10,[1]Hugst!$R$4:$W$4,0))))</f>
        <v>0</v>
      </c>
      <c r="I229" s="168">
        <f ca="1">IF($C229-I$1&lt;År1,0,H228*(1-VLOOKUP($A229,[1]Hugst!$R$5:$W$9,MATCH(ROUNDUP((I$1)/10,0)*10,[1]Hugst!$R$4:$W$4,0))))</f>
        <v>0</v>
      </c>
      <c r="J229" s="168">
        <f ca="1">IF($C229-J$1&lt;År1,0,I228*(1-VLOOKUP($A229,[1]Hugst!$R$5:$W$9,MATCH(ROUNDUP((J$1)/10,0)*10,[1]Hugst!$R$4:$W$4,0))))</f>
        <v>0</v>
      </c>
      <c r="K229" s="168">
        <f ca="1">IF($C229-K$1&lt;År1,0,J228*(1-VLOOKUP($A229,[1]Hugst!$R$5:$W$9,MATCH(ROUNDUP((K$1)/10,0)*10,[1]Hugst!$R$4:$W$4,0))))</f>
        <v>0</v>
      </c>
      <c r="L229" s="168">
        <f ca="1">IF($C229-L$1&lt;År1,0,K228*(1-VLOOKUP($A229,[1]Hugst!$R$5:$W$9,MATCH(ROUNDUP((L$1)/10,0)*10,[1]Hugst!$R$4:$W$4,0))))</f>
        <v>0</v>
      </c>
      <c r="M229" s="168">
        <f ca="1">IF($C229-M$1&lt;År1,0,L228*(1-VLOOKUP($A229,[1]Hugst!$R$5:$W$9,MATCH(ROUNDUP((M$1)/10,0)*10,[1]Hugst!$R$4:$W$4,0))))</f>
        <v>0</v>
      </c>
      <c r="N229" s="168">
        <f ca="1">IF($C229-N$1&lt;År1,0,M228*(1-VLOOKUP($A229,[1]Hugst!$R$5:$W$9,MATCH(ROUNDUP((N$1)/10,0)*10,[1]Hugst!$R$4:$W$4,0))))</f>
        <v>0</v>
      </c>
      <c r="O229" s="168">
        <f ca="1">IF($C229-O$1&lt;År1,0,N228*(1-VLOOKUP($A229,[1]Hugst!$R$5:$W$9,MATCH(ROUNDUP((O$1)/10,0)*10,[1]Hugst!$R$4:$W$4,0))))</f>
        <v>0</v>
      </c>
      <c r="P229" s="168">
        <f ca="1">IF($C229-P$1&lt;År1,0,O228*(1-VLOOKUP($A229,[1]Hugst!$R$5:$W$9,MATCH(ROUNDUP((P$1)/10,0)*10,[1]Hugst!$R$4:$W$4,0))))</f>
        <v>0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*VLOOKUP(A230,Skovbrug!$A$13:$D$17,IF('Skovbrug-alder'!C230&lt;=År2,3,4),FALSE)-IF(C230&gt;2020,SUM(INDEX($C$1:$D$311,MATCH(1,(2020=$C$1:$C$311)*(B230=$B$1:$B$311)*(A230=$A$1:$A$311),0),2):D229),0))</f>
        <v>0</v>
      </c>
      <c r="E230" s="168">
        <f t="shared" ca="1" si="5"/>
        <v>0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8">
        <f ca="1">IF($C230-G$1&lt;År1,0,F229*(1-VLOOKUP($A230,[1]Hugst!$R$5:$W$9,MATCH(ROUNDUP((G$1)/10,0)*10,[1]Hugst!$R$4:$W$4,0))))</f>
        <v>0</v>
      </c>
      <c r="H230" s="168">
        <f ca="1">IF($C230-H$1&lt;År1,0,G229*(1-VLOOKUP($A230,[1]Hugst!$R$5:$W$9,MATCH(ROUNDUP((H$1)/10,0)*10,[1]Hugst!$R$4:$W$4,0))))</f>
        <v>0</v>
      </c>
      <c r="I230" s="168">
        <f ca="1">IF($C230-I$1&lt;År1,0,H229*(1-VLOOKUP($A230,[1]Hugst!$R$5:$W$9,MATCH(ROUNDUP((I$1)/10,0)*10,[1]Hugst!$R$4:$W$4,0))))</f>
        <v>0</v>
      </c>
      <c r="J230" s="168">
        <f ca="1">IF($C230-J$1&lt;År1,0,I229*(1-VLOOKUP($A230,[1]Hugst!$R$5:$W$9,MATCH(ROUNDUP((J$1)/10,0)*10,[1]Hugst!$R$4:$W$4,0))))</f>
        <v>0</v>
      </c>
      <c r="K230" s="168">
        <f ca="1">IF($C230-K$1&lt;År1,0,J229*(1-VLOOKUP($A230,[1]Hugst!$R$5:$W$9,MATCH(ROUNDUP((K$1)/10,0)*10,[1]Hugst!$R$4:$W$4,0))))</f>
        <v>0</v>
      </c>
      <c r="L230" s="168">
        <f ca="1">IF($C230-L$1&lt;År1,0,K229*(1-VLOOKUP($A230,[1]Hugst!$R$5:$W$9,MATCH(ROUNDUP((L$1)/10,0)*10,[1]Hugst!$R$4:$W$4,0))))</f>
        <v>0</v>
      </c>
      <c r="M230" s="168">
        <f ca="1">IF($C230-M$1&lt;År1,0,L229*(1-VLOOKUP($A230,[1]Hugst!$R$5:$W$9,MATCH(ROUNDUP((M$1)/10,0)*10,[1]Hugst!$R$4:$W$4,0))))</f>
        <v>0</v>
      </c>
      <c r="N230" s="168">
        <f ca="1">IF($C230-N$1&lt;År1,0,M229*(1-VLOOKUP($A230,[1]Hugst!$R$5:$W$9,MATCH(ROUNDUP((N$1)/10,0)*10,[1]Hugst!$R$4:$W$4,0))))</f>
        <v>0</v>
      </c>
      <c r="O230" s="168">
        <f ca="1">IF($C230-O$1&lt;År1,0,N229*(1-VLOOKUP($A230,[1]Hugst!$R$5:$W$9,MATCH(ROUNDUP((O$1)/10,0)*10,[1]Hugst!$R$4:$W$4,0))))</f>
        <v>0</v>
      </c>
      <c r="P230" s="168">
        <f ca="1">IF($C230-P$1&lt;År1,0,O229*(1-VLOOKUP($A230,[1]Hugst!$R$5:$W$9,MATCH(ROUNDUP((P$1)/10,0)*10,[1]Hugst!$R$4:$W$4,0))))</f>
        <v>0</v>
      </c>
      <c r="Q230" s="168">
        <f ca="1">IF($C230-Q$1&lt;År1,0,P229*(1-VLOOKUP($A230,[1]Hugst!$R$5:$W$9,MATCH(ROUNDUP((Q$1)/10,0)*10,[1]Hugst!$R$4:$W$4,0))))</f>
        <v>0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*VLOOKUP(A231,Skovbrug!$A$13:$D$17,IF('Skovbrug-alder'!C231&lt;=År2,3,4),FALSE)-IF(C231&gt;2020,SUM(INDEX($C$1:$D$311,MATCH(1,(2020=$C$1:$C$311)*(B231=$B$1:$B$311)*(A231=$A$1:$A$311),0),2):D230),0))</f>
        <v>0</v>
      </c>
      <c r="E231" s="168">
        <f t="shared" ca="1" si="5"/>
        <v>0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8">
        <f ca="1">IF($C231-G$1&lt;År1,0,F230*(1-VLOOKUP($A231,[1]Hugst!$R$5:$W$9,MATCH(ROUNDUP((G$1)/10,0)*10,[1]Hugst!$R$4:$W$4,0))))</f>
        <v>0</v>
      </c>
      <c r="H231" s="168">
        <f ca="1">IF($C231-H$1&lt;År1,0,G230*(1-VLOOKUP($A231,[1]Hugst!$R$5:$W$9,MATCH(ROUNDUP((H$1)/10,0)*10,[1]Hugst!$R$4:$W$4,0))))</f>
        <v>0</v>
      </c>
      <c r="I231" s="168">
        <f ca="1">IF($C231-I$1&lt;År1,0,H230*(1-VLOOKUP($A231,[1]Hugst!$R$5:$W$9,MATCH(ROUNDUP((I$1)/10,0)*10,[1]Hugst!$R$4:$W$4,0))))</f>
        <v>0</v>
      </c>
      <c r="J231" s="168">
        <f ca="1">IF($C231-J$1&lt;År1,0,I230*(1-VLOOKUP($A231,[1]Hugst!$R$5:$W$9,MATCH(ROUNDUP((J$1)/10,0)*10,[1]Hugst!$R$4:$W$4,0))))</f>
        <v>0</v>
      </c>
      <c r="K231" s="168">
        <f ca="1">IF($C231-K$1&lt;År1,0,J230*(1-VLOOKUP($A231,[1]Hugst!$R$5:$W$9,MATCH(ROUNDUP((K$1)/10,0)*10,[1]Hugst!$R$4:$W$4,0))))</f>
        <v>0</v>
      </c>
      <c r="L231" s="168">
        <f ca="1">IF($C231-L$1&lt;År1,0,K230*(1-VLOOKUP($A231,[1]Hugst!$R$5:$W$9,MATCH(ROUNDUP((L$1)/10,0)*10,[1]Hugst!$R$4:$W$4,0))))</f>
        <v>0</v>
      </c>
      <c r="M231" s="168">
        <f ca="1">IF($C231-M$1&lt;År1,0,L230*(1-VLOOKUP($A231,[1]Hugst!$R$5:$W$9,MATCH(ROUNDUP((M$1)/10,0)*10,[1]Hugst!$R$4:$W$4,0))))</f>
        <v>0</v>
      </c>
      <c r="N231" s="168">
        <f ca="1">IF($C231-N$1&lt;År1,0,M230*(1-VLOOKUP($A231,[1]Hugst!$R$5:$W$9,MATCH(ROUNDUP((N$1)/10,0)*10,[1]Hugst!$R$4:$W$4,0))))</f>
        <v>0</v>
      </c>
      <c r="O231" s="168">
        <f ca="1">IF($C231-O$1&lt;År1,0,N230*(1-VLOOKUP($A231,[1]Hugst!$R$5:$W$9,MATCH(ROUNDUP((O$1)/10,0)*10,[1]Hugst!$R$4:$W$4,0))))</f>
        <v>0</v>
      </c>
      <c r="P231" s="168">
        <f ca="1">IF($C231-P$1&lt;År1,0,O230*(1-VLOOKUP($A231,[1]Hugst!$R$5:$W$9,MATCH(ROUNDUP((P$1)/10,0)*10,[1]Hugst!$R$4:$W$4,0))))</f>
        <v>0</v>
      </c>
      <c r="Q231" s="168">
        <f ca="1">IF($C231-Q$1&lt;År1,0,P230*(1-VLOOKUP($A231,[1]Hugst!$R$5:$W$9,MATCH(ROUNDUP((Q$1)/10,0)*10,[1]Hugst!$R$4:$W$4,0))))</f>
        <v>0</v>
      </c>
      <c r="R231" s="168">
        <f ca="1">IF($C231-R$1&lt;År1,0,Q230*(1-VLOOKUP($A231,[1]Hugst!$R$5:$W$9,MATCH(ROUNDUP((R$1)/10,0)*10,[1]Hugst!$R$4:$W$4,0))))</f>
        <v>0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*VLOOKUP(A232,Skovbrug!$A$13:$D$17,IF('Skovbrug-alder'!C232&lt;=År2,3,4),FALSE)-IF(C232&gt;2020,SUM(INDEX($C$1:$D$311,MATCH(1,(2020=$C$1:$C$311)*(B232=$B$1:$B$311)*(A232=$A$1:$A$311),0),2):D231),0))</f>
        <v>0</v>
      </c>
      <c r="E232" s="168">
        <f t="shared" ca="1" si="5"/>
        <v>0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8">
        <f ca="1">IF($C232-G$1&lt;År1,0,F231*(1-VLOOKUP($A232,[1]Hugst!$R$5:$W$9,MATCH(ROUNDUP((G$1)/10,0)*10,[1]Hugst!$R$4:$W$4,0))))</f>
        <v>0</v>
      </c>
      <c r="H232" s="168">
        <f ca="1">IF($C232-H$1&lt;År1,0,G231*(1-VLOOKUP($A232,[1]Hugst!$R$5:$W$9,MATCH(ROUNDUP((H$1)/10,0)*10,[1]Hugst!$R$4:$W$4,0))))</f>
        <v>0</v>
      </c>
      <c r="I232" s="168">
        <f ca="1">IF($C232-I$1&lt;År1,0,H231*(1-VLOOKUP($A232,[1]Hugst!$R$5:$W$9,MATCH(ROUNDUP((I$1)/10,0)*10,[1]Hugst!$R$4:$W$4,0))))</f>
        <v>0</v>
      </c>
      <c r="J232" s="168">
        <f ca="1">IF($C232-J$1&lt;År1,0,I231*(1-VLOOKUP($A232,[1]Hugst!$R$5:$W$9,MATCH(ROUNDUP((J$1)/10,0)*10,[1]Hugst!$R$4:$W$4,0))))</f>
        <v>0</v>
      </c>
      <c r="K232" s="168">
        <f ca="1">IF($C232-K$1&lt;År1,0,J231*(1-VLOOKUP($A232,[1]Hugst!$R$5:$W$9,MATCH(ROUNDUP((K$1)/10,0)*10,[1]Hugst!$R$4:$W$4,0))))</f>
        <v>0</v>
      </c>
      <c r="L232" s="168">
        <f ca="1">IF($C232-L$1&lt;År1,0,K231*(1-VLOOKUP($A232,[1]Hugst!$R$5:$W$9,MATCH(ROUNDUP((L$1)/10,0)*10,[1]Hugst!$R$4:$W$4,0))))</f>
        <v>0</v>
      </c>
      <c r="M232" s="168">
        <f ca="1">IF($C232-M$1&lt;År1,0,L231*(1-VLOOKUP($A232,[1]Hugst!$R$5:$W$9,MATCH(ROUNDUP((M$1)/10,0)*10,[1]Hugst!$R$4:$W$4,0))))</f>
        <v>0</v>
      </c>
      <c r="N232" s="168">
        <f ca="1">IF($C232-N$1&lt;År1,0,M231*(1-VLOOKUP($A232,[1]Hugst!$R$5:$W$9,MATCH(ROUNDUP((N$1)/10,0)*10,[1]Hugst!$R$4:$W$4,0))))</f>
        <v>0</v>
      </c>
      <c r="O232" s="168">
        <f ca="1">IF($C232-O$1&lt;År1,0,N231*(1-VLOOKUP($A232,[1]Hugst!$R$5:$W$9,MATCH(ROUNDUP((O$1)/10,0)*10,[1]Hugst!$R$4:$W$4,0))))</f>
        <v>0</v>
      </c>
      <c r="P232" s="168">
        <f ca="1">IF($C232-P$1&lt;År1,0,O231*(1-VLOOKUP($A232,[1]Hugst!$R$5:$W$9,MATCH(ROUNDUP((P$1)/10,0)*10,[1]Hugst!$R$4:$W$4,0))))</f>
        <v>0</v>
      </c>
      <c r="Q232" s="168">
        <f ca="1">IF($C232-Q$1&lt;År1,0,P231*(1-VLOOKUP($A232,[1]Hugst!$R$5:$W$9,MATCH(ROUNDUP((Q$1)/10,0)*10,[1]Hugst!$R$4:$W$4,0))))</f>
        <v>0</v>
      </c>
      <c r="R232" s="168">
        <f ca="1">IF($C232-R$1&lt;År1,0,Q231*(1-VLOOKUP($A232,[1]Hugst!$R$5:$W$9,MATCH(ROUNDUP((R$1)/10,0)*10,[1]Hugst!$R$4:$W$4,0))))</f>
        <v>0</v>
      </c>
      <c r="S232" s="168">
        <f ca="1">IF($C232-S$1&lt;År1,0,R231*(1-VLOOKUP($A232,[1]Hugst!$R$5:$W$9,MATCH(ROUNDUP((S$1)/10,0)*10,[1]Hugst!$R$4:$W$4,0))))</f>
        <v>0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*VLOOKUP(A233,Skovbrug!$A$13:$D$17,IF('Skovbrug-alder'!C233&lt;=År2,3,4),FALSE)-IF(C233&gt;2020,SUM(INDEX($C$1:$D$311,MATCH(1,(2020=$C$1:$C$311)*(B233=$B$1:$B$311)*(A233=$A$1:$A$311),0),2):D232),0))</f>
        <v>0</v>
      </c>
      <c r="E233" s="168">
        <f t="shared" ca="1" si="5"/>
        <v>0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8">
        <f ca="1">IF($C233-G$1&lt;År1,0,F232*(1-VLOOKUP($A233,[1]Hugst!$R$5:$W$9,MATCH(ROUNDUP((G$1)/10,0)*10,[1]Hugst!$R$4:$W$4,0))))</f>
        <v>0</v>
      </c>
      <c r="H233" s="168">
        <f ca="1">IF($C233-H$1&lt;År1,0,G232*(1-VLOOKUP($A233,[1]Hugst!$R$5:$W$9,MATCH(ROUNDUP((H$1)/10,0)*10,[1]Hugst!$R$4:$W$4,0))))</f>
        <v>0</v>
      </c>
      <c r="I233" s="168">
        <f ca="1">IF($C233-I$1&lt;År1,0,H232*(1-VLOOKUP($A233,[1]Hugst!$R$5:$W$9,MATCH(ROUNDUP((I$1)/10,0)*10,[1]Hugst!$R$4:$W$4,0))))</f>
        <v>0</v>
      </c>
      <c r="J233" s="168">
        <f ca="1">IF($C233-J$1&lt;År1,0,I232*(1-VLOOKUP($A233,[1]Hugst!$R$5:$W$9,MATCH(ROUNDUP((J$1)/10,0)*10,[1]Hugst!$R$4:$W$4,0))))</f>
        <v>0</v>
      </c>
      <c r="K233" s="168">
        <f ca="1">IF($C233-K$1&lt;År1,0,J232*(1-VLOOKUP($A233,[1]Hugst!$R$5:$W$9,MATCH(ROUNDUP((K$1)/10,0)*10,[1]Hugst!$R$4:$W$4,0))))</f>
        <v>0</v>
      </c>
      <c r="L233" s="168">
        <f ca="1">IF($C233-L$1&lt;År1,0,K232*(1-VLOOKUP($A233,[1]Hugst!$R$5:$W$9,MATCH(ROUNDUP((L$1)/10,0)*10,[1]Hugst!$R$4:$W$4,0))))</f>
        <v>0</v>
      </c>
      <c r="M233" s="168">
        <f ca="1">IF($C233-M$1&lt;År1,0,L232*(1-VLOOKUP($A233,[1]Hugst!$R$5:$W$9,MATCH(ROUNDUP((M$1)/10,0)*10,[1]Hugst!$R$4:$W$4,0))))</f>
        <v>0</v>
      </c>
      <c r="N233" s="168">
        <f ca="1">IF($C233-N$1&lt;År1,0,M232*(1-VLOOKUP($A233,[1]Hugst!$R$5:$W$9,MATCH(ROUNDUP((N$1)/10,0)*10,[1]Hugst!$R$4:$W$4,0))))</f>
        <v>0</v>
      </c>
      <c r="O233" s="168">
        <f ca="1">IF($C233-O$1&lt;År1,0,N232*(1-VLOOKUP($A233,[1]Hugst!$R$5:$W$9,MATCH(ROUNDUP((O$1)/10,0)*10,[1]Hugst!$R$4:$W$4,0))))</f>
        <v>0</v>
      </c>
      <c r="P233" s="168">
        <f ca="1">IF($C233-P$1&lt;År1,0,O232*(1-VLOOKUP($A233,[1]Hugst!$R$5:$W$9,MATCH(ROUNDUP((P$1)/10,0)*10,[1]Hugst!$R$4:$W$4,0))))</f>
        <v>0</v>
      </c>
      <c r="Q233" s="168">
        <f ca="1">IF($C233-Q$1&lt;År1,0,P232*(1-VLOOKUP($A233,[1]Hugst!$R$5:$W$9,MATCH(ROUNDUP((Q$1)/10,0)*10,[1]Hugst!$R$4:$W$4,0))))</f>
        <v>0</v>
      </c>
      <c r="R233" s="168">
        <f ca="1">IF($C233-R$1&lt;År1,0,Q232*(1-VLOOKUP($A233,[1]Hugst!$R$5:$W$9,MATCH(ROUNDUP((R$1)/10,0)*10,[1]Hugst!$R$4:$W$4,0))))</f>
        <v>0</v>
      </c>
      <c r="S233" s="168">
        <f ca="1">IF($C233-S$1&lt;År1,0,R232*(1-VLOOKUP($A233,[1]Hugst!$R$5:$W$9,MATCH(ROUNDUP((S$1)/10,0)*10,[1]Hugst!$R$4:$W$4,0))))</f>
        <v>0</v>
      </c>
      <c r="T233" s="168">
        <f ca="1">IF($C233-T$1&lt;År1,0,S232*(1-VLOOKUP($A233,[1]Hugst!$R$5:$W$9,MATCH(ROUNDUP((T$1)/10,0)*10,[1]Hugst!$R$4:$W$4,0))))</f>
        <v>0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*VLOOKUP(A234,Skovbrug!$A$13:$D$17,IF('Skovbrug-alder'!C234&lt;=År2,3,4),FALSE)-IF(C234&gt;2020,SUM(INDEX($C$1:$D$311,MATCH(1,(2020=$C$1:$C$311)*(B234=$B$1:$B$311)*(A234=$A$1:$A$311),0),2):D233),0))</f>
        <v>0</v>
      </c>
      <c r="E234" s="168">
        <f t="shared" ca="1" si="5"/>
        <v>0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8">
        <f ca="1">IF($C234-G$1&lt;År1,0,F233*(1-VLOOKUP($A234,[1]Hugst!$R$5:$W$9,MATCH(ROUNDUP((G$1)/10,0)*10,[1]Hugst!$R$4:$W$4,0))))</f>
        <v>0</v>
      </c>
      <c r="H234" s="168">
        <f ca="1">IF($C234-H$1&lt;År1,0,G233*(1-VLOOKUP($A234,[1]Hugst!$R$5:$W$9,MATCH(ROUNDUP((H$1)/10,0)*10,[1]Hugst!$R$4:$W$4,0))))</f>
        <v>0</v>
      </c>
      <c r="I234" s="168">
        <f ca="1">IF($C234-I$1&lt;År1,0,H233*(1-VLOOKUP($A234,[1]Hugst!$R$5:$W$9,MATCH(ROUNDUP((I$1)/10,0)*10,[1]Hugst!$R$4:$W$4,0))))</f>
        <v>0</v>
      </c>
      <c r="J234" s="168">
        <f ca="1">IF($C234-J$1&lt;År1,0,I233*(1-VLOOKUP($A234,[1]Hugst!$R$5:$W$9,MATCH(ROUNDUP((J$1)/10,0)*10,[1]Hugst!$R$4:$W$4,0))))</f>
        <v>0</v>
      </c>
      <c r="K234" s="168">
        <f ca="1">IF($C234-K$1&lt;År1,0,J233*(1-VLOOKUP($A234,[1]Hugst!$R$5:$W$9,MATCH(ROUNDUP((K$1)/10,0)*10,[1]Hugst!$R$4:$W$4,0))))</f>
        <v>0</v>
      </c>
      <c r="L234" s="168">
        <f ca="1">IF($C234-L$1&lt;År1,0,K233*(1-VLOOKUP($A234,[1]Hugst!$R$5:$W$9,MATCH(ROUNDUP((L$1)/10,0)*10,[1]Hugst!$R$4:$W$4,0))))</f>
        <v>0</v>
      </c>
      <c r="M234" s="168">
        <f ca="1">IF($C234-M$1&lt;År1,0,L233*(1-VLOOKUP($A234,[1]Hugst!$R$5:$W$9,MATCH(ROUNDUP((M$1)/10,0)*10,[1]Hugst!$R$4:$W$4,0))))</f>
        <v>0</v>
      </c>
      <c r="N234" s="168">
        <f ca="1">IF($C234-N$1&lt;År1,0,M233*(1-VLOOKUP($A234,[1]Hugst!$R$5:$W$9,MATCH(ROUNDUP((N$1)/10,0)*10,[1]Hugst!$R$4:$W$4,0))))</f>
        <v>0</v>
      </c>
      <c r="O234" s="168">
        <f ca="1">IF($C234-O$1&lt;År1,0,N233*(1-VLOOKUP($A234,[1]Hugst!$R$5:$W$9,MATCH(ROUNDUP((O$1)/10,0)*10,[1]Hugst!$R$4:$W$4,0))))</f>
        <v>0</v>
      </c>
      <c r="P234" s="168">
        <f ca="1">IF($C234-P$1&lt;År1,0,O233*(1-VLOOKUP($A234,[1]Hugst!$R$5:$W$9,MATCH(ROUNDUP((P$1)/10,0)*10,[1]Hugst!$R$4:$W$4,0))))</f>
        <v>0</v>
      </c>
      <c r="Q234" s="168">
        <f ca="1">IF($C234-Q$1&lt;År1,0,P233*(1-VLOOKUP($A234,[1]Hugst!$R$5:$W$9,MATCH(ROUNDUP((Q$1)/10,0)*10,[1]Hugst!$R$4:$W$4,0))))</f>
        <v>0</v>
      </c>
      <c r="R234" s="168">
        <f ca="1">IF($C234-R$1&lt;År1,0,Q233*(1-VLOOKUP($A234,[1]Hugst!$R$5:$W$9,MATCH(ROUNDUP((R$1)/10,0)*10,[1]Hugst!$R$4:$W$4,0))))</f>
        <v>0</v>
      </c>
      <c r="S234" s="168">
        <f ca="1">IF($C234-S$1&lt;År1,0,R233*(1-VLOOKUP($A234,[1]Hugst!$R$5:$W$9,MATCH(ROUNDUP((S$1)/10,0)*10,[1]Hugst!$R$4:$W$4,0))))</f>
        <v>0</v>
      </c>
      <c r="T234" s="168">
        <f ca="1">IF($C234-T$1&lt;År1,0,S233*(1-VLOOKUP($A234,[1]Hugst!$R$5:$W$9,MATCH(ROUNDUP((T$1)/10,0)*10,[1]Hugst!$R$4:$W$4,0))))</f>
        <v>0</v>
      </c>
      <c r="U234" s="168">
        <f ca="1">IF($C234-U$1&lt;År1,0,T233*(1-VLOOKUP($A234,[1]Hugst!$R$5:$W$9,MATCH(ROUNDUP((U$1)/10,0)*10,[1]Hugst!$R$4:$W$4,0))))</f>
        <v>0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*VLOOKUP(A235,Skovbrug!$A$13:$D$17,IF('Skovbrug-alder'!C235&lt;=År2,3,4),FALSE)-IF(C235&gt;2020,SUM(INDEX($C$1:$D$311,MATCH(1,(2020=$C$1:$C$311)*(B235=$B$1:$B$311)*(A235=$A$1:$A$311),0),2):D234),0))</f>
        <v>0</v>
      </c>
      <c r="E235" s="168">
        <f t="shared" ca="1" si="5"/>
        <v>0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8">
        <f ca="1">IF($C235-G$1&lt;År1,0,F234*(1-VLOOKUP($A235,[1]Hugst!$R$5:$W$9,MATCH(ROUNDUP((G$1)/10,0)*10,[1]Hugst!$R$4:$W$4,0))))</f>
        <v>0</v>
      </c>
      <c r="H235" s="168">
        <f ca="1">IF($C235-H$1&lt;År1,0,G234*(1-VLOOKUP($A235,[1]Hugst!$R$5:$W$9,MATCH(ROUNDUP((H$1)/10,0)*10,[1]Hugst!$R$4:$W$4,0))))</f>
        <v>0</v>
      </c>
      <c r="I235" s="168">
        <f ca="1">IF($C235-I$1&lt;År1,0,H234*(1-VLOOKUP($A235,[1]Hugst!$R$5:$W$9,MATCH(ROUNDUP((I$1)/10,0)*10,[1]Hugst!$R$4:$W$4,0))))</f>
        <v>0</v>
      </c>
      <c r="J235" s="168">
        <f ca="1">IF($C235-J$1&lt;År1,0,I234*(1-VLOOKUP($A235,[1]Hugst!$R$5:$W$9,MATCH(ROUNDUP((J$1)/10,0)*10,[1]Hugst!$R$4:$W$4,0))))</f>
        <v>0</v>
      </c>
      <c r="K235" s="168">
        <f ca="1">IF($C235-K$1&lt;År1,0,J234*(1-VLOOKUP($A235,[1]Hugst!$R$5:$W$9,MATCH(ROUNDUP((K$1)/10,0)*10,[1]Hugst!$R$4:$W$4,0))))</f>
        <v>0</v>
      </c>
      <c r="L235" s="168">
        <f ca="1">IF($C235-L$1&lt;År1,0,K234*(1-VLOOKUP($A235,[1]Hugst!$R$5:$W$9,MATCH(ROUNDUP((L$1)/10,0)*10,[1]Hugst!$R$4:$W$4,0))))</f>
        <v>0</v>
      </c>
      <c r="M235" s="168">
        <f ca="1">IF($C235-M$1&lt;År1,0,L234*(1-VLOOKUP($A235,[1]Hugst!$R$5:$W$9,MATCH(ROUNDUP((M$1)/10,0)*10,[1]Hugst!$R$4:$W$4,0))))</f>
        <v>0</v>
      </c>
      <c r="N235" s="168">
        <f ca="1">IF($C235-N$1&lt;År1,0,M234*(1-VLOOKUP($A235,[1]Hugst!$R$5:$W$9,MATCH(ROUNDUP((N$1)/10,0)*10,[1]Hugst!$R$4:$W$4,0))))</f>
        <v>0</v>
      </c>
      <c r="O235" s="168">
        <f ca="1">IF($C235-O$1&lt;År1,0,N234*(1-VLOOKUP($A235,[1]Hugst!$R$5:$W$9,MATCH(ROUNDUP((O$1)/10,0)*10,[1]Hugst!$R$4:$W$4,0))))</f>
        <v>0</v>
      </c>
      <c r="P235" s="168">
        <f ca="1">IF($C235-P$1&lt;År1,0,O234*(1-VLOOKUP($A235,[1]Hugst!$R$5:$W$9,MATCH(ROUNDUP((P$1)/10,0)*10,[1]Hugst!$R$4:$W$4,0))))</f>
        <v>0</v>
      </c>
      <c r="Q235" s="168">
        <f ca="1">IF($C235-Q$1&lt;År1,0,P234*(1-VLOOKUP($A235,[1]Hugst!$R$5:$W$9,MATCH(ROUNDUP((Q$1)/10,0)*10,[1]Hugst!$R$4:$W$4,0))))</f>
        <v>0</v>
      </c>
      <c r="R235" s="168">
        <f ca="1">IF($C235-R$1&lt;År1,0,Q234*(1-VLOOKUP($A235,[1]Hugst!$R$5:$W$9,MATCH(ROUNDUP((R$1)/10,0)*10,[1]Hugst!$R$4:$W$4,0))))</f>
        <v>0</v>
      </c>
      <c r="S235" s="168">
        <f ca="1">IF($C235-S$1&lt;År1,0,R234*(1-VLOOKUP($A235,[1]Hugst!$R$5:$W$9,MATCH(ROUNDUP((S$1)/10,0)*10,[1]Hugst!$R$4:$W$4,0))))</f>
        <v>0</v>
      </c>
      <c r="T235" s="168">
        <f ca="1">IF($C235-T$1&lt;År1,0,S234*(1-VLOOKUP($A235,[1]Hugst!$R$5:$W$9,MATCH(ROUNDUP((T$1)/10,0)*10,[1]Hugst!$R$4:$W$4,0))))</f>
        <v>0</v>
      </c>
      <c r="U235" s="168">
        <f ca="1">IF($C235-U$1&lt;År1,0,T234*(1-VLOOKUP($A235,[1]Hugst!$R$5:$W$9,MATCH(ROUNDUP((U$1)/10,0)*10,[1]Hugst!$R$4:$W$4,0))))</f>
        <v>0</v>
      </c>
      <c r="V235" s="168">
        <f ca="1">IF($C235-V$1&lt;År1,0,U234*(1-VLOOKUP($A235,[1]Hugst!$R$5:$W$9,MATCH(ROUNDUP((V$1)/10,0)*10,[1]Hugst!$R$4:$W$4,0))))</f>
        <v>0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*VLOOKUP(A236,Skovbrug!$A$13:$D$17,IF('Skovbrug-alder'!C236&lt;=År2,3,4),FALSE)-IF(C236&gt;2020,SUM(INDEX($C$1:$D$311,MATCH(1,(2020=$C$1:$C$311)*(B236=$B$1:$B$311)*(A236=$A$1:$A$311),0),2):D235),0))</f>
        <v>0</v>
      </c>
      <c r="E236" s="168">
        <f t="shared" ca="1" si="5"/>
        <v>0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8">
        <f ca="1">IF($C236-G$1&lt;År1,0,F235*(1-VLOOKUP($A236,[1]Hugst!$R$5:$W$9,MATCH(ROUNDUP((G$1)/10,0)*10,[1]Hugst!$R$4:$W$4,0))))</f>
        <v>0</v>
      </c>
      <c r="H236" s="168">
        <f ca="1">IF($C236-H$1&lt;År1,0,G235*(1-VLOOKUP($A236,[1]Hugst!$R$5:$W$9,MATCH(ROUNDUP((H$1)/10,0)*10,[1]Hugst!$R$4:$W$4,0))))</f>
        <v>0</v>
      </c>
      <c r="I236" s="168">
        <f ca="1">IF($C236-I$1&lt;År1,0,H235*(1-VLOOKUP($A236,[1]Hugst!$R$5:$W$9,MATCH(ROUNDUP((I$1)/10,0)*10,[1]Hugst!$R$4:$W$4,0))))</f>
        <v>0</v>
      </c>
      <c r="J236" s="168">
        <f ca="1">IF($C236-J$1&lt;År1,0,I235*(1-VLOOKUP($A236,[1]Hugst!$R$5:$W$9,MATCH(ROUNDUP((J$1)/10,0)*10,[1]Hugst!$R$4:$W$4,0))))</f>
        <v>0</v>
      </c>
      <c r="K236" s="168">
        <f ca="1">IF($C236-K$1&lt;År1,0,J235*(1-VLOOKUP($A236,[1]Hugst!$R$5:$W$9,MATCH(ROUNDUP((K$1)/10,0)*10,[1]Hugst!$R$4:$W$4,0))))</f>
        <v>0</v>
      </c>
      <c r="L236" s="168">
        <f ca="1">IF($C236-L$1&lt;År1,0,K235*(1-VLOOKUP($A236,[1]Hugst!$R$5:$W$9,MATCH(ROUNDUP((L$1)/10,0)*10,[1]Hugst!$R$4:$W$4,0))))</f>
        <v>0</v>
      </c>
      <c r="M236" s="168">
        <f ca="1">IF($C236-M$1&lt;År1,0,L235*(1-VLOOKUP($A236,[1]Hugst!$R$5:$W$9,MATCH(ROUNDUP((M$1)/10,0)*10,[1]Hugst!$R$4:$W$4,0))))</f>
        <v>0</v>
      </c>
      <c r="N236" s="168">
        <f ca="1">IF($C236-N$1&lt;År1,0,M235*(1-VLOOKUP($A236,[1]Hugst!$R$5:$W$9,MATCH(ROUNDUP((N$1)/10,0)*10,[1]Hugst!$R$4:$W$4,0))))</f>
        <v>0</v>
      </c>
      <c r="O236" s="168">
        <f ca="1">IF($C236-O$1&lt;År1,0,N235*(1-VLOOKUP($A236,[1]Hugst!$R$5:$W$9,MATCH(ROUNDUP((O$1)/10,0)*10,[1]Hugst!$R$4:$W$4,0))))</f>
        <v>0</v>
      </c>
      <c r="P236" s="168">
        <f ca="1">IF($C236-P$1&lt;År1,0,O235*(1-VLOOKUP($A236,[1]Hugst!$R$5:$W$9,MATCH(ROUNDUP((P$1)/10,0)*10,[1]Hugst!$R$4:$W$4,0))))</f>
        <v>0</v>
      </c>
      <c r="Q236" s="168">
        <f ca="1">IF($C236-Q$1&lt;År1,0,P235*(1-VLOOKUP($A236,[1]Hugst!$R$5:$W$9,MATCH(ROUNDUP((Q$1)/10,0)*10,[1]Hugst!$R$4:$W$4,0))))</f>
        <v>0</v>
      </c>
      <c r="R236" s="168">
        <f ca="1">IF($C236-R$1&lt;År1,0,Q235*(1-VLOOKUP($A236,[1]Hugst!$R$5:$W$9,MATCH(ROUNDUP((R$1)/10,0)*10,[1]Hugst!$R$4:$W$4,0))))</f>
        <v>0</v>
      </c>
      <c r="S236" s="168">
        <f ca="1">IF($C236-S$1&lt;År1,0,R235*(1-VLOOKUP($A236,[1]Hugst!$R$5:$W$9,MATCH(ROUNDUP((S$1)/10,0)*10,[1]Hugst!$R$4:$W$4,0))))</f>
        <v>0</v>
      </c>
      <c r="T236" s="168">
        <f ca="1">IF($C236-T$1&lt;År1,0,S235*(1-VLOOKUP($A236,[1]Hugst!$R$5:$W$9,MATCH(ROUNDUP((T$1)/10,0)*10,[1]Hugst!$R$4:$W$4,0))))</f>
        <v>0</v>
      </c>
      <c r="U236" s="168">
        <f ca="1">IF($C236-U$1&lt;År1,0,T235*(1-VLOOKUP($A236,[1]Hugst!$R$5:$W$9,MATCH(ROUNDUP((U$1)/10,0)*10,[1]Hugst!$R$4:$W$4,0))))</f>
        <v>0</v>
      </c>
      <c r="V236" s="168">
        <f ca="1">IF($C236-V$1&lt;År1,0,U235*(1-VLOOKUP($A236,[1]Hugst!$R$5:$W$9,MATCH(ROUNDUP((V$1)/10,0)*10,[1]Hugst!$R$4:$W$4,0))))</f>
        <v>0</v>
      </c>
      <c r="W236" s="168">
        <f ca="1">IF($C236-W$1&lt;År1,0,V235*(1-VLOOKUP($A236,[1]Hugst!$R$5:$W$9,MATCH(ROUNDUP((W$1)/10,0)*10,[1]Hugst!$R$4:$W$4,0))))</f>
        <v>0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*VLOOKUP(A237,Skovbrug!$A$13:$D$17,IF('Skovbrug-alder'!C237&lt;=År2,3,4),FALSE)-IF(C237&gt;2020,SUM(INDEX($C$1:$D$311,MATCH(1,(2020=$C$1:$C$311)*(B237=$B$1:$B$311)*(A237=$A$1:$A$311),0),2):D236),0))</f>
        <v>0</v>
      </c>
      <c r="E237" s="168">
        <f t="shared" ca="1" si="5"/>
        <v>0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8">
        <f ca="1">IF($C237-G$1&lt;År1,0,F236*(1-VLOOKUP($A237,[1]Hugst!$R$5:$W$9,MATCH(ROUNDUP((G$1)/10,0)*10,[1]Hugst!$R$4:$W$4,0))))</f>
        <v>0</v>
      </c>
      <c r="H237" s="168">
        <f ca="1">IF($C237-H$1&lt;År1,0,G236*(1-VLOOKUP($A237,[1]Hugst!$R$5:$W$9,MATCH(ROUNDUP((H$1)/10,0)*10,[1]Hugst!$R$4:$W$4,0))))</f>
        <v>0</v>
      </c>
      <c r="I237" s="168">
        <f ca="1">IF($C237-I$1&lt;År1,0,H236*(1-VLOOKUP($A237,[1]Hugst!$R$5:$W$9,MATCH(ROUNDUP((I$1)/10,0)*10,[1]Hugst!$R$4:$W$4,0))))</f>
        <v>0</v>
      </c>
      <c r="J237" s="168">
        <f ca="1">IF($C237-J$1&lt;År1,0,I236*(1-VLOOKUP($A237,[1]Hugst!$R$5:$W$9,MATCH(ROUNDUP((J$1)/10,0)*10,[1]Hugst!$R$4:$W$4,0))))</f>
        <v>0</v>
      </c>
      <c r="K237" s="168">
        <f ca="1">IF($C237-K$1&lt;År1,0,J236*(1-VLOOKUP($A237,[1]Hugst!$R$5:$W$9,MATCH(ROUNDUP((K$1)/10,0)*10,[1]Hugst!$R$4:$W$4,0))))</f>
        <v>0</v>
      </c>
      <c r="L237" s="168">
        <f ca="1">IF($C237-L$1&lt;År1,0,K236*(1-VLOOKUP($A237,[1]Hugst!$R$5:$W$9,MATCH(ROUNDUP((L$1)/10,0)*10,[1]Hugst!$R$4:$W$4,0))))</f>
        <v>0</v>
      </c>
      <c r="M237" s="168">
        <f ca="1">IF($C237-M$1&lt;År1,0,L236*(1-VLOOKUP($A237,[1]Hugst!$R$5:$W$9,MATCH(ROUNDUP((M$1)/10,0)*10,[1]Hugst!$R$4:$W$4,0))))</f>
        <v>0</v>
      </c>
      <c r="N237" s="168">
        <f ca="1">IF($C237-N$1&lt;År1,0,M236*(1-VLOOKUP($A237,[1]Hugst!$R$5:$W$9,MATCH(ROUNDUP((N$1)/10,0)*10,[1]Hugst!$R$4:$W$4,0))))</f>
        <v>0</v>
      </c>
      <c r="O237" s="168">
        <f ca="1">IF($C237-O$1&lt;År1,0,N236*(1-VLOOKUP($A237,[1]Hugst!$R$5:$W$9,MATCH(ROUNDUP((O$1)/10,0)*10,[1]Hugst!$R$4:$W$4,0))))</f>
        <v>0</v>
      </c>
      <c r="P237" s="168">
        <f ca="1">IF($C237-P$1&lt;År1,0,O236*(1-VLOOKUP($A237,[1]Hugst!$R$5:$W$9,MATCH(ROUNDUP((P$1)/10,0)*10,[1]Hugst!$R$4:$W$4,0))))</f>
        <v>0</v>
      </c>
      <c r="Q237" s="168">
        <f ca="1">IF($C237-Q$1&lt;År1,0,P236*(1-VLOOKUP($A237,[1]Hugst!$R$5:$W$9,MATCH(ROUNDUP((Q$1)/10,0)*10,[1]Hugst!$R$4:$W$4,0))))</f>
        <v>0</v>
      </c>
      <c r="R237" s="168">
        <f ca="1">IF($C237-R$1&lt;År1,0,Q236*(1-VLOOKUP($A237,[1]Hugst!$R$5:$W$9,MATCH(ROUNDUP((R$1)/10,0)*10,[1]Hugst!$R$4:$W$4,0))))</f>
        <v>0</v>
      </c>
      <c r="S237" s="168">
        <f ca="1">IF($C237-S$1&lt;År1,0,R236*(1-VLOOKUP($A237,[1]Hugst!$R$5:$W$9,MATCH(ROUNDUP((S$1)/10,0)*10,[1]Hugst!$R$4:$W$4,0))))</f>
        <v>0</v>
      </c>
      <c r="T237" s="168">
        <f ca="1">IF($C237-T$1&lt;År1,0,S236*(1-VLOOKUP($A237,[1]Hugst!$R$5:$W$9,MATCH(ROUNDUP((T$1)/10,0)*10,[1]Hugst!$R$4:$W$4,0))))</f>
        <v>0</v>
      </c>
      <c r="U237" s="168">
        <f ca="1">IF($C237-U$1&lt;År1,0,T236*(1-VLOOKUP($A237,[1]Hugst!$R$5:$W$9,MATCH(ROUNDUP((U$1)/10,0)*10,[1]Hugst!$R$4:$W$4,0))))</f>
        <v>0</v>
      </c>
      <c r="V237" s="168">
        <f ca="1">IF($C237-V$1&lt;År1,0,U236*(1-VLOOKUP($A237,[1]Hugst!$R$5:$W$9,MATCH(ROUNDUP((V$1)/10,0)*10,[1]Hugst!$R$4:$W$4,0))))</f>
        <v>0</v>
      </c>
      <c r="W237" s="168">
        <f ca="1">IF($C237-W$1&lt;År1,0,V236*(1-VLOOKUP($A237,[1]Hugst!$R$5:$W$9,MATCH(ROUNDUP((W$1)/10,0)*10,[1]Hugst!$R$4:$W$4,0))))</f>
        <v>0</v>
      </c>
      <c r="X237" s="168">
        <f ca="1">IF($C237-X$1&lt;År1,0,W236*(1-VLOOKUP($A237,[1]Hugst!$R$5:$W$9,MATCH(ROUNDUP((X$1)/10,0)*10,[1]Hugst!$R$4:$W$4,0))))</f>
        <v>0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*VLOOKUP(A238,Skovbrug!$A$13:$D$17,IF('Skovbrug-alder'!C238&lt;=År2,3,4),FALSE)-IF(C238&gt;2020,SUM(INDEX($C$1:$D$311,MATCH(1,(2020=$C$1:$C$311)*(B238=$B$1:$B$311)*(A238=$A$1:$A$311),0),2):D237),0))</f>
        <v>0</v>
      </c>
      <c r="E238" s="168">
        <f t="shared" ca="1" si="5"/>
        <v>0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8">
        <f ca="1">IF($C238-G$1&lt;År1,0,F237*(1-VLOOKUP($A238,[1]Hugst!$R$5:$W$9,MATCH(ROUNDUP((G$1)/10,0)*10,[1]Hugst!$R$4:$W$4,0))))</f>
        <v>0</v>
      </c>
      <c r="H238" s="168">
        <f ca="1">IF($C238-H$1&lt;År1,0,G237*(1-VLOOKUP($A238,[1]Hugst!$R$5:$W$9,MATCH(ROUNDUP((H$1)/10,0)*10,[1]Hugst!$R$4:$W$4,0))))</f>
        <v>0</v>
      </c>
      <c r="I238" s="168">
        <f ca="1">IF($C238-I$1&lt;År1,0,H237*(1-VLOOKUP($A238,[1]Hugst!$R$5:$W$9,MATCH(ROUNDUP((I$1)/10,0)*10,[1]Hugst!$R$4:$W$4,0))))</f>
        <v>0</v>
      </c>
      <c r="J238" s="168">
        <f ca="1">IF($C238-J$1&lt;År1,0,I237*(1-VLOOKUP($A238,[1]Hugst!$R$5:$W$9,MATCH(ROUNDUP((J$1)/10,0)*10,[1]Hugst!$R$4:$W$4,0))))</f>
        <v>0</v>
      </c>
      <c r="K238" s="168">
        <f ca="1">IF($C238-K$1&lt;År1,0,J237*(1-VLOOKUP($A238,[1]Hugst!$R$5:$W$9,MATCH(ROUNDUP((K$1)/10,0)*10,[1]Hugst!$R$4:$W$4,0))))</f>
        <v>0</v>
      </c>
      <c r="L238" s="168">
        <f ca="1">IF($C238-L$1&lt;År1,0,K237*(1-VLOOKUP($A238,[1]Hugst!$R$5:$W$9,MATCH(ROUNDUP((L$1)/10,0)*10,[1]Hugst!$R$4:$W$4,0))))</f>
        <v>0</v>
      </c>
      <c r="M238" s="168">
        <f ca="1">IF($C238-M$1&lt;År1,0,L237*(1-VLOOKUP($A238,[1]Hugst!$R$5:$W$9,MATCH(ROUNDUP((M$1)/10,0)*10,[1]Hugst!$R$4:$W$4,0))))</f>
        <v>0</v>
      </c>
      <c r="N238" s="168">
        <f ca="1">IF($C238-N$1&lt;År1,0,M237*(1-VLOOKUP($A238,[1]Hugst!$R$5:$W$9,MATCH(ROUNDUP((N$1)/10,0)*10,[1]Hugst!$R$4:$W$4,0))))</f>
        <v>0</v>
      </c>
      <c r="O238" s="168">
        <f ca="1">IF($C238-O$1&lt;År1,0,N237*(1-VLOOKUP($A238,[1]Hugst!$R$5:$W$9,MATCH(ROUNDUP((O$1)/10,0)*10,[1]Hugst!$R$4:$W$4,0))))</f>
        <v>0</v>
      </c>
      <c r="P238" s="168">
        <f ca="1">IF($C238-P$1&lt;År1,0,O237*(1-VLOOKUP($A238,[1]Hugst!$R$5:$W$9,MATCH(ROUNDUP((P$1)/10,0)*10,[1]Hugst!$R$4:$W$4,0))))</f>
        <v>0</v>
      </c>
      <c r="Q238" s="168">
        <f ca="1">IF($C238-Q$1&lt;År1,0,P237*(1-VLOOKUP($A238,[1]Hugst!$R$5:$W$9,MATCH(ROUNDUP((Q$1)/10,0)*10,[1]Hugst!$R$4:$W$4,0))))</f>
        <v>0</v>
      </c>
      <c r="R238" s="168">
        <f ca="1">IF($C238-R$1&lt;År1,0,Q237*(1-VLOOKUP($A238,[1]Hugst!$R$5:$W$9,MATCH(ROUNDUP((R$1)/10,0)*10,[1]Hugst!$R$4:$W$4,0))))</f>
        <v>0</v>
      </c>
      <c r="S238" s="168">
        <f ca="1">IF($C238-S$1&lt;År1,0,R237*(1-VLOOKUP($A238,[1]Hugst!$R$5:$W$9,MATCH(ROUNDUP((S$1)/10,0)*10,[1]Hugst!$R$4:$W$4,0))))</f>
        <v>0</v>
      </c>
      <c r="T238" s="168">
        <f ca="1">IF($C238-T$1&lt;År1,0,S237*(1-VLOOKUP($A238,[1]Hugst!$R$5:$W$9,MATCH(ROUNDUP((T$1)/10,0)*10,[1]Hugst!$R$4:$W$4,0))))</f>
        <v>0</v>
      </c>
      <c r="U238" s="168">
        <f ca="1">IF($C238-U$1&lt;År1,0,T237*(1-VLOOKUP($A238,[1]Hugst!$R$5:$W$9,MATCH(ROUNDUP((U$1)/10,0)*10,[1]Hugst!$R$4:$W$4,0))))</f>
        <v>0</v>
      </c>
      <c r="V238" s="168">
        <f ca="1">IF($C238-V$1&lt;År1,0,U237*(1-VLOOKUP($A238,[1]Hugst!$R$5:$W$9,MATCH(ROUNDUP((V$1)/10,0)*10,[1]Hugst!$R$4:$W$4,0))))</f>
        <v>0</v>
      </c>
      <c r="W238" s="168">
        <f ca="1">IF($C238-W$1&lt;År1,0,V237*(1-VLOOKUP($A238,[1]Hugst!$R$5:$W$9,MATCH(ROUNDUP((W$1)/10,0)*10,[1]Hugst!$R$4:$W$4,0))))</f>
        <v>0</v>
      </c>
      <c r="X238" s="168">
        <f ca="1">IF($C238-X$1&lt;År1,0,W237*(1-VLOOKUP($A238,[1]Hugst!$R$5:$W$9,MATCH(ROUNDUP((X$1)/10,0)*10,[1]Hugst!$R$4:$W$4,0))))</f>
        <v>0</v>
      </c>
      <c r="Y238" s="168">
        <f ca="1">IF($C238-Y$1&lt;År1,0,X237*(1-VLOOKUP($A238,[1]Hugst!$R$5:$W$9,MATCH(ROUNDUP((Y$1)/10,0)*10,[1]Hugst!$R$4:$W$4,0))))</f>
        <v>0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*VLOOKUP(A239,Skovbrug!$A$13:$D$17,IF('Skovbrug-alder'!C239&lt;=År2,3,4),FALSE)-IF(C239&gt;2020,SUM(INDEX($C$1:$D$311,MATCH(1,(2020=$C$1:$C$311)*(B239=$B$1:$B$311)*(A239=$A$1:$A$311),0),2):D238),0))</f>
        <v>0</v>
      </c>
      <c r="E239" s="168">
        <f t="shared" ca="1" si="5"/>
        <v>0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8">
        <f ca="1">IF($C239-G$1&lt;År1,0,F238*(1-VLOOKUP($A239,[1]Hugst!$R$5:$W$9,MATCH(ROUNDUP((G$1)/10,0)*10,[1]Hugst!$R$4:$W$4,0))))</f>
        <v>0</v>
      </c>
      <c r="H239" s="168">
        <f ca="1">IF($C239-H$1&lt;År1,0,G238*(1-VLOOKUP($A239,[1]Hugst!$R$5:$W$9,MATCH(ROUNDUP((H$1)/10,0)*10,[1]Hugst!$R$4:$W$4,0))))</f>
        <v>0</v>
      </c>
      <c r="I239" s="168">
        <f ca="1">IF($C239-I$1&lt;År1,0,H238*(1-VLOOKUP($A239,[1]Hugst!$R$5:$W$9,MATCH(ROUNDUP((I$1)/10,0)*10,[1]Hugst!$R$4:$W$4,0))))</f>
        <v>0</v>
      </c>
      <c r="J239" s="168">
        <f ca="1">IF($C239-J$1&lt;År1,0,I238*(1-VLOOKUP($A239,[1]Hugst!$R$5:$W$9,MATCH(ROUNDUP((J$1)/10,0)*10,[1]Hugst!$R$4:$W$4,0))))</f>
        <v>0</v>
      </c>
      <c r="K239" s="168">
        <f ca="1">IF($C239-K$1&lt;År1,0,J238*(1-VLOOKUP($A239,[1]Hugst!$R$5:$W$9,MATCH(ROUNDUP((K$1)/10,0)*10,[1]Hugst!$R$4:$W$4,0))))</f>
        <v>0</v>
      </c>
      <c r="L239" s="168">
        <f ca="1">IF($C239-L$1&lt;År1,0,K238*(1-VLOOKUP($A239,[1]Hugst!$R$5:$W$9,MATCH(ROUNDUP((L$1)/10,0)*10,[1]Hugst!$R$4:$W$4,0))))</f>
        <v>0</v>
      </c>
      <c r="M239" s="168">
        <f ca="1">IF($C239-M$1&lt;År1,0,L238*(1-VLOOKUP($A239,[1]Hugst!$R$5:$W$9,MATCH(ROUNDUP((M$1)/10,0)*10,[1]Hugst!$R$4:$W$4,0))))</f>
        <v>0</v>
      </c>
      <c r="N239" s="168">
        <f ca="1">IF($C239-N$1&lt;År1,0,M238*(1-VLOOKUP($A239,[1]Hugst!$R$5:$W$9,MATCH(ROUNDUP((N$1)/10,0)*10,[1]Hugst!$R$4:$W$4,0))))</f>
        <v>0</v>
      </c>
      <c r="O239" s="168">
        <f ca="1">IF($C239-O$1&lt;År1,0,N238*(1-VLOOKUP($A239,[1]Hugst!$R$5:$W$9,MATCH(ROUNDUP((O$1)/10,0)*10,[1]Hugst!$R$4:$W$4,0))))</f>
        <v>0</v>
      </c>
      <c r="P239" s="168">
        <f ca="1">IF($C239-P$1&lt;År1,0,O238*(1-VLOOKUP($A239,[1]Hugst!$R$5:$W$9,MATCH(ROUNDUP((P$1)/10,0)*10,[1]Hugst!$R$4:$W$4,0))))</f>
        <v>0</v>
      </c>
      <c r="Q239" s="168">
        <f ca="1">IF($C239-Q$1&lt;År1,0,P238*(1-VLOOKUP($A239,[1]Hugst!$R$5:$W$9,MATCH(ROUNDUP((Q$1)/10,0)*10,[1]Hugst!$R$4:$W$4,0))))</f>
        <v>0</v>
      </c>
      <c r="R239" s="168">
        <f ca="1">IF($C239-R$1&lt;År1,0,Q238*(1-VLOOKUP($A239,[1]Hugst!$R$5:$W$9,MATCH(ROUNDUP((R$1)/10,0)*10,[1]Hugst!$R$4:$W$4,0))))</f>
        <v>0</v>
      </c>
      <c r="S239" s="168">
        <f ca="1">IF($C239-S$1&lt;År1,0,R238*(1-VLOOKUP($A239,[1]Hugst!$R$5:$W$9,MATCH(ROUNDUP((S$1)/10,0)*10,[1]Hugst!$R$4:$W$4,0))))</f>
        <v>0</v>
      </c>
      <c r="T239" s="168">
        <f ca="1">IF($C239-T$1&lt;År1,0,S238*(1-VLOOKUP($A239,[1]Hugst!$R$5:$W$9,MATCH(ROUNDUP((T$1)/10,0)*10,[1]Hugst!$R$4:$W$4,0))))</f>
        <v>0</v>
      </c>
      <c r="U239" s="168">
        <f ca="1">IF($C239-U$1&lt;År1,0,T238*(1-VLOOKUP($A239,[1]Hugst!$R$5:$W$9,MATCH(ROUNDUP((U$1)/10,0)*10,[1]Hugst!$R$4:$W$4,0))))</f>
        <v>0</v>
      </c>
      <c r="V239" s="168">
        <f ca="1">IF($C239-V$1&lt;År1,0,U238*(1-VLOOKUP($A239,[1]Hugst!$R$5:$W$9,MATCH(ROUNDUP((V$1)/10,0)*10,[1]Hugst!$R$4:$W$4,0))))</f>
        <v>0</v>
      </c>
      <c r="W239" s="168">
        <f ca="1">IF($C239-W$1&lt;År1,0,V238*(1-VLOOKUP($A239,[1]Hugst!$R$5:$W$9,MATCH(ROUNDUP((W$1)/10,0)*10,[1]Hugst!$R$4:$W$4,0))))</f>
        <v>0</v>
      </c>
      <c r="X239" s="168">
        <f ca="1">IF($C239-X$1&lt;År1,0,W238*(1-VLOOKUP($A239,[1]Hugst!$R$5:$W$9,MATCH(ROUNDUP((X$1)/10,0)*10,[1]Hugst!$R$4:$W$4,0))))</f>
        <v>0</v>
      </c>
      <c r="Y239" s="168">
        <f ca="1">IF($C239-Y$1&lt;År1,0,X238*(1-VLOOKUP($A239,[1]Hugst!$R$5:$W$9,MATCH(ROUNDUP((Y$1)/10,0)*10,[1]Hugst!$R$4:$W$4,0))))</f>
        <v>0</v>
      </c>
      <c r="Z239" s="168">
        <f ca="1">IF($C239-Z$1&lt;År1,0,Y238*(1-VLOOKUP($A239,[1]Hugst!$R$5:$W$9,MATCH(ROUNDUP((Z$1)/10,0)*10,[1]Hugst!$R$4:$W$4,0))))</f>
        <v>0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*VLOOKUP(A240,Skovbrug!$A$13:$D$17,IF('Skovbrug-alder'!C240&lt;=År2,3,4),FALSE)-IF(C240&gt;2020,SUM(INDEX($C$1:$D$311,MATCH(1,(2020=$C$1:$C$311)*(B240=$B$1:$B$311)*(A240=$A$1:$A$311),0),2):D239),0))</f>
        <v>0</v>
      </c>
      <c r="E240" s="168">
        <f t="shared" ca="1" si="5"/>
        <v>0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8">
        <f ca="1">IF($C240-G$1&lt;År1,0,F239*(1-VLOOKUP($A240,[1]Hugst!$R$5:$W$9,MATCH(ROUNDUP((G$1)/10,0)*10,[1]Hugst!$R$4:$W$4,0))))</f>
        <v>0</v>
      </c>
      <c r="H240" s="168">
        <f ca="1">IF($C240-H$1&lt;År1,0,G239*(1-VLOOKUP($A240,[1]Hugst!$R$5:$W$9,MATCH(ROUNDUP((H$1)/10,0)*10,[1]Hugst!$R$4:$W$4,0))))</f>
        <v>0</v>
      </c>
      <c r="I240" s="168">
        <f ca="1">IF($C240-I$1&lt;År1,0,H239*(1-VLOOKUP($A240,[1]Hugst!$R$5:$W$9,MATCH(ROUNDUP((I$1)/10,0)*10,[1]Hugst!$R$4:$W$4,0))))</f>
        <v>0</v>
      </c>
      <c r="J240" s="168">
        <f ca="1">IF($C240-J$1&lt;År1,0,I239*(1-VLOOKUP($A240,[1]Hugst!$R$5:$W$9,MATCH(ROUNDUP((J$1)/10,0)*10,[1]Hugst!$R$4:$W$4,0))))</f>
        <v>0</v>
      </c>
      <c r="K240" s="168">
        <f ca="1">IF($C240-K$1&lt;År1,0,J239*(1-VLOOKUP($A240,[1]Hugst!$R$5:$W$9,MATCH(ROUNDUP((K$1)/10,0)*10,[1]Hugst!$R$4:$W$4,0))))</f>
        <v>0</v>
      </c>
      <c r="L240" s="168">
        <f ca="1">IF($C240-L$1&lt;År1,0,K239*(1-VLOOKUP($A240,[1]Hugst!$R$5:$W$9,MATCH(ROUNDUP((L$1)/10,0)*10,[1]Hugst!$R$4:$W$4,0))))</f>
        <v>0</v>
      </c>
      <c r="M240" s="168">
        <f ca="1">IF($C240-M$1&lt;År1,0,L239*(1-VLOOKUP($A240,[1]Hugst!$R$5:$W$9,MATCH(ROUNDUP((M$1)/10,0)*10,[1]Hugst!$R$4:$W$4,0))))</f>
        <v>0</v>
      </c>
      <c r="N240" s="168">
        <f ca="1">IF($C240-N$1&lt;År1,0,M239*(1-VLOOKUP($A240,[1]Hugst!$R$5:$W$9,MATCH(ROUNDUP((N$1)/10,0)*10,[1]Hugst!$R$4:$W$4,0))))</f>
        <v>0</v>
      </c>
      <c r="O240" s="168">
        <f ca="1">IF($C240-O$1&lt;År1,0,N239*(1-VLOOKUP($A240,[1]Hugst!$R$5:$W$9,MATCH(ROUNDUP((O$1)/10,0)*10,[1]Hugst!$R$4:$W$4,0))))</f>
        <v>0</v>
      </c>
      <c r="P240" s="168">
        <f ca="1">IF($C240-P$1&lt;År1,0,O239*(1-VLOOKUP($A240,[1]Hugst!$R$5:$W$9,MATCH(ROUNDUP((P$1)/10,0)*10,[1]Hugst!$R$4:$W$4,0))))</f>
        <v>0</v>
      </c>
      <c r="Q240" s="168">
        <f ca="1">IF($C240-Q$1&lt;År1,0,P239*(1-VLOOKUP($A240,[1]Hugst!$R$5:$W$9,MATCH(ROUNDUP((Q$1)/10,0)*10,[1]Hugst!$R$4:$W$4,0))))</f>
        <v>0</v>
      </c>
      <c r="R240" s="168">
        <f ca="1">IF($C240-R$1&lt;År1,0,Q239*(1-VLOOKUP($A240,[1]Hugst!$R$5:$W$9,MATCH(ROUNDUP((R$1)/10,0)*10,[1]Hugst!$R$4:$W$4,0))))</f>
        <v>0</v>
      </c>
      <c r="S240" s="168">
        <f ca="1">IF($C240-S$1&lt;År1,0,R239*(1-VLOOKUP($A240,[1]Hugst!$R$5:$W$9,MATCH(ROUNDUP((S$1)/10,0)*10,[1]Hugst!$R$4:$W$4,0))))</f>
        <v>0</v>
      </c>
      <c r="T240" s="168">
        <f ca="1">IF($C240-T$1&lt;År1,0,S239*(1-VLOOKUP($A240,[1]Hugst!$R$5:$W$9,MATCH(ROUNDUP((T$1)/10,0)*10,[1]Hugst!$R$4:$W$4,0))))</f>
        <v>0</v>
      </c>
      <c r="U240" s="168">
        <f ca="1">IF($C240-U$1&lt;År1,0,T239*(1-VLOOKUP($A240,[1]Hugst!$R$5:$W$9,MATCH(ROUNDUP((U$1)/10,0)*10,[1]Hugst!$R$4:$W$4,0))))</f>
        <v>0</v>
      </c>
      <c r="V240" s="168">
        <f ca="1">IF($C240-V$1&lt;År1,0,U239*(1-VLOOKUP($A240,[1]Hugst!$R$5:$W$9,MATCH(ROUNDUP((V$1)/10,0)*10,[1]Hugst!$R$4:$W$4,0))))</f>
        <v>0</v>
      </c>
      <c r="W240" s="168">
        <f ca="1">IF($C240-W$1&lt;År1,0,V239*(1-VLOOKUP($A240,[1]Hugst!$R$5:$W$9,MATCH(ROUNDUP((W$1)/10,0)*10,[1]Hugst!$R$4:$W$4,0))))</f>
        <v>0</v>
      </c>
      <c r="X240" s="168">
        <f ca="1">IF($C240-X$1&lt;År1,0,W239*(1-VLOOKUP($A240,[1]Hugst!$R$5:$W$9,MATCH(ROUNDUP((X$1)/10,0)*10,[1]Hugst!$R$4:$W$4,0))))</f>
        <v>0</v>
      </c>
      <c r="Y240" s="168">
        <f ca="1">IF($C240-Y$1&lt;År1,0,X239*(1-VLOOKUP($A240,[1]Hugst!$R$5:$W$9,MATCH(ROUNDUP((Y$1)/10,0)*10,[1]Hugst!$R$4:$W$4,0))))</f>
        <v>0</v>
      </c>
      <c r="Z240" s="168">
        <f ca="1">IF($C240-Z$1&lt;År1,0,Y239*(1-VLOOKUP($A240,[1]Hugst!$R$5:$W$9,MATCH(ROUNDUP((Z$1)/10,0)*10,[1]Hugst!$R$4:$W$4,0))))</f>
        <v>0</v>
      </c>
      <c r="AA240" s="168">
        <f ca="1">IF($C240-AA$1&lt;År1,0,Z239*(1-VLOOKUP($A240,[1]Hugst!$R$5:$W$9,MATCH(ROUNDUP((AA$1)/10,0)*10,[1]Hugst!$R$4:$W$4,0))))</f>
        <v>0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*VLOOKUP(A241,Skovbrug!$A$13:$D$17,IF('Skovbrug-alder'!C241&lt;=År2,3,4),FALSE)-IF(C241&gt;2020,SUM(INDEX($C$1:$D$311,MATCH(1,(2020=$C$1:$C$311)*(B241=$B$1:$B$311)*(A241=$A$1:$A$311),0),2):D240),0))</f>
        <v>0</v>
      </c>
      <c r="E241" s="168">
        <f t="shared" ca="1" si="5"/>
        <v>0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8">
        <f ca="1">IF($C241-G$1&lt;År1,0,F240*(1-VLOOKUP($A241,[1]Hugst!$R$5:$W$9,MATCH(ROUNDUP((G$1)/10,0)*10,[1]Hugst!$R$4:$W$4,0))))</f>
        <v>0</v>
      </c>
      <c r="H241" s="168">
        <f ca="1">IF($C241-H$1&lt;År1,0,G240*(1-VLOOKUP($A241,[1]Hugst!$R$5:$W$9,MATCH(ROUNDUP((H$1)/10,0)*10,[1]Hugst!$R$4:$W$4,0))))</f>
        <v>0</v>
      </c>
      <c r="I241" s="168">
        <f ca="1">IF($C241-I$1&lt;År1,0,H240*(1-VLOOKUP($A241,[1]Hugst!$R$5:$W$9,MATCH(ROUNDUP((I$1)/10,0)*10,[1]Hugst!$R$4:$W$4,0))))</f>
        <v>0</v>
      </c>
      <c r="J241" s="168">
        <f ca="1">IF($C241-J$1&lt;År1,0,I240*(1-VLOOKUP($A241,[1]Hugst!$R$5:$W$9,MATCH(ROUNDUP((J$1)/10,0)*10,[1]Hugst!$R$4:$W$4,0))))</f>
        <v>0</v>
      </c>
      <c r="K241" s="168">
        <f ca="1">IF($C241-K$1&lt;År1,0,J240*(1-VLOOKUP($A241,[1]Hugst!$R$5:$W$9,MATCH(ROUNDUP((K$1)/10,0)*10,[1]Hugst!$R$4:$W$4,0))))</f>
        <v>0</v>
      </c>
      <c r="L241" s="168">
        <f ca="1">IF($C241-L$1&lt;År1,0,K240*(1-VLOOKUP($A241,[1]Hugst!$R$5:$W$9,MATCH(ROUNDUP((L$1)/10,0)*10,[1]Hugst!$R$4:$W$4,0))))</f>
        <v>0</v>
      </c>
      <c r="M241" s="168">
        <f ca="1">IF($C241-M$1&lt;År1,0,L240*(1-VLOOKUP($A241,[1]Hugst!$R$5:$W$9,MATCH(ROUNDUP((M$1)/10,0)*10,[1]Hugst!$R$4:$W$4,0))))</f>
        <v>0</v>
      </c>
      <c r="N241" s="168">
        <f ca="1">IF($C241-N$1&lt;År1,0,M240*(1-VLOOKUP($A241,[1]Hugst!$R$5:$W$9,MATCH(ROUNDUP((N$1)/10,0)*10,[1]Hugst!$R$4:$W$4,0))))</f>
        <v>0</v>
      </c>
      <c r="O241" s="168">
        <f ca="1">IF($C241-O$1&lt;År1,0,N240*(1-VLOOKUP($A241,[1]Hugst!$R$5:$W$9,MATCH(ROUNDUP((O$1)/10,0)*10,[1]Hugst!$R$4:$W$4,0))))</f>
        <v>0</v>
      </c>
      <c r="P241" s="168">
        <f ca="1">IF($C241-P$1&lt;År1,0,O240*(1-VLOOKUP($A241,[1]Hugst!$R$5:$W$9,MATCH(ROUNDUP((P$1)/10,0)*10,[1]Hugst!$R$4:$W$4,0))))</f>
        <v>0</v>
      </c>
      <c r="Q241" s="168">
        <f ca="1">IF($C241-Q$1&lt;År1,0,P240*(1-VLOOKUP($A241,[1]Hugst!$R$5:$W$9,MATCH(ROUNDUP((Q$1)/10,0)*10,[1]Hugst!$R$4:$W$4,0))))</f>
        <v>0</v>
      </c>
      <c r="R241" s="168">
        <f ca="1">IF($C241-R$1&lt;År1,0,Q240*(1-VLOOKUP($A241,[1]Hugst!$R$5:$W$9,MATCH(ROUNDUP((R$1)/10,0)*10,[1]Hugst!$R$4:$W$4,0))))</f>
        <v>0</v>
      </c>
      <c r="S241" s="168">
        <f ca="1">IF($C241-S$1&lt;År1,0,R240*(1-VLOOKUP($A241,[1]Hugst!$R$5:$W$9,MATCH(ROUNDUP((S$1)/10,0)*10,[1]Hugst!$R$4:$W$4,0))))</f>
        <v>0</v>
      </c>
      <c r="T241" s="168">
        <f ca="1">IF($C241-T$1&lt;År1,0,S240*(1-VLOOKUP($A241,[1]Hugst!$R$5:$W$9,MATCH(ROUNDUP((T$1)/10,0)*10,[1]Hugst!$R$4:$W$4,0))))</f>
        <v>0</v>
      </c>
      <c r="U241" s="168">
        <f ca="1">IF($C241-U$1&lt;År1,0,T240*(1-VLOOKUP($A241,[1]Hugst!$R$5:$W$9,MATCH(ROUNDUP((U$1)/10,0)*10,[1]Hugst!$R$4:$W$4,0))))</f>
        <v>0</v>
      </c>
      <c r="V241" s="168">
        <f ca="1">IF($C241-V$1&lt;År1,0,U240*(1-VLOOKUP($A241,[1]Hugst!$R$5:$W$9,MATCH(ROUNDUP((V$1)/10,0)*10,[1]Hugst!$R$4:$W$4,0))))</f>
        <v>0</v>
      </c>
      <c r="W241" s="168">
        <f ca="1">IF($C241-W$1&lt;År1,0,V240*(1-VLOOKUP($A241,[1]Hugst!$R$5:$W$9,MATCH(ROUNDUP((W$1)/10,0)*10,[1]Hugst!$R$4:$W$4,0))))</f>
        <v>0</v>
      </c>
      <c r="X241" s="168">
        <f ca="1">IF($C241-X$1&lt;År1,0,W240*(1-VLOOKUP($A241,[1]Hugst!$R$5:$W$9,MATCH(ROUNDUP((X$1)/10,0)*10,[1]Hugst!$R$4:$W$4,0))))</f>
        <v>0</v>
      </c>
      <c r="Y241" s="168">
        <f ca="1">IF($C241-Y$1&lt;År1,0,X240*(1-VLOOKUP($A241,[1]Hugst!$R$5:$W$9,MATCH(ROUNDUP((Y$1)/10,0)*10,[1]Hugst!$R$4:$W$4,0))))</f>
        <v>0</v>
      </c>
      <c r="Z241" s="168">
        <f ca="1">IF($C241-Z$1&lt;År1,0,Y240*(1-VLOOKUP($A241,[1]Hugst!$R$5:$W$9,MATCH(ROUNDUP((Z$1)/10,0)*10,[1]Hugst!$R$4:$W$4,0))))</f>
        <v>0</v>
      </c>
      <c r="AA241" s="168">
        <f ca="1">IF($C241-AA$1&lt;År1,0,Z240*(1-VLOOKUP($A241,[1]Hugst!$R$5:$W$9,MATCH(ROUNDUP((AA$1)/10,0)*10,[1]Hugst!$R$4:$W$4,0))))</f>
        <v>0</v>
      </c>
      <c r="AB241" s="168">
        <f ca="1">IF($C241-AB$1&lt;År1,0,AA240*(1-VLOOKUP($A241,[1]Hugst!$R$5:$W$9,MATCH(ROUNDUP((AB$1)/10,0)*10,[1]Hugst!$R$4:$W$4,0))))</f>
        <v>0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*VLOOKUP(A242,Skovbrug!$A$13:$D$17,IF('Skovbrug-alder'!C242&lt;=År2,3,4),FALSE)-IF(C242&gt;2020,SUM(INDEX($C$1:$D$311,MATCH(1,(2020=$C$1:$C$311)*(B242=$B$1:$B$311)*(A242=$A$1:$A$311),0),2):D241),0))</f>
        <v>0</v>
      </c>
      <c r="E242" s="168">
        <f t="shared" ca="1" si="5"/>
        <v>0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8">
        <f ca="1">IF($C242-G$1&lt;År1,0,F241*(1-VLOOKUP($A242,[1]Hugst!$R$5:$W$9,MATCH(ROUNDUP((G$1)/10,0)*10,[1]Hugst!$R$4:$W$4,0))))</f>
        <v>0</v>
      </c>
      <c r="H242" s="168">
        <f ca="1">IF($C242-H$1&lt;År1,0,G241*(1-VLOOKUP($A242,[1]Hugst!$R$5:$W$9,MATCH(ROUNDUP((H$1)/10,0)*10,[1]Hugst!$R$4:$W$4,0))))</f>
        <v>0</v>
      </c>
      <c r="I242" s="168">
        <f ca="1">IF($C242-I$1&lt;År1,0,H241*(1-VLOOKUP($A242,[1]Hugst!$R$5:$W$9,MATCH(ROUNDUP((I$1)/10,0)*10,[1]Hugst!$R$4:$W$4,0))))</f>
        <v>0</v>
      </c>
      <c r="J242" s="168">
        <f ca="1">IF($C242-J$1&lt;År1,0,I241*(1-VLOOKUP($A242,[1]Hugst!$R$5:$W$9,MATCH(ROUNDUP((J$1)/10,0)*10,[1]Hugst!$R$4:$W$4,0))))</f>
        <v>0</v>
      </c>
      <c r="K242" s="168">
        <f ca="1">IF($C242-K$1&lt;År1,0,J241*(1-VLOOKUP($A242,[1]Hugst!$R$5:$W$9,MATCH(ROUNDUP((K$1)/10,0)*10,[1]Hugst!$R$4:$W$4,0))))</f>
        <v>0</v>
      </c>
      <c r="L242" s="168">
        <f ca="1">IF($C242-L$1&lt;År1,0,K241*(1-VLOOKUP($A242,[1]Hugst!$R$5:$W$9,MATCH(ROUNDUP((L$1)/10,0)*10,[1]Hugst!$R$4:$W$4,0))))</f>
        <v>0</v>
      </c>
      <c r="M242" s="168">
        <f ca="1">IF($C242-M$1&lt;År1,0,L241*(1-VLOOKUP($A242,[1]Hugst!$R$5:$W$9,MATCH(ROUNDUP((M$1)/10,0)*10,[1]Hugst!$R$4:$W$4,0))))</f>
        <v>0</v>
      </c>
      <c r="N242" s="168">
        <f ca="1">IF($C242-N$1&lt;År1,0,M241*(1-VLOOKUP($A242,[1]Hugst!$R$5:$W$9,MATCH(ROUNDUP((N$1)/10,0)*10,[1]Hugst!$R$4:$W$4,0))))</f>
        <v>0</v>
      </c>
      <c r="O242" s="168">
        <f ca="1">IF($C242-O$1&lt;År1,0,N241*(1-VLOOKUP($A242,[1]Hugst!$R$5:$W$9,MATCH(ROUNDUP((O$1)/10,0)*10,[1]Hugst!$R$4:$W$4,0))))</f>
        <v>0</v>
      </c>
      <c r="P242" s="168">
        <f ca="1">IF($C242-P$1&lt;År1,0,O241*(1-VLOOKUP($A242,[1]Hugst!$R$5:$W$9,MATCH(ROUNDUP((P$1)/10,0)*10,[1]Hugst!$R$4:$W$4,0))))</f>
        <v>0</v>
      </c>
      <c r="Q242" s="168">
        <f ca="1">IF($C242-Q$1&lt;År1,0,P241*(1-VLOOKUP($A242,[1]Hugst!$R$5:$W$9,MATCH(ROUNDUP((Q$1)/10,0)*10,[1]Hugst!$R$4:$W$4,0))))</f>
        <v>0</v>
      </c>
      <c r="R242" s="168">
        <f ca="1">IF($C242-R$1&lt;År1,0,Q241*(1-VLOOKUP($A242,[1]Hugst!$R$5:$W$9,MATCH(ROUNDUP((R$1)/10,0)*10,[1]Hugst!$R$4:$W$4,0))))</f>
        <v>0</v>
      </c>
      <c r="S242" s="168">
        <f ca="1">IF($C242-S$1&lt;År1,0,R241*(1-VLOOKUP($A242,[1]Hugst!$R$5:$W$9,MATCH(ROUNDUP((S$1)/10,0)*10,[1]Hugst!$R$4:$W$4,0))))</f>
        <v>0</v>
      </c>
      <c r="T242" s="168">
        <f ca="1">IF($C242-T$1&lt;År1,0,S241*(1-VLOOKUP($A242,[1]Hugst!$R$5:$W$9,MATCH(ROUNDUP((T$1)/10,0)*10,[1]Hugst!$R$4:$W$4,0))))</f>
        <v>0</v>
      </c>
      <c r="U242" s="168">
        <f ca="1">IF($C242-U$1&lt;År1,0,T241*(1-VLOOKUP($A242,[1]Hugst!$R$5:$W$9,MATCH(ROUNDUP((U$1)/10,0)*10,[1]Hugst!$R$4:$W$4,0))))</f>
        <v>0</v>
      </c>
      <c r="V242" s="168">
        <f ca="1">IF($C242-V$1&lt;År1,0,U241*(1-VLOOKUP($A242,[1]Hugst!$R$5:$W$9,MATCH(ROUNDUP((V$1)/10,0)*10,[1]Hugst!$R$4:$W$4,0))))</f>
        <v>0</v>
      </c>
      <c r="W242" s="168">
        <f ca="1">IF($C242-W$1&lt;År1,0,V241*(1-VLOOKUP($A242,[1]Hugst!$R$5:$W$9,MATCH(ROUNDUP((W$1)/10,0)*10,[1]Hugst!$R$4:$W$4,0))))</f>
        <v>0</v>
      </c>
      <c r="X242" s="168">
        <f ca="1">IF($C242-X$1&lt;År1,0,W241*(1-VLOOKUP($A242,[1]Hugst!$R$5:$W$9,MATCH(ROUNDUP((X$1)/10,0)*10,[1]Hugst!$R$4:$W$4,0))))</f>
        <v>0</v>
      </c>
      <c r="Y242" s="168">
        <f ca="1">IF($C242-Y$1&lt;År1,0,X241*(1-VLOOKUP($A242,[1]Hugst!$R$5:$W$9,MATCH(ROUNDUP((Y$1)/10,0)*10,[1]Hugst!$R$4:$W$4,0))))</f>
        <v>0</v>
      </c>
      <c r="Z242" s="168">
        <f ca="1">IF($C242-Z$1&lt;År1,0,Y241*(1-VLOOKUP($A242,[1]Hugst!$R$5:$W$9,MATCH(ROUNDUP((Z$1)/10,0)*10,[1]Hugst!$R$4:$W$4,0))))</f>
        <v>0</v>
      </c>
      <c r="AA242" s="168">
        <f ca="1">IF($C242-AA$1&lt;År1,0,Z241*(1-VLOOKUP($A242,[1]Hugst!$R$5:$W$9,MATCH(ROUNDUP((AA$1)/10,0)*10,[1]Hugst!$R$4:$W$4,0))))</f>
        <v>0</v>
      </c>
      <c r="AB242" s="168">
        <f ca="1">IF($C242-AB$1&lt;År1,0,AA241*(1-VLOOKUP($A242,[1]Hugst!$R$5:$W$9,MATCH(ROUNDUP((AB$1)/10,0)*10,[1]Hugst!$R$4:$W$4,0))))</f>
        <v>0</v>
      </c>
      <c r="AC242" s="168">
        <f ca="1">IF($C242-AC$1&lt;År1,0,AB241*(1-VLOOKUP($A242,[1]Hugst!$R$5:$W$9,MATCH(ROUNDUP((AC$1)/10,0)*10,[1]Hugst!$R$4:$W$4,0))))</f>
        <v>0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*VLOOKUP(A243,Skovbrug!$A$13:$D$17,IF('Skovbrug-alder'!C243&lt;=År2,3,4),FALSE)-IF(C243&gt;2020,SUM(INDEX($C$1:$D$311,MATCH(1,(2020=$C$1:$C$311)*(B243=$B$1:$B$311)*(A243=$A$1:$A$311),0),2):D242),0))</f>
        <v>0</v>
      </c>
      <c r="E243" s="168">
        <f t="shared" ca="1" si="5"/>
        <v>0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8">
        <f ca="1">IF($C243-G$1&lt;År1,0,F242*(1-VLOOKUP($A243,[1]Hugst!$R$5:$W$9,MATCH(ROUNDUP((G$1)/10,0)*10,[1]Hugst!$R$4:$W$4,0))))</f>
        <v>0</v>
      </c>
      <c r="H243" s="168">
        <f ca="1">IF($C243-H$1&lt;År1,0,G242*(1-VLOOKUP($A243,[1]Hugst!$R$5:$W$9,MATCH(ROUNDUP((H$1)/10,0)*10,[1]Hugst!$R$4:$W$4,0))))</f>
        <v>0</v>
      </c>
      <c r="I243" s="168">
        <f ca="1">IF($C243-I$1&lt;År1,0,H242*(1-VLOOKUP($A243,[1]Hugst!$R$5:$W$9,MATCH(ROUNDUP((I$1)/10,0)*10,[1]Hugst!$R$4:$W$4,0))))</f>
        <v>0</v>
      </c>
      <c r="J243" s="168">
        <f ca="1">IF($C243-J$1&lt;År1,0,I242*(1-VLOOKUP($A243,[1]Hugst!$R$5:$W$9,MATCH(ROUNDUP((J$1)/10,0)*10,[1]Hugst!$R$4:$W$4,0))))</f>
        <v>0</v>
      </c>
      <c r="K243" s="168">
        <f ca="1">IF($C243-K$1&lt;År1,0,J242*(1-VLOOKUP($A243,[1]Hugst!$R$5:$W$9,MATCH(ROUNDUP((K$1)/10,0)*10,[1]Hugst!$R$4:$W$4,0))))</f>
        <v>0</v>
      </c>
      <c r="L243" s="168">
        <f ca="1">IF($C243-L$1&lt;År1,0,K242*(1-VLOOKUP($A243,[1]Hugst!$R$5:$W$9,MATCH(ROUNDUP((L$1)/10,0)*10,[1]Hugst!$R$4:$W$4,0))))</f>
        <v>0</v>
      </c>
      <c r="M243" s="168">
        <f ca="1">IF($C243-M$1&lt;År1,0,L242*(1-VLOOKUP($A243,[1]Hugst!$R$5:$W$9,MATCH(ROUNDUP((M$1)/10,0)*10,[1]Hugst!$R$4:$W$4,0))))</f>
        <v>0</v>
      </c>
      <c r="N243" s="168">
        <f ca="1">IF($C243-N$1&lt;År1,0,M242*(1-VLOOKUP($A243,[1]Hugst!$R$5:$W$9,MATCH(ROUNDUP((N$1)/10,0)*10,[1]Hugst!$R$4:$W$4,0))))</f>
        <v>0</v>
      </c>
      <c r="O243" s="168">
        <f ca="1">IF($C243-O$1&lt;År1,0,N242*(1-VLOOKUP($A243,[1]Hugst!$R$5:$W$9,MATCH(ROUNDUP((O$1)/10,0)*10,[1]Hugst!$R$4:$W$4,0))))</f>
        <v>0</v>
      </c>
      <c r="P243" s="168">
        <f ca="1">IF($C243-P$1&lt;År1,0,O242*(1-VLOOKUP($A243,[1]Hugst!$R$5:$W$9,MATCH(ROUNDUP((P$1)/10,0)*10,[1]Hugst!$R$4:$W$4,0))))</f>
        <v>0</v>
      </c>
      <c r="Q243" s="168">
        <f ca="1">IF($C243-Q$1&lt;År1,0,P242*(1-VLOOKUP($A243,[1]Hugst!$R$5:$W$9,MATCH(ROUNDUP((Q$1)/10,0)*10,[1]Hugst!$R$4:$W$4,0))))</f>
        <v>0</v>
      </c>
      <c r="R243" s="168">
        <f ca="1">IF($C243-R$1&lt;År1,0,Q242*(1-VLOOKUP($A243,[1]Hugst!$R$5:$W$9,MATCH(ROUNDUP((R$1)/10,0)*10,[1]Hugst!$R$4:$W$4,0))))</f>
        <v>0</v>
      </c>
      <c r="S243" s="168">
        <f ca="1">IF($C243-S$1&lt;År1,0,R242*(1-VLOOKUP($A243,[1]Hugst!$R$5:$W$9,MATCH(ROUNDUP((S$1)/10,0)*10,[1]Hugst!$R$4:$W$4,0))))</f>
        <v>0</v>
      </c>
      <c r="T243" s="168">
        <f ca="1">IF($C243-T$1&lt;År1,0,S242*(1-VLOOKUP($A243,[1]Hugst!$R$5:$W$9,MATCH(ROUNDUP((T$1)/10,0)*10,[1]Hugst!$R$4:$W$4,0))))</f>
        <v>0</v>
      </c>
      <c r="U243" s="168">
        <f ca="1">IF($C243-U$1&lt;År1,0,T242*(1-VLOOKUP($A243,[1]Hugst!$R$5:$W$9,MATCH(ROUNDUP((U$1)/10,0)*10,[1]Hugst!$R$4:$W$4,0))))</f>
        <v>0</v>
      </c>
      <c r="V243" s="168">
        <f ca="1">IF($C243-V$1&lt;År1,0,U242*(1-VLOOKUP($A243,[1]Hugst!$R$5:$W$9,MATCH(ROUNDUP((V$1)/10,0)*10,[1]Hugst!$R$4:$W$4,0))))</f>
        <v>0</v>
      </c>
      <c r="W243" s="168">
        <f ca="1">IF($C243-W$1&lt;År1,0,V242*(1-VLOOKUP($A243,[1]Hugst!$R$5:$W$9,MATCH(ROUNDUP((W$1)/10,0)*10,[1]Hugst!$R$4:$W$4,0))))</f>
        <v>0</v>
      </c>
      <c r="X243" s="168">
        <f ca="1">IF($C243-X$1&lt;År1,0,W242*(1-VLOOKUP($A243,[1]Hugst!$R$5:$W$9,MATCH(ROUNDUP((X$1)/10,0)*10,[1]Hugst!$R$4:$W$4,0))))</f>
        <v>0</v>
      </c>
      <c r="Y243" s="168">
        <f ca="1">IF($C243-Y$1&lt;År1,0,X242*(1-VLOOKUP($A243,[1]Hugst!$R$5:$W$9,MATCH(ROUNDUP((Y$1)/10,0)*10,[1]Hugst!$R$4:$W$4,0))))</f>
        <v>0</v>
      </c>
      <c r="Z243" s="168">
        <f ca="1">IF($C243-Z$1&lt;År1,0,Y242*(1-VLOOKUP($A243,[1]Hugst!$R$5:$W$9,MATCH(ROUNDUP((Z$1)/10,0)*10,[1]Hugst!$R$4:$W$4,0))))</f>
        <v>0</v>
      </c>
      <c r="AA243" s="168">
        <f ca="1">IF($C243-AA$1&lt;År1,0,Z242*(1-VLOOKUP($A243,[1]Hugst!$R$5:$W$9,MATCH(ROUNDUP((AA$1)/10,0)*10,[1]Hugst!$R$4:$W$4,0))))</f>
        <v>0</v>
      </c>
      <c r="AB243" s="168">
        <f ca="1">IF($C243-AB$1&lt;År1,0,AA242*(1-VLOOKUP($A243,[1]Hugst!$R$5:$W$9,MATCH(ROUNDUP((AB$1)/10,0)*10,[1]Hugst!$R$4:$W$4,0))))</f>
        <v>0</v>
      </c>
      <c r="AC243" s="168">
        <f ca="1">IF($C243-AC$1&lt;År1,0,AB242*(1-VLOOKUP($A243,[1]Hugst!$R$5:$W$9,MATCH(ROUNDUP((AC$1)/10,0)*10,[1]Hugst!$R$4:$W$4,0))))</f>
        <v>0</v>
      </c>
      <c r="AD243" s="168">
        <f ca="1">IF($C243-AD$1&lt;År1,0,AC242*(1-VLOOKUP($A243,[1]Hugst!$R$5:$W$9,MATCH(ROUNDUP((AD$1)/10,0)*10,[1]Hugst!$R$4:$W$4,0))))</f>
        <v>0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*VLOOKUP(A244,Skovbrug!$A$13:$D$17,IF('Skovbrug-alder'!C244&lt;=År2,3,4),FALSE)-IF(C244&gt;2020,SUM(INDEX($C$1:$D$311,MATCH(1,(2020=$C$1:$C$311)*(B244=$B$1:$B$311)*(A244=$A$1:$A$311),0),2):D243),0))</f>
        <v>0</v>
      </c>
      <c r="E244" s="168">
        <f t="shared" ca="1" si="5"/>
        <v>0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8">
        <f ca="1">IF($C244-G$1&lt;År1,0,F243*(1-VLOOKUP($A244,[1]Hugst!$R$5:$W$9,MATCH(ROUNDUP((G$1)/10,0)*10,[1]Hugst!$R$4:$W$4,0))))</f>
        <v>0</v>
      </c>
      <c r="H244" s="168">
        <f ca="1">IF($C244-H$1&lt;År1,0,G243*(1-VLOOKUP($A244,[1]Hugst!$R$5:$W$9,MATCH(ROUNDUP((H$1)/10,0)*10,[1]Hugst!$R$4:$W$4,0))))</f>
        <v>0</v>
      </c>
      <c r="I244" s="168">
        <f ca="1">IF($C244-I$1&lt;År1,0,H243*(1-VLOOKUP($A244,[1]Hugst!$R$5:$W$9,MATCH(ROUNDUP((I$1)/10,0)*10,[1]Hugst!$R$4:$W$4,0))))</f>
        <v>0</v>
      </c>
      <c r="J244" s="168">
        <f ca="1">IF($C244-J$1&lt;År1,0,I243*(1-VLOOKUP($A244,[1]Hugst!$R$5:$W$9,MATCH(ROUNDUP((J$1)/10,0)*10,[1]Hugst!$R$4:$W$4,0))))</f>
        <v>0</v>
      </c>
      <c r="K244" s="168">
        <f ca="1">IF($C244-K$1&lt;År1,0,J243*(1-VLOOKUP($A244,[1]Hugst!$R$5:$W$9,MATCH(ROUNDUP((K$1)/10,0)*10,[1]Hugst!$R$4:$W$4,0))))</f>
        <v>0</v>
      </c>
      <c r="L244" s="168">
        <f ca="1">IF($C244-L$1&lt;År1,0,K243*(1-VLOOKUP($A244,[1]Hugst!$R$5:$W$9,MATCH(ROUNDUP((L$1)/10,0)*10,[1]Hugst!$R$4:$W$4,0))))</f>
        <v>0</v>
      </c>
      <c r="M244" s="168">
        <f ca="1">IF($C244-M$1&lt;År1,0,L243*(1-VLOOKUP($A244,[1]Hugst!$R$5:$W$9,MATCH(ROUNDUP((M$1)/10,0)*10,[1]Hugst!$R$4:$W$4,0))))</f>
        <v>0</v>
      </c>
      <c r="N244" s="168">
        <f ca="1">IF($C244-N$1&lt;År1,0,M243*(1-VLOOKUP($A244,[1]Hugst!$R$5:$W$9,MATCH(ROUNDUP((N$1)/10,0)*10,[1]Hugst!$R$4:$W$4,0))))</f>
        <v>0</v>
      </c>
      <c r="O244" s="168">
        <f ca="1">IF($C244-O$1&lt;År1,0,N243*(1-VLOOKUP($A244,[1]Hugst!$R$5:$W$9,MATCH(ROUNDUP((O$1)/10,0)*10,[1]Hugst!$R$4:$W$4,0))))</f>
        <v>0</v>
      </c>
      <c r="P244" s="168">
        <f ca="1">IF($C244-P$1&lt;År1,0,O243*(1-VLOOKUP($A244,[1]Hugst!$R$5:$W$9,MATCH(ROUNDUP((P$1)/10,0)*10,[1]Hugst!$R$4:$W$4,0))))</f>
        <v>0</v>
      </c>
      <c r="Q244" s="168">
        <f ca="1">IF($C244-Q$1&lt;År1,0,P243*(1-VLOOKUP($A244,[1]Hugst!$R$5:$W$9,MATCH(ROUNDUP((Q$1)/10,0)*10,[1]Hugst!$R$4:$W$4,0))))</f>
        <v>0</v>
      </c>
      <c r="R244" s="168">
        <f ca="1">IF($C244-R$1&lt;År1,0,Q243*(1-VLOOKUP($A244,[1]Hugst!$R$5:$W$9,MATCH(ROUNDUP((R$1)/10,0)*10,[1]Hugst!$R$4:$W$4,0))))</f>
        <v>0</v>
      </c>
      <c r="S244" s="168">
        <f ca="1">IF($C244-S$1&lt;År1,0,R243*(1-VLOOKUP($A244,[1]Hugst!$R$5:$W$9,MATCH(ROUNDUP((S$1)/10,0)*10,[1]Hugst!$R$4:$W$4,0))))</f>
        <v>0</v>
      </c>
      <c r="T244" s="168">
        <f ca="1">IF($C244-T$1&lt;År1,0,S243*(1-VLOOKUP($A244,[1]Hugst!$R$5:$W$9,MATCH(ROUNDUP((T$1)/10,0)*10,[1]Hugst!$R$4:$W$4,0))))</f>
        <v>0</v>
      </c>
      <c r="U244" s="168">
        <f ca="1">IF($C244-U$1&lt;År1,0,T243*(1-VLOOKUP($A244,[1]Hugst!$R$5:$W$9,MATCH(ROUNDUP((U$1)/10,0)*10,[1]Hugst!$R$4:$W$4,0))))</f>
        <v>0</v>
      </c>
      <c r="V244" s="168">
        <f ca="1">IF($C244-V$1&lt;År1,0,U243*(1-VLOOKUP($A244,[1]Hugst!$R$5:$W$9,MATCH(ROUNDUP((V$1)/10,0)*10,[1]Hugst!$R$4:$W$4,0))))</f>
        <v>0</v>
      </c>
      <c r="W244" s="168">
        <f ca="1">IF($C244-W$1&lt;År1,0,V243*(1-VLOOKUP($A244,[1]Hugst!$R$5:$W$9,MATCH(ROUNDUP((W$1)/10,0)*10,[1]Hugst!$R$4:$W$4,0))))</f>
        <v>0</v>
      </c>
      <c r="X244" s="168">
        <f ca="1">IF($C244-X$1&lt;År1,0,W243*(1-VLOOKUP($A244,[1]Hugst!$R$5:$W$9,MATCH(ROUNDUP((X$1)/10,0)*10,[1]Hugst!$R$4:$W$4,0))))</f>
        <v>0</v>
      </c>
      <c r="Y244" s="168">
        <f ca="1">IF($C244-Y$1&lt;År1,0,X243*(1-VLOOKUP($A244,[1]Hugst!$R$5:$W$9,MATCH(ROUNDUP((Y$1)/10,0)*10,[1]Hugst!$R$4:$W$4,0))))</f>
        <v>0</v>
      </c>
      <c r="Z244" s="168">
        <f ca="1">IF($C244-Z$1&lt;År1,0,Y243*(1-VLOOKUP($A244,[1]Hugst!$R$5:$W$9,MATCH(ROUNDUP((Z$1)/10,0)*10,[1]Hugst!$R$4:$W$4,0))))</f>
        <v>0</v>
      </c>
      <c r="AA244" s="168">
        <f ca="1">IF($C244-AA$1&lt;År1,0,Z243*(1-VLOOKUP($A244,[1]Hugst!$R$5:$W$9,MATCH(ROUNDUP((AA$1)/10,0)*10,[1]Hugst!$R$4:$W$4,0))))</f>
        <v>0</v>
      </c>
      <c r="AB244" s="168">
        <f ca="1">IF($C244-AB$1&lt;År1,0,AA243*(1-VLOOKUP($A244,[1]Hugst!$R$5:$W$9,MATCH(ROUNDUP((AB$1)/10,0)*10,[1]Hugst!$R$4:$W$4,0))))</f>
        <v>0</v>
      </c>
      <c r="AC244" s="168">
        <f ca="1">IF($C244-AC$1&lt;År1,0,AB243*(1-VLOOKUP($A244,[1]Hugst!$R$5:$W$9,MATCH(ROUNDUP((AC$1)/10,0)*10,[1]Hugst!$R$4:$W$4,0))))</f>
        <v>0</v>
      </c>
      <c r="AD244" s="168">
        <f ca="1">IF($C244-AD$1&lt;År1,0,AC243*(1-VLOOKUP($A244,[1]Hugst!$R$5:$W$9,MATCH(ROUNDUP((AD$1)/10,0)*10,[1]Hugst!$R$4:$W$4,0))))</f>
        <v>0</v>
      </c>
      <c r="AE244" s="168">
        <f ca="1">IF($C244-AE$1&lt;År1,0,AD243*(1-VLOOKUP($A244,[1]Hugst!$R$5:$W$9,MATCH(ROUNDUP((AE$1)/10,0)*10,[1]Hugst!$R$4:$W$4,0))))</f>
        <v>0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*VLOOKUP(A245,Skovbrug!$A$13:$D$17,IF('Skovbrug-alder'!C245&lt;=År2,3,4),FALSE)-IF(C245&gt;2020,SUM(INDEX($C$1:$D$311,MATCH(1,(2020=$C$1:$C$311)*(B245=$B$1:$B$311)*(A245=$A$1:$A$311),0),2):D244),0))</f>
        <v>0</v>
      </c>
      <c r="E245" s="168">
        <f t="shared" ca="1" si="5"/>
        <v>0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8">
        <f ca="1">IF($C245-G$1&lt;År1,0,F244*(1-VLOOKUP($A245,[1]Hugst!$R$5:$W$9,MATCH(ROUNDUP((G$1)/10,0)*10,[1]Hugst!$R$4:$W$4,0))))</f>
        <v>0</v>
      </c>
      <c r="H245" s="168">
        <f ca="1">IF($C245-H$1&lt;År1,0,G244*(1-VLOOKUP($A245,[1]Hugst!$R$5:$W$9,MATCH(ROUNDUP((H$1)/10,0)*10,[1]Hugst!$R$4:$W$4,0))))</f>
        <v>0</v>
      </c>
      <c r="I245" s="168">
        <f ca="1">IF($C245-I$1&lt;År1,0,H244*(1-VLOOKUP($A245,[1]Hugst!$R$5:$W$9,MATCH(ROUNDUP((I$1)/10,0)*10,[1]Hugst!$R$4:$W$4,0))))</f>
        <v>0</v>
      </c>
      <c r="J245" s="168">
        <f ca="1">IF($C245-J$1&lt;År1,0,I244*(1-VLOOKUP($A245,[1]Hugst!$R$5:$W$9,MATCH(ROUNDUP((J$1)/10,0)*10,[1]Hugst!$R$4:$W$4,0))))</f>
        <v>0</v>
      </c>
      <c r="K245" s="168">
        <f ca="1">IF($C245-K$1&lt;År1,0,J244*(1-VLOOKUP($A245,[1]Hugst!$R$5:$W$9,MATCH(ROUNDUP((K$1)/10,0)*10,[1]Hugst!$R$4:$W$4,0))))</f>
        <v>0</v>
      </c>
      <c r="L245" s="168">
        <f ca="1">IF($C245-L$1&lt;År1,0,K244*(1-VLOOKUP($A245,[1]Hugst!$R$5:$W$9,MATCH(ROUNDUP((L$1)/10,0)*10,[1]Hugst!$R$4:$W$4,0))))</f>
        <v>0</v>
      </c>
      <c r="M245" s="168">
        <f ca="1">IF($C245-M$1&lt;År1,0,L244*(1-VLOOKUP($A245,[1]Hugst!$R$5:$W$9,MATCH(ROUNDUP((M$1)/10,0)*10,[1]Hugst!$R$4:$W$4,0))))</f>
        <v>0</v>
      </c>
      <c r="N245" s="168">
        <f ca="1">IF($C245-N$1&lt;År1,0,M244*(1-VLOOKUP($A245,[1]Hugst!$R$5:$W$9,MATCH(ROUNDUP((N$1)/10,0)*10,[1]Hugst!$R$4:$W$4,0))))</f>
        <v>0</v>
      </c>
      <c r="O245" s="168">
        <f ca="1">IF($C245-O$1&lt;År1,0,N244*(1-VLOOKUP($A245,[1]Hugst!$R$5:$W$9,MATCH(ROUNDUP((O$1)/10,0)*10,[1]Hugst!$R$4:$W$4,0))))</f>
        <v>0</v>
      </c>
      <c r="P245" s="168">
        <f ca="1">IF($C245-P$1&lt;År1,0,O244*(1-VLOOKUP($A245,[1]Hugst!$R$5:$W$9,MATCH(ROUNDUP((P$1)/10,0)*10,[1]Hugst!$R$4:$W$4,0))))</f>
        <v>0</v>
      </c>
      <c r="Q245" s="168">
        <f ca="1">IF($C245-Q$1&lt;År1,0,P244*(1-VLOOKUP($A245,[1]Hugst!$R$5:$W$9,MATCH(ROUNDUP((Q$1)/10,0)*10,[1]Hugst!$R$4:$W$4,0))))</f>
        <v>0</v>
      </c>
      <c r="R245" s="168">
        <f ca="1">IF($C245-R$1&lt;År1,0,Q244*(1-VLOOKUP($A245,[1]Hugst!$R$5:$W$9,MATCH(ROUNDUP((R$1)/10,0)*10,[1]Hugst!$R$4:$W$4,0))))</f>
        <v>0</v>
      </c>
      <c r="S245" s="168">
        <f ca="1">IF($C245-S$1&lt;År1,0,R244*(1-VLOOKUP($A245,[1]Hugst!$R$5:$W$9,MATCH(ROUNDUP((S$1)/10,0)*10,[1]Hugst!$R$4:$W$4,0))))</f>
        <v>0</v>
      </c>
      <c r="T245" s="168">
        <f ca="1">IF($C245-T$1&lt;År1,0,S244*(1-VLOOKUP($A245,[1]Hugst!$R$5:$W$9,MATCH(ROUNDUP((T$1)/10,0)*10,[1]Hugst!$R$4:$W$4,0))))</f>
        <v>0</v>
      </c>
      <c r="U245" s="168">
        <f ca="1">IF($C245-U$1&lt;År1,0,T244*(1-VLOOKUP($A245,[1]Hugst!$R$5:$W$9,MATCH(ROUNDUP((U$1)/10,0)*10,[1]Hugst!$R$4:$W$4,0))))</f>
        <v>0</v>
      </c>
      <c r="V245" s="168">
        <f ca="1">IF($C245-V$1&lt;År1,0,U244*(1-VLOOKUP($A245,[1]Hugst!$R$5:$W$9,MATCH(ROUNDUP((V$1)/10,0)*10,[1]Hugst!$R$4:$W$4,0))))</f>
        <v>0</v>
      </c>
      <c r="W245" s="168">
        <f ca="1">IF($C245-W$1&lt;År1,0,V244*(1-VLOOKUP($A245,[1]Hugst!$R$5:$W$9,MATCH(ROUNDUP((W$1)/10,0)*10,[1]Hugst!$R$4:$W$4,0))))</f>
        <v>0</v>
      </c>
      <c r="X245" s="168">
        <f ca="1">IF($C245-X$1&lt;År1,0,W244*(1-VLOOKUP($A245,[1]Hugst!$R$5:$W$9,MATCH(ROUNDUP((X$1)/10,0)*10,[1]Hugst!$R$4:$W$4,0))))</f>
        <v>0</v>
      </c>
      <c r="Y245" s="168">
        <f ca="1">IF($C245-Y$1&lt;År1,0,X244*(1-VLOOKUP($A245,[1]Hugst!$R$5:$W$9,MATCH(ROUNDUP((Y$1)/10,0)*10,[1]Hugst!$R$4:$W$4,0))))</f>
        <v>0</v>
      </c>
      <c r="Z245" s="168">
        <f ca="1">IF($C245-Z$1&lt;År1,0,Y244*(1-VLOOKUP($A245,[1]Hugst!$R$5:$W$9,MATCH(ROUNDUP((Z$1)/10,0)*10,[1]Hugst!$R$4:$W$4,0))))</f>
        <v>0</v>
      </c>
      <c r="AA245" s="168">
        <f ca="1">IF($C245-AA$1&lt;År1,0,Z244*(1-VLOOKUP($A245,[1]Hugst!$R$5:$W$9,MATCH(ROUNDUP((AA$1)/10,0)*10,[1]Hugst!$R$4:$W$4,0))))</f>
        <v>0</v>
      </c>
      <c r="AB245" s="168">
        <f ca="1">IF($C245-AB$1&lt;År1,0,AA244*(1-VLOOKUP($A245,[1]Hugst!$R$5:$W$9,MATCH(ROUNDUP((AB$1)/10,0)*10,[1]Hugst!$R$4:$W$4,0))))</f>
        <v>0</v>
      </c>
      <c r="AC245" s="168">
        <f ca="1">IF($C245-AC$1&lt;År1,0,AB244*(1-VLOOKUP($A245,[1]Hugst!$R$5:$W$9,MATCH(ROUNDUP((AC$1)/10,0)*10,[1]Hugst!$R$4:$W$4,0))))</f>
        <v>0</v>
      </c>
      <c r="AD245" s="168">
        <f ca="1">IF($C245-AD$1&lt;År1,0,AC244*(1-VLOOKUP($A245,[1]Hugst!$R$5:$W$9,MATCH(ROUNDUP((AD$1)/10,0)*10,[1]Hugst!$R$4:$W$4,0))))</f>
        <v>0</v>
      </c>
      <c r="AE245" s="168">
        <f ca="1">IF($C245-AE$1&lt;År1,0,AD244*(1-VLOOKUP($A245,[1]Hugst!$R$5:$W$9,MATCH(ROUNDUP((AE$1)/10,0)*10,[1]Hugst!$R$4:$W$4,0))))</f>
        <v>0</v>
      </c>
      <c r="AF245" s="168">
        <f ca="1">IF($C245-AF$1&lt;År1,0,AE244*(1-VLOOKUP($A245,[1]Hugst!$R$5:$W$9,MATCH(ROUNDUP((AF$1)/10,0)*10,[1]Hugst!$R$4:$W$4,0))))</f>
        <v>0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*VLOOKUP(A246,Skovbrug!$A$13:$D$17,IF('Skovbrug-alder'!C246&lt;=År2,3,4),FALSE)-IF(C246&gt;2020,SUM(INDEX($C$1:$D$311,MATCH(1,(2020=$C$1:$C$311)*(B246=$B$1:$B$311)*(A246=$A$1:$A$311),0),2):D245),0))</f>
        <v>0</v>
      </c>
      <c r="E246" s="168">
        <f t="shared" ca="1" si="5"/>
        <v>0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8">
        <f ca="1">IF($C246-G$1&lt;År1,0,F245*(1-VLOOKUP($A246,[1]Hugst!$R$5:$W$9,MATCH(ROUNDUP((G$1)/10,0)*10,[1]Hugst!$R$4:$W$4,0))))</f>
        <v>0</v>
      </c>
      <c r="H246" s="168">
        <f ca="1">IF($C246-H$1&lt;År1,0,G245*(1-VLOOKUP($A246,[1]Hugst!$R$5:$W$9,MATCH(ROUNDUP((H$1)/10,0)*10,[1]Hugst!$R$4:$W$4,0))))</f>
        <v>0</v>
      </c>
      <c r="I246" s="168">
        <f ca="1">IF($C246-I$1&lt;År1,0,H245*(1-VLOOKUP($A246,[1]Hugst!$R$5:$W$9,MATCH(ROUNDUP((I$1)/10,0)*10,[1]Hugst!$R$4:$W$4,0))))</f>
        <v>0</v>
      </c>
      <c r="J246" s="168">
        <f ca="1">IF($C246-J$1&lt;År1,0,I245*(1-VLOOKUP($A246,[1]Hugst!$R$5:$W$9,MATCH(ROUNDUP((J$1)/10,0)*10,[1]Hugst!$R$4:$W$4,0))))</f>
        <v>0</v>
      </c>
      <c r="K246" s="168">
        <f ca="1">IF($C246-K$1&lt;År1,0,J245*(1-VLOOKUP($A246,[1]Hugst!$R$5:$W$9,MATCH(ROUNDUP((K$1)/10,0)*10,[1]Hugst!$R$4:$W$4,0))))</f>
        <v>0</v>
      </c>
      <c r="L246" s="168">
        <f ca="1">IF($C246-L$1&lt;År1,0,K245*(1-VLOOKUP($A246,[1]Hugst!$R$5:$W$9,MATCH(ROUNDUP((L$1)/10,0)*10,[1]Hugst!$R$4:$W$4,0))))</f>
        <v>0</v>
      </c>
      <c r="M246" s="168">
        <f ca="1">IF($C246-M$1&lt;År1,0,L245*(1-VLOOKUP($A246,[1]Hugst!$R$5:$W$9,MATCH(ROUNDUP((M$1)/10,0)*10,[1]Hugst!$R$4:$W$4,0))))</f>
        <v>0</v>
      </c>
      <c r="N246" s="168">
        <f ca="1">IF($C246-N$1&lt;År1,0,M245*(1-VLOOKUP($A246,[1]Hugst!$R$5:$W$9,MATCH(ROUNDUP((N$1)/10,0)*10,[1]Hugst!$R$4:$W$4,0))))</f>
        <v>0</v>
      </c>
      <c r="O246" s="168">
        <f ca="1">IF($C246-O$1&lt;År1,0,N245*(1-VLOOKUP($A246,[1]Hugst!$R$5:$W$9,MATCH(ROUNDUP((O$1)/10,0)*10,[1]Hugst!$R$4:$W$4,0))))</f>
        <v>0</v>
      </c>
      <c r="P246" s="168">
        <f ca="1">IF($C246-P$1&lt;År1,0,O245*(1-VLOOKUP($A246,[1]Hugst!$R$5:$W$9,MATCH(ROUNDUP((P$1)/10,0)*10,[1]Hugst!$R$4:$W$4,0))))</f>
        <v>0</v>
      </c>
      <c r="Q246" s="168">
        <f ca="1">IF($C246-Q$1&lt;År1,0,P245*(1-VLOOKUP($A246,[1]Hugst!$R$5:$W$9,MATCH(ROUNDUP((Q$1)/10,0)*10,[1]Hugst!$R$4:$W$4,0))))</f>
        <v>0</v>
      </c>
      <c r="R246" s="168">
        <f ca="1">IF($C246-R$1&lt;År1,0,Q245*(1-VLOOKUP($A246,[1]Hugst!$R$5:$W$9,MATCH(ROUNDUP((R$1)/10,0)*10,[1]Hugst!$R$4:$W$4,0))))</f>
        <v>0</v>
      </c>
      <c r="S246" s="168">
        <f ca="1">IF($C246-S$1&lt;År1,0,R245*(1-VLOOKUP($A246,[1]Hugst!$R$5:$W$9,MATCH(ROUNDUP((S$1)/10,0)*10,[1]Hugst!$R$4:$W$4,0))))</f>
        <v>0</v>
      </c>
      <c r="T246" s="168">
        <f ca="1">IF($C246-T$1&lt;År1,0,S245*(1-VLOOKUP($A246,[1]Hugst!$R$5:$W$9,MATCH(ROUNDUP((T$1)/10,0)*10,[1]Hugst!$R$4:$W$4,0))))</f>
        <v>0</v>
      </c>
      <c r="U246" s="168">
        <f ca="1">IF($C246-U$1&lt;År1,0,T245*(1-VLOOKUP($A246,[1]Hugst!$R$5:$W$9,MATCH(ROUNDUP((U$1)/10,0)*10,[1]Hugst!$R$4:$W$4,0))))</f>
        <v>0</v>
      </c>
      <c r="V246" s="168">
        <f ca="1">IF($C246-V$1&lt;År1,0,U245*(1-VLOOKUP($A246,[1]Hugst!$R$5:$W$9,MATCH(ROUNDUP((V$1)/10,0)*10,[1]Hugst!$R$4:$W$4,0))))</f>
        <v>0</v>
      </c>
      <c r="W246" s="168">
        <f ca="1">IF($C246-W$1&lt;År1,0,V245*(1-VLOOKUP($A246,[1]Hugst!$R$5:$W$9,MATCH(ROUNDUP((W$1)/10,0)*10,[1]Hugst!$R$4:$W$4,0))))</f>
        <v>0</v>
      </c>
      <c r="X246" s="168">
        <f ca="1">IF($C246-X$1&lt;År1,0,W245*(1-VLOOKUP($A246,[1]Hugst!$R$5:$W$9,MATCH(ROUNDUP((X$1)/10,0)*10,[1]Hugst!$R$4:$W$4,0))))</f>
        <v>0</v>
      </c>
      <c r="Y246" s="168">
        <f ca="1">IF($C246-Y$1&lt;År1,0,X245*(1-VLOOKUP($A246,[1]Hugst!$R$5:$W$9,MATCH(ROUNDUP((Y$1)/10,0)*10,[1]Hugst!$R$4:$W$4,0))))</f>
        <v>0</v>
      </c>
      <c r="Z246" s="168">
        <f ca="1">IF($C246-Z$1&lt;År1,0,Y245*(1-VLOOKUP($A246,[1]Hugst!$R$5:$W$9,MATCH(ROUNDUP((Z$1)/10,0)*10,[1]Hugst!$R$4:$W$4,0))))</f>
        <v>0</v>
      </c>
      <c r="AA246" s="168">
        <f ca="1">IF($C246-AA$1&lt;År1,0,Z245*(1-VLOOKUP($A246,[1]Hugst!$R$5:$W$9,MATCH(ROUNDUP((AA$1)/10,0)*10,[1]Hugst!$R$4:$W$4,0))))</f>
        <v>0</v>
      </c>
      <c r="AB246" s="168">
        <f ca="1">IF($C246-AB$1&lt;År1,0,AA245*(1-VLOOKUP($A246,[1]Hugst!$R$5:$W$9,MATCH(ROUNDUP((AB$1)/10,0)*10,[1]Hugst!$R$4:$W$4,0))))</f>
        <v>0</v>
      </c>
      <c r="AC246" s="168">
        <f ca="1">IF($C246-AC$1&lt;År1,0,AB245*(1-VLOOKUP($A246,[1]Hugst!$R$5:$W$9,MATCH(ROUNDUP((AC$1)/10,0)*10,[1]Hugst!$R$4:$W$4,0))))</f>
        <v>0</v>
      </c>
      <c r="AD246" s="168">
        <f ca="1">IF($C246-AD$1&lt;År1,0,AC245*(1-VLOOKUP($A246,[1]Hugst!$R$5:$W$9,MATCH(ROUNDUP((AD$1)/10,0)*10,[1]Hugst!$R$4:$W$4,0))))</f>
        <v>0</v>
      </c>
      <c r="AE246" s="168">
        <f ca="1">IF($C246-AE$1&lt;År1,0,AD245*(1-VLOOKUP($A246,[1]Hugst!$R$5:$W$9,MATCH(ROUNDUP((AE$1)/10,0)*10,[1]Hugst!$R$4:$W$4,0))))</f>
        <v>0</v>
      </c>
      <c r="AF246" s="168">
        <f ca="1">IF($C246-AF$1&lt;År1,0,AE245*(1-VLOOKUP($A246,[1]Hugst!$R$5:$W$9,MATCH(ROUNDUP((AF$1)/10,0)*10,[1]Hugst!$R$4:$W$4,0))))</f>
        <v>0</v>
      </c>
      <c r="AG246" s="168">
        <f ca="1">IF($C246-AG$1&lt;År1,0,AF245*(1-VLOOKUP($A246,[1]Hugst!$R$5:$W$9,MATCH(ROUNDUP((AG$1)/10,0)*10,[1]Hugst!$R$4:$W$4,0))))</f>
        <v>0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*VLOOKUP(A247,Skovbrug!$A$13:$D$17,IF('Skovbrug-alder'!C247&lt;=År2,3,4),FALSE)-IF(C247&gt;2020,SUM(INDEX($C$1:$D$311,MATCH(1,(2020=$C$1:$C$311)*(B247=$B$1:$B$311)*(A247=$A$1:$A$311),0),2):D246),0))</f>
        <v>0</v>
      </c>
      <c r="E247" s="168">
        <f t="shared" ca="1" si="5"/>
        <v>0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8">
        <f ca="1">IF($C247-G$1&lt;År1,0,F246*(1-VLOOKUP($A247,[1]Hugst!$R$5:$W$9,MATCH(ROUNDUP((G$1)/10,0)*10,[1]Hugst!$R$4:$W$4,0))))</f>
        <v>0</v>
      </c>
      <c r="H247" s="168">
        <f ca="1">IF($C247-H$1&lt;År1,0,G246*(1-VLOOKUP($A247,[1]Hugst!$R$5:$W$9,MATCH(ROUNDUP((H$1)/10,0)*10,[1]Hugst!$R$4:$W$4,0))))</f>
        <v>0</v>
      </c>
      <c r="I247" s="168">
        <f ca="1">IF($C247-I$1&lt;År1,0,H246*(1-VLOOKUP($A247,[1]Hugst!$R$5:$W$9,MATCH(ROUNDUP((I$1)/10,0)*10,[1]Hugst!$R$4:$W$4,0))))</f>
        <v>0</v>
      </c>
      <c r="J247" s="168">
        <f ca="1">IF($C247-J$1&lt;År1,0,I246*(1-VLOOKUP($A247,[1]Hugst!$R$5:$W$9,MATCH(ROUNDUP((J$1)/10,0)*10,[1]Hugst!$R$4:$W$4,0))))</f>
        <v>0</v>
      </c>
      <c r="K247" s="168">
        <f ca="1">IF($C247-K$1&lt;År1,0,J246*(1-VLOOKUP($A247,[1]Hugst!$R$5:$W$9,MATCH(ROUNDUP((K$1)/10,0)*10,[1]Hugst!$R$4:$W$4,0))))</f>
        <v>0</v>
      </c>
      <c r="L247" s="168">
        <f ca="1">IF($C247-L$1&lt;År1,0,K246*(1-VLOOKUP($A247,[1]Hugst!$R$5:$W$9,MATCH(ROUNDUP((L$1)/10,0)*10,[1]Hugst!$R$4:$W$4,0))))</f>
        <v>0</v>
      </c>
      <c r="M247" s="168">
        <f ca="1">IF($C247-M$1&lt;År1,0,L246*(1-VLOOKUP($A247,[1]Hugst!$R$5:$W$9,MATCH(ROUNDUP((M$1)/10,0)*10,[1]Hugst!$R$4:$W$4,0))))</f>
        <v>0</v>
      </c>
      <c r="N247" s="168">
        <f ca="1">IF($C247-N$1&lt;År1,0,M246*(1-VLOOKUP($A247,[1]Hugst!$R$5:$W$9,MATCH(ROUNDUP((N$1)/10,0)*10,[1]Hugst!$R$4:$W$4,0))))</f>
        <v>0</v>
      </c>
      <c r="O247" s="168">
        <f ca="1">IF($C247-O$1&lt;År1,0,N246*(1-VLOOKUP($A247,[1]Hugst!$R$5:$W$9,MATCH(ROUNDUP((O$1)/10,0)*10,[1]Hugst!$R$4:$W$4,0))))</f>
        <v>0</v>
      </c>
      <c r="P247" s="168">
        <f ca="1">IF($C247-P$1&lt;År1,0,O246*(1-VLOOKUP($A247,[1]Hugst!$R$5:$W$9,MATCH(ROUNDUP((P$1)/10,0)*10,[1]Hugst!$R$4:$W$4,0))))</f>
        <v>0</v>
      </c>
      <c r="Q247" s="168">
        <f ca="1">IF($C247-Q$1&lt;År1,0,P246*(1-VLOOKUP($A247,[1]Hugst!$R$5:$W$9,MATCH(ROUNDUP((Q$1)/10,0)*10,[1]Hugst!$R$4:$W$4,0))))</f>
        <v>0</v>
      </c>
      <c r="R247" s="168">
        <f ca="1">IF($C247-R$1&lt;År1,0,Q246*(1-VLOOKUP($A247,[1]Hugst!$R$5:$W$9,MATCH(ROUNDUP((R$1)/10,0)*10,[1]Hugst!$R$4:$W$4,0))))</f>
        <v>0</v>
      </c>
      <c r="S247" s="168">
        <f ca="1">IF($C247-S$1&lt;År1,0,R246*(1-VLOOKUP($A247,[1]Hugst!$R$5:$W$9,MATCH(ROUNDUP((S$1)/10,0)*10,[1]Hugst!$R$4:$W$4,0))))</f>
        <v>0</v>
      </c>
      <c r="T247" s="168">
        <f ca="1">IF($C247-T$1&lt;År1,0,S246*(1-VLOOKUP($A247,[1]Hugst!$R$5:$W$9,MATCH(ROUNDUP((T$1)/10,0)*10,[1]Hugst!$R$4:$W$4,0))))</f>
        <v>0</v>
      </c>
      <c r="U247" s="168">
        <f ca="1">IF($C247-U$1&lt;År1,0,T246*(1-VLOOKUP($A247,[1]Hugst!$R$5:$W$9,MATCH(ROUNDUP((U$1)/10,0)*10,[1]Hugst!$R$4:$W$4,0))))</f>
        <v>0</v>
      </c>
      <c r="V247" s="168">
        <f ca="1">IF($C247-V$1&lt;År1,0,U246*(1-VLOOKUP($A247,[1]Hugst!$R$5:$W$9,MATCH(ROUNDUP((V$1)/10,0)*10,[1]Hugst!$R$4:$W$4,0))))</f>
        <v>0</v>
      </c>
      <c r="W247" s="168">
        <f ca="1">IF($C247-W$1&lt;År1,0,V246*(1-VLOOKUP($A247,[1]Hugst!$R$5:$W$9,MATCH(ROUNDUP((W$1)/10,0)*10,[1]Hugst!$R$4:$W$4,0))))</f>
        <v>0</v>
      </c>
      <c r="X247" s="168">
        <f ca="1">IF($C247-X$1&lt;År1,0,W246*(1-VLOOKUP($A247,[1]Hugst!$R$5:$W$9,MATCH(ROUNDUP((X$1)/10,0)*10,[1]Hugst!$R$4:$W$4,0))))</f>
        <v>0</v>
      </c>
      <c r="Y247" s="168">
        <f ca="1">IF($C247-Y$1&lt;År1,0,X246*(1-VLOOKUP($A247,[1]Hugst!$R$5:$W$9,MATCH(ROUNDUP((Y$1)/10,0)*10,[1]Hugst!$R$4:$W$4,0))))</f>
        <v>0</v>
      </c>
      <c r="Z247" s="168">
        <f ca="1">IF($C247-Z$1&lt;År1,0,Y246*(1-VLOOKUP($A247,[1]Hugst!$R$5:$W$9,MATCH(ROUNDUP((Z$1)/10,0)*10,[1]Hugst!$R$4:$W$4,0))))</f>
        <v>0</v>
      </c>
      <c r="AA247" s="168">
        <f ca="1">IF($C247-AA$1&lt;År1,0,Z246*(1-VLOOKUP($A247,[1]Hugst!$R$5:$W$9,MATCH(ROUNDUP((AA$1)/10,0)*10,[1]Hugst!$R$4:$W$4,0))))</f>
        <v>0</v>
      </c>
      <c r="AB247" s="168">
        <f ca="1">IF($C247-AB$1&lt;År1,0,AA246*(1-VLOOKUP($A247,[1]Hugst!$R$5:$W$9,MATCH(ROUNDUP((AB$1)/10,0)*10,[1]Hugst!$R$4:$W$4,0))))</f>
        <v>0</v>
      </c>
      <c r="AC247" s="168">
        <f ca="1">IF($C247-AC$1&lt;År1,0,AB246*(1-VLOOKUP($A247,[1]Hugst!$R$5:$W$9,MATCH(ROUNDUP((AC$1)/10,0)*10,[1]Hugst!$R$4:$W$4,0))))</f>
        <v>0</v>
      </c>
      <c r="AD247" s="168">
        <f ca="1">IF($C247-AD$1&lt;År1,0,AC246*(1-VLOOKUP($A247,[1]Hugst!$R$5:$W$9,MATCH(ROUNDUP((AD$1)/10,0)*10,[1]Hugst!$R$4:$W$4,0))))</f>
        <v>0</v>
      </c>
      <c r="AE247" s="168">
        <f ca="1">IF($C247-AE$1&lt;År1,0,AD246*(1-VLOOKUP($A247,[1]Hugst!$R$5:$W$9,MATCH(ROUNDUP((AE$1)/10,0)*10,[1]Hugst!$R$4:$W$4,0))))</f>
        <v>0</v>
      </c>
      <c r="AF247" s="168">
        <f ca="1">IF($C247-AF$1&lt;År1,0,AE246*(1-VLOOKUP($A247,[1]Hugst!$R$5:$W$9,MATCH(ROUNDUP((AF$1)/10,0)*10,[1]Hugst!$R$4:$W$4,0))))</f>
        <v>0</v>
      </c>
      <c r="AG247" s="168">
        <f ca="1">IF($C247-AG$1&lt;År1,0,AF246*(1-VLOOKUP($A247,[1]Hugst!$R$5:$W$9,MATCH(ROUNDUP((AG$1)/10,0)*10,[1]Hugst!$R$4:$W$4,0))))</f>
        <v>0</v>
      </c>
      <c r="AH247" s="168">
        <f ca="1">IF($C247-AH$1&lt;År1,0,AG246*(1-VLOOKUP($A247,[1]Hugst!$R$5:$W$9,MATCH(ROUNDUP((AH$1)/10,0)*10,[1]Hugst!$R$4:$W$4,0))))</f>
        <v>0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*VLOOKUP(A248,Skovbrug!$A$13:$D$17,IF('Skovbrug-alder'!C248&lt;=År2,3,4),FALSE)-IF(C248&gt;2020,SUM(INDEX($C$1:$D$311,MATCH(1,(2020=$C$1:$C$311)*(B248=$B$1:$B$311)*(A248=$A$1:$A$311),0),2):D247),0))</f>
        <v>0</v>
      </c>
      <c r="E248" s="168">
        <f t="shared" ca="1" si="5"/>
        <v>0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8">
        <f ca="1">IF($C248-G$1&lt;År1,0,F247*(1-VLOOKUP($A248,[1]Hugst!$R$5:$W$9,MATCH(ROUNDUP((G$1)/10,0)*10,[1]Hugst!$R$4:$W$4,0))))</f>
        <v>0</v>
      </c>
      <c r="H248" s="168">
        <f ca="1">IF($C248-H$1&lt;År1,0,G247*(1-VLOOKUP($A248,[1]Hugst!$R$5:$W$9,MATCH(ROUNDUP((H$1)/10,0)*10,[1]Hugst!$R$4:$W$4,0))))</f>
        <v>0</v>
      </c>
      <c r="I248" s="168">
        <f ca="1">IF($C248-I$1&lt;År1,0,H247*(1-VLOOKUP($A248,[1]Hugst!$R$5:$W$9,MATCH(ROUNDUP((I$1)/10,0)*10,[1]Hugst!$R$4:$W$4,0))))</f>
        <v>0</v>
      </c>
      <c r="J248" s="168">
        <f ca="1">IF($C248-J$1&lt;År1,0,I247*(1-VLOOKUP($A248,[1]Hugst!$R$5:$W$9,MATCH(ROUNDUP((J$1)/10,0)*10,[1]Hugst!$R$4:$W$4,0))))</f>
        <v>0</v>
      </c>
      <c r="K248" s="168">
        <f ca="1">IF($C248-K$1&lt;År1,0,J247*(1-VLOOKUP($A248,[1]Hugst!$R$5:$W$9,MATCH(ROUNDUP((K$1)/10,0)*10,[1]Hugst!$R$4:$W$4,0))))</f>
        <v>0</v>
      </c>
      <c r="L248" s="168">
        <f ca="1">IF($C248-L$1&lt;År1,0,K247*(1-VLOOKUP($A248,[1]Hugst!$R$5:$W$9,MATCH(ROUNDUP((L$1)/10,0)*10,[1]Hugst!$R$4:$W$4,0))))</f>
        <v>0</v>
      </c>
      <c r="M248" s="168">
        <f ca="1">IF($C248-M$1&lt;År1,0,L247*(1-VLOOKUP($A248,[1]Hugst!$R$5:$W$9,MATCH(ROUNDUP((M$1)/10,0)*10,[1]Hugst!$R$4:$W$4,0))))</f>
        <v>0</v>
      </c>
      <c r="N248" s="168">
        <f ca="1">IF($C248-N$1&lt;År1,0,M247*(1-VLOOKUP($A248,[1]Hugst!$R$5:$W$9,MATCH(ROUNDUP((N$1)/10,0)*10,[1]Hugst!$R$4:$W$4,0))))</f>
        <v>0</v>
      </c>
      <c r="O248" s="168">
        <f ca="1">IF($C248-O$1&lt;År1,0,N247*(1-VLOOKUP($A248,[1]Hugst!$R$5:$W$9,MATCH(ROUNDUP((O$1)/10,0)*10,[1]Hugst!$R$4:$W$4,0))))</f>
        <v>0</v>
      </c>
      <c r="P248" s="168">
        <f ca="1">IF($C248-P$1&lt;År1,0,O247*(1-VLOOKUP($A248,[1]Hugst!$R$5:$W$9,MATCH(ROUNDUP((P$1)/10,0)*10,[1]Hugst!$R$4:$W$4,0))))</f>
        <v>0</v>
      </c>
      <c r="Q248" s="168">
        <f ca="1">IF($C248-Q$1&lt;År1,0,P247*(1-VLOOKUP($A248,[1]Hugst!$R$5:$W$9,MATCH(ROUNDUP((Q$1)/10,0)*10,[1]Hugst!$R$4:$W$4,0))))</f>
        <v>0</v>
      </c>
      <c r="R248" s="168">
        <f ca="1">IF($C248-R$1&lt;År1,0,Q247*(1-VLOOKUP($A248,[1]Hugst!$R$5:$W$9,MATCH(ROUNDUP((R$1)/10,0)*10,[1]Hugst!$R$4:$W$4,0))))</f>
        <v>0</v>
      </c>
      <c r="S248" s="168">
        <f ca="1">IF($C248-S$1&lt;År1,0,R247*(1-VLOOKUP($A248,[1]Hugst!$R$5:$W$9,MATCH(ROUNDUP((S$1)/10,0)*10,[1]Hugst!$R$4:$W$4,0))))</f>
        <v>0</v>
      </c>
      <c r="T248" s="168">
        <f ca="1">IF($C248-T$1&lt;År1,0,S247*(1-VLOOKUP($A248,[1]Hugst!$R$5:$W$9,MATCH(ROUNDUP((T$1)/10,0)*10,[1]Hugst!$R$4:$W$4,0))))</f>
        <v>0</v>
      </c>
      <c r="U248" s="168">
        <f ca="1">IF($C248-U$1&lt;År1,0,T247*(1-VLOOKUP($A248,[1]Hugst!$R$5:$W$9,MATCH(ROUNDUP((U$1)/10,0)*10,[1]Hugst!$R$4:$W$4,0))))</f>
        <v>0</v>
      </c>
      <c r="V248" s="168">
        <f ca="1">IF($C248-V$1&lt;År1,0,U247*(1-VLOOKUP($A248,[1]Hugst!$R$5:$W$9,MATCH(ROUNDUP((V$1)/10,0)*10,[1]Hugst!$R$4:$W$4,0))))</f>
        <v>0</v>
      </c>
      <c r="W248" s="168">
        <f ca="1">IF($C248-W$1&lt;År1,0,V247*(1-VLOOKUP($A248,[1]Hugst!$R$5:$W$9,MATCH(ROUNDUP((W$1)/10,0)*10,[1]Hugst!$R$4:$W$4,0))))</f>
        <v>0</v>
      </c>
      <c r="X248" s="168">
        <f ca="1">IF($C248-X$1&lt;År1,0,W247*(1-VLOOKUP($A248,[1]Hugst!$R$5:$W$9,MATCH(ROUNDUP((X$1)/10,0)*10,[1]Hugst!$R$4:$W$4,0))))</f>
        <v>0</v>
      </c>
      <c r="Y248" s="168">
        <f ca="1">IF($C248-Y$1&lt;År1,0,X247*(1-VLOOKUP($A248,[1]Hugst!$R$5:$W$9,MATCH(ROUNDUP((Y$1)/10,0)*10,[1]Hugst!$R$4:$W$4,0))))</f>
        <v>0</v>
      </c>
      <c r="Z248" s="168">
        <f ca="1">IF($C248-Z$1&lt;År1,0,Y247*(1-VLOOKUP($A248,[1]Hugst!$R$5:$W$9,MATCH(ROUNDUP((Z$1)/10,0)*10,[1]Hugst!$R$4:$W$4,0))))</f>
        <v>0</v>
      </c>
      <c r="AA248" s="168">
        <f ca="1">IF($C248-AA$1&lt;År1,0,Z247*(1-VLOOKUP($A248,[1]Hugst!$R$5:$W$9,MATCH(ROUNDUP((AA$1)/10,0)*10,[1]Hugst!$R$4:$W$4,0))))</f>
        <v>0</v>
      </c>
      <c r="AB248" s="168">
        <f ca="1">IF($C248-AB$1&lt;År1,0,AA247*(1-VLOOKUP($A248,[1]Hugst!$R$5:$W$9,MATCH(ROUNDUP((AB$1)/10,0)*10,[1]Hugst!$R$4:$W$4,0))))</f>
        <v>0</v>
      </c>
      <c r="AC248" s="168">
        <f ca="1">IF($C248-AC$1&lt;År1,0,AB247*(1-VLOOKUP($A248,[1]Hugst!$R$5:$W$9,MATCH(ROUNDUP((AC$1)/10,0)*10,[1]Hugst!$R$4:$W$4,0))))</f>
        <v>0</v>
      </c>
      <c r="AD248" s="168">
        <f ca="1">IF($C248-AD$1&lt;År1,0,AC247*(1-VLOOKUP($A248,[1]Hugst!$R$5:$W$9,MATCH(ROUNDUP((AD$1)/10,0)*10,[1]Hugst!$R$4:$W$4,0))))</f>
        <v>0</v>
      </c>
      <c r="AE248" s="168">
        <f ca="1">IF($C248-AE$1&lt;År1,0,AD247*(1-VLOOKUP($A248,[1]Hugst!$R$5:$W$9,MATCH(ROUNDUP((AE$1)/10,0)*10,[1]Hugst!$R$4:$W$4,0))))</f>
        <v>0</v>
      </c>
      <c r="AF248" s="168">
        <f ca="1">IF($C248-AF$1&lt;År1,0,AE247*(1-VLOOKUP($A248,[1]Hugst!$R$5:$W$9,MATCH(ROUNDUP((AF$1)/10,0)*10,[1]Hugst!$R$4:$W$4,0))))</f>
        <v>0</v>
      </c>
      <c r="AG248" s="168">
        <f ca="1">IF($C248-AG$1&lt;År1,0,AF247*(1-VLOOKUP($A248,[1]Hugst!$R$5:$W$9,MATCH(ROUNDUP((AG$1)/10,0)*10,[1]Hugst!$R$4:$W$4,0))))</f>
        <v>0</v>
      </c>
      <c r="AH248" s="168">
        <f ca="1">IF($C248-AH$1&lt;År1,0,AG247*(1-VLOOKUP($A248,[1]Hugst!$R$5:$W$9,MATCH(ROUNDUP((AH$1)/10,0)*10,[1]Hugst!$R$4:$W$4,0))))</f>
        <v>0</v>
      </c>
      <c r="AI248" s="168">
        <f ca="1">IF($C248-AI$1&lt;År1,0,AH247*(1-VLOOKUP($A248,[1]Hugst!$R$5:$W$9,MATCH(ROUNDUP((AI$1)/10,0)*10,[1]Hugst!$R$4:$W$4,0))))</f>
        <v>0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*VLOOKUP(A249,Skovbrug!$A$13:$D$17,IF('Skovbrug-alder'!C249&lt;=År2,3,4),FALSE)-IF(C249&gt;2020,SUM(INDEX($C$1:$D$311,MATCH(1,(2020=$C$1:$C$311)*(B249=$B$1:$B$311)*(A249=$A$1:$A$311),0),2):D248),0))</f>
        <v>0</v>
      </c>
      <c r="E249" s="168">
        <f ca="1">IF(C249=2020,SUM(G249:AJ249),SUM(F248:AJ248)-SUM(G249:AJ249))</f>
        <v>0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8">
        <f ca="1">IF($C249-G$1&lt;År1,0,F248*(1-VLOOKUP($A249,[1]Hugst!$R$5:$W$9,MATCH(ROUNDUP((G$1)/10,0)*10,[1]Hugst!$R$4:$W$4,0))))</f>
        <v>0</v>
      </c>
      <c r="H249" s="168">
        <f ca="1">IF($C249-H$1&lt;År1,0,G248*(1-VLOOKUP($A249,[1]Hugst!$R$5:$W$9,MATCH(ROUNDUP((H$1)/10,0)*10,[1]Hugst!$R$4:$W$4,0))))</f>
        <v>0</v>
      </c>
      <c r="I249" s="168">
        <f ca="1">IF($C249-I$1&lt;År1,0,H248*(1-VLOOKUP($A249,[1]Hugst!$R$5:$W$9,MATCH(ROUNDUP((I$1)/10,0)*10,[1]Hugst!$R$4:$W$4,0))))</f>
        <v>0</v>
      </c>
      <c r="J249" s="168">
        <f ca="1">IF($C249-J$1&lt;År1,0,I248*(1-VLOOKUP($A249,[1]Hugst!$R$5:$W$9,MATCH(ROUNDUP((J$1)/10,0)*10,[1]Hugst!$R$4:$W$4,0))))</f>
        <v>0</v>
      </c>
      <c r="K249" s="168">
        <f ca="1">IF($C249-K$1&lt;År1,0,J248*(1-VLOOKUP($A249,[1]Hugst!$R$5:$W$9,MATCH(ROUNDUP((K$1)/10,0)*10,[1]Hugst!$R$4:$W$4,0))))</f>
        <v>0</v>
      </c>
      <c r="L249" s="168">
        <f ca="1">IF($C249-L$1&lt;År1,0,K248*(1-VLOOKUP($A249,[1]Hugst!$R$5:$W$9,MATCH(ROUNDUP((L$1)/10,0)*10,[1]Hugst!$R$4:$W$4,0))))</f>
        <v>0</v>
      </c>
      <c r="M249" s="168">
        <f ca="1">IF($C249-M$1&lt;År1,0,L248*(1-VLOOKUP($A249,[1]Hugst!$R$5:$W$9,MATCH(ROUNDUP((M$1)/10,0)*10,[1]Hugst!$R$4:$W$4,0))))</f>
        <v>0</v>
      </c>
      <c r="N249" s="168">
        <f ca="1">IF($C249-N$1&lt;År1,0,M248*(1-VLOOKUP($A249,[1]Hugst!$R$5:$W$9,MATCH(ROUNDUP((N$1)/10,0)*10,[1]Hugst!$R$4:$W$4,0))))</f>
        <v>0</v>
      </c>
      <c r="O249" s="168">
        <f ca="1">IF($C249-O$1&lt;År1,0,N248*(1-VLOOKUP($A249,[1]Hugst!$R$5:$W$9,MATCH(ROUNDUP((O$1)/10,0)*10,[1]Hugst!$R$4:$W$4,0))))</f>
        <v>0</v>
      </c>
      <c r="P249" s="168">
        <f ca="1">IF($C249-P$1&lt;År1,0,O248*(1-VLOOKUP($A249,[1]Hugst!$R$5:$W$9,MATCH(ROUNDUP((P$1)/10,0)*10,[1]Hugst!$R$4:$W$4,0))))</f>
        <v>0</v>
      </c>
      <c r="Q249" s="168">
        <f ca="1">IF($C249-Q$1&lt;År1,0,P248*(1-VLOOKUP($A249,[1]Hugst!$R$5:$W$9,MATCH(ROUNDUP((Q$1)/10,0)*10,[1]Hugst!$R$4:$W$4,0))))</f>
        <v>0</v>
      </c>
      <c r="R249" s="168">
        <f ca="1">IF($C249-R$1&lt;År1,0,Q248*(1-VLOOKUP($A249,[1]Hugst!$R$5:$W$9,MATCH(ROUNDUP((R$1)/10,0)*10,[1]Hugst!$R$4:$W$4,0))))</f>
        <v>0</v>
      </c>
      <c r="S249" s="168">
        <f ca="1">IF($C249-S$1&lt;År1,0,R248*(1-VLOOKUP($A249,[1]Hugst!$R$5:$W$9,MATCH(ROUNDUP((S$1)/10,0)*10,[1]Hugst!$R$4:$W$4,0))))</f>
        <v>0</v>
      </c>
      <c r="T249" s="168">
        <f ca="1">IF($C249-T$1&lt;År1,0,S248*(1-VLOOKUP($A249,[1]Hugst!$R$5:$W$9,MATCH(ROUNDUP((T$1)/10,0)*10,[1]Hugst!$R$4:$W$4,0))))</f>
        <v>0</v>
      </c>
      <c r="U249" s="168">
        <f ca="1">IF($C249-U$1&lt;År1,0,T248*(1-VLOOKUP($A249,[1]Hugst!$R$5:$W$9,MATCH(ROUNDUP((U$1)/10,0)*10,[1]Hugst!$R$4:$W$4,0))))</f>
        <v>0</v>
      </c>
      <c r="V249" s="168">
        <f ca="1">IF($C249-V$1&lt;År1,0,U248*(1-VLOOKUP($A249,[1]Hugst!$R$5:$W$9,MATCH(ROUNDUP((V$1)/10,0)*10,[1]Hugst!$R$4:$W$4,0))))</f>
        <v>0</v>
      </c>
      <c r="W249" s="168">
        <f ca="1">IF($C249-W$1&lt;År1,0,V248*(1-VLOOKUP($A249,[1]Hugst!$R$5:$W$9,MATCH(ROUNDUP((W$1)/10,0)*10,[1]Hugst!$R$4:$W$4,0))))</f>
        <v>0</v>
      </c>
      <c r="X249" s="168">
        <f ca="1">IF($C249-X$1&lt;År1,0,W248*(1-VLOOKUP($A249,[1]Hugst!$R$5:$W$9,MATCH(ROUNDUP((X$1)/10,0)*10,[1]Hugst!$R$4:$W$4,0))))</f>
        <v>0</v>
      </c>
      <c r="Y249" s="168">
        <f ca="1">IF($C249-Y$1&lt;År1,0,X248*(1-VLOOKUP($A249,[1]Hugst!$R$5:$W$9,MATCH(ROUNDUP((Y$1)/10,0)*10,[1]Hugst!$R$4:$W$4,0))))</f>
        <v>0</v>
      </c>
      <c r="Z249" s="168">
        <f ca="1">IF($C249-Z$1&lt;År1,0,Y248*(1-VLOOKUP($A249,[1]Hugst!$R$5:$W$9,MATCH(ROUNDUP((Z$1)/10,0)*10,[1]Hugst!$R$4:$W$4,0))))</f>
        <v>0</v>
      </c>
      <c r="AA249" s="168">
        <f ca="1">IF($C249-AA$1&lt;År1,0,Z248*(1-VLOOKUP($A249,[1]Hugst!$R$5:$W$9,MATCH(ROUNDUP((AA$1)/10,0)*10,[1]Hugst!$R$4:$W$4,0))))</f>
        <v>0</v>
      </c>
      <c r="AB249" s="168">
        <f ca="1">IF($C249-AB$1&lt;År1,0,AA248*(1-VLOOKUP($A249,[1]Hugst!$R$5:$W$9,MATCH(ROUNDUP((AB$1)/10,0)*10,[1]Hugst!$R$4:$W$4,0))))</f>
        <v>0</v>
      </c>
      <c r="AC249" s="168">
        <f ca="1">IF($C249-AC$1&lt;År1,0,AB248*(1-VLOOKUP($A249,[1]Hugst!$R$5:$W$9,MATCH(ROUNDUP((AC$1)/10,0)*10,[1]Hugst!$R$4:$W$4,0))))</f>
        <v>0</v>
      </c>
      <c r="AD249" s="168">
        <f ca="1">IF($C249-AD$1&lt;År1,0,AC248*(1-VLOOKUP($A249,[1]Hugst!$R$5:$W$9,MATCH(ROUNDUP((AD$1)/10,0)*10,[1]Hugst!$R$4:$W$4,0))))</f>
        <v>0</v>
      </c>
      <c r="AE249" s="168">
        <f ca="1">IF($C249-AE$1&lt;År1,0,AD248*(1-VLOOKUP($A249,[1]Hugst!$R$5:$W$9,MATCH(ROUNDUP((AE$1)/10,0)*10,[1]Hugst!$R$4:$W$4,0))))</f>
        <v>0</v>
      </c>
      <c r="AF249" s="168">
        <f ca="1">IF($C249-AF$1&lt;År1,0,AE248*(1-VLOOKUP($A249,[1]Hugst!$R$5:$W$9,MATCH(ROUNDUP((AF$1)/10,0)*10,[1]Hugst!$R$4:$W$4,0))))</f>
        <v>0</v>
      </c>
      <c r="AG249" s="168">
        <f ca="1">IF($C249-AG$1&lt;År1,0,AF248*(1-VLOOKUP($A249,[1]Hugst!$R$5:$W$9,MATCH(ROUNDUP((AG$1)/10,0)*10,[1]Hugst!$R$4:$W$4,0))))</f>
        <v>0</v>
      </c>
      <c r="AH249" s="168">
        <f ca="1">IF($C249-AH$1&lt;År1,0,AG248*(1-VLOOKUP($A249,[1]Hugst!$R$5:$W$9,MATCH(ROUNDUP((AH$1)/10,0)*10,[1]Hugst!$R$4:$W$4,0))))</f>
        <v>0</v>
      </c>
      <c r="AI249" s="168">
        <f ca="1">IF($C249-AI$1&lt;År1,0,AH248*(1-VLOOKUP($A249,[1]Hugst!$R$5:$W$9,MATCH(ROUNDUP((AI$1)/10,0)*10,[1]Hugst!$R$4:$W$4,0))))</f>
        <v>0</v>
      </c>
      <c r="AJ249" s="168">
        <f ca="1">IF($C249-AJ$1&lt;År1,0,AI248*(1-VLOOKUP($A249,[1]Hugst!$R$5:$W$9,MATCH(ROUNDUP((AJ$1)/10,0)*10,[1]Hugst!$R$4:$W$4,0))))</f>
        <v>0</v>
      </c>
    </row>
    <row r="250" spans="1:36" x14ac:dyDescent="0.25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*VLOOKUP(A250,Skovbrug!$A$13:$D$17,IF('Skovbrug-alder'!C250&lt;=År2,3,4),FALSE)-IF(C250&gt;2020,SUM(INDEX($C$1:$D$311,MATCH(1,(2020=$C$1:$C$311)*(B250=$B$1:$B$311)*(A250=$A$1:$A$311),0),2):D249),0))</f>
        <v>1087.6613040576631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3518.4761188724765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*VLOOKUP(A251,Skovbrug!$A$13:$D$17,IF('Skovbrug-alder'!C251&lt;=År2,3,4),FALSE)-IF(C251&gt;2020,SUM(INDEX($C$1:$D$311,MATCH(1,(2020=$C$1:$C$311)*(B251=$B$1:$B$311)*(A251=$A$1:$A$311),0),2):D250),0))</f>
        <v>1082.2229975373484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3513.0378123521618</v>
      </c>
      <c r="G251" s="168">
        <f ca="1">IF($C251-G$1&lt;År1,0,F250*(1-VLOOKUP($A251,[1]Hugst!$R$5:$W$9,MATCH(ROUNDUP((G$1)/10,0)*10,[1]Hugst!$R$4:$W$4,0))))</f>
        <v>3518.4761188724765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*VLOOKUP(A252,Skovbrug!$A$13:$D$17,IF('Skovbrug-alder'!C252&lt;=År2,3,4),FALSE)-IF(C252&gt;2020,SUM(INDEX($C$1:$D$311,MATCH(1,(2020=$C$1:$C$311)*(B252=$B$1:$B$311)*(A252=$A$1:$A$311),0),2):D251),0))</f>
        <v>1076.8118825496931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3507.6266973645065</v>
      </c>
      <c r="G252" s="168">
        <f ca="1">IF($C252-G$1&lt;År1,0,F251*(1-VLOOKUP($A252,[1]Hugst!$R$5:$W$9,MATCH(ROUNDUP((G$1)/10,0)*10,[1]Hugst!$R$4:$W$4,0))))</f>
        <v>3513.0378123521618</v>
      </c>
      <c r="H252" s="168">
        <f ca="1">IF($C252-H$1&lt;År1,0,G251*(1-VLOOKUP($A252,[1]Hugst!$R$5:$W$9,MATCH(ROUNDUP((H$1)/10,0)*10,[1]Hugst!$R$4:$W$4,0))))</f>
        <v>3518.4761188724765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*VLOOKUP(A253,Skovbrug!$A$13:$D$17,IF('Skovbrug-alder'!C253&lt;=År2,3,4),FALSE)-IF(C253&gt;2020,SUM(INDEX($C$1:$D$311,MATCH(1,(2020=$C$1:$C$311)*(B253=$B$1:$B$311)*(A253=$A$1:$A$311),0),2):D252),0))</f>
        <v>1071.427823136939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3502.2426379517524</v>
      </c>
      <c r="G253" s="168">
        <f ca="1">IF($C253-G$1&lt;År1,0,F252*(1-VLOOKUP($A253,[1]Hugst!$R$5:$W$9,MATCH(ROUNDUP((G$1)/10,0)*10,[1]Hugst!$R$4:$W$4,0))))</f>
        <v>3507.6266973645065</v>
      </c>
      <c r="H253" s="168">
        <f ca="1">IF($C253-H$1&lt;År1,0,G252*(1-VLOOKUP($A253,[1]Hugst!$R$5:$W$9,MATCH(ROUNDUP((H$1)/10,0)*10,[1]Hugst!$R$4:$W$4,0))))</f>
        <v>3513.0378123521618</v>
      </c>
      <c r="I253" s="168">
        <f ca="1">IF($C253-I$1&lt;År1,0,H252*(1-VLOOKUP($A253,[1]Hugst!$R$5:$W$9,MATCH(ROUNDUP((I$1)/10,0)*10,[1]Hugst!$R$4:$W$4,0))))</f>
        <v>3518.4761188724765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*VLOOKUP(A254,Skovbrug!$A$13:$D$17,IF('Skovbrug-alder'!C254&lt;=År2,3,4),FALSE)-IF(C254&gt;2020,SUM(INDEX($C$1:$D$311,MATCH(1,(2020=$C$1:$C$311)*(B254=$B$1:$B$311)*(A254=$A$1:$A$311),0),2):D253),0))</f>
        <v>1066.0706840212515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3496.8854988360649</v>
      </c>
      <c r="G254" s="168">
        <f ca="1">IF($C254-G$1&lt;År1,0,F253*(1-VLOOKUP($A254,[1]Hugst!$R$5:$W$9,MATCH(ROUNDUP((G$1)/10,0)*10,[1]Hugst!$R$4:$W$4,0))))</f>
        <v>3502.2426379517524</v>
      </c>
      <c r="H254" s="168">
        <f ca="1">IF($C254-H$1&lt;År1,0,G253*(1-VLOOKUP($A254,[1]Hugst!$R$5:$W$9,MATCH(ROUNDUP((H$1)/10,0)*10,[1]Hugst!$R$4:$W$4,0))))</f>
        <v>3507.6266973645065</v>
      </c>
      <c r="I254" s="168">
        <f ca="1">IF($C254-I$1&lt;År1,0,H253*(1-VLOOKUP($A254,[1]Hugst!$R$5:$W$9,MATCH(ROUNDUP((I$1)/10,0)*10,[1]Hugst!$R$4:$W$4,0))))</f>
        <v>3513.0378123521618</v>
      </c>
      <c r="J254" s="168">
        <f ca="1">IF($C254-J$1&lt;År1,0,I253*(1-VLOOKUP($A254,[1]Hugst!$R$5:$W$9,MATCH(ROUNDUP((J$1)/10,0)*10,[1]Hugst!$R$4:$W$4,0))))</f>
        <v>3518.4761188724765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*VLOOKUP(A255,Skovbrug!$A$13:$D$17,IF('Skovbrug-alder'!C255&lt;=År2,3,4),FALSE)-IF(C255&gt;2020,SUM(INDEX($C$1:$D$311,MATCH(1,(2020=$C$1:$C$311)*(B255=$B$1:$B$311)*(A255=$A$1:$A$311),0),2):D254),0))</f>
        <v>1060.7403306011402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3491.5551454159536</v>
      </c>
      <c r="G255" s="168">
        <f ca="1">IF($C255-G$1&lt;År1,0,F254*(1-VLOOKUP($A255,[1]Hugst!$R$5:$W$9,MATCH(ROUNDUP((G$1)/10,0)*10,[1]Hugst!$R$4:$W$4,0))))</f>
        <v>3496.8854988360649</v>
      </c>
      <c r="H255" s="168">
        <f ca="1">IF($C255-H$1&lt;År1,0,G254*(1-VLOOKUP($A255,[1]Hugst!$R$5:$W$9,MATCH(ROUNDUP((H$1)/10,0)*10,[1]Hugst!$R$4:$W$4,0))))</f>
        <v>3502.2426379517524</v>
      </c>
      <c r="I255" s="168">
        <f ca="1">IF($C255-I$1&lt;År1,0,H254*(1-VLOOKUP($A255,[1]Hugst!$R$5:$W$9,MATCH(ROUNDUP((I$1)/10,0)*10,[1]Hugst!$R$4:$W$4,0))))</f>
        <v>3507.6266973645065</v>
      </c>
      <c r="J255" s="168">
        <f ca="1">IF($C255-J$1&lt;År1,0,I254*(1-VLOOKUP($A255,[1]Hugst!$R$5:$W$9,MATCH(ROUNDUP((J$1)/10,0)*10,[1]Hugst!$R$4:$W$4,0))))</f>
        <v>3513.0378123521618</v>
      </c>
      <c r="K255" s="168">
        <f ca="1">IF($C255-K$1&lt;År1,0,J254*(1-VLOOKUP($A255,[1]Hugst!$R$5:$W$9,MATCH(ROUNDUP((K$1)/10,0)*10,[1]Hugst!$R$4:$W$4,0))))</f>
        <v>3518.4761188724765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*VLOOKUP(A256,Skovbrug!$A$13:$D$17,IF('Skovbrug-alder'!C256&lt;=År2,3,4),FALSE)-IF(C256&gt;2020,SUM(INDEX($C$1:$D$311,MATCH(1,(2020=$C$1:$C$311)*(B256=$B$1:$B$311)*(A256=$A$1:$A$311),0),2):D255),0))</f>
        <v>1055.4366289481404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3486.2514437629538</v>
      </c>
      <c r="G256" s="168">
        <f ca="1">IF($C256-G$1&lt;År1,0,F255*(1-VLOOKUP($A256,[1]Hugst!$R$5:$W$9,MATCH(ROUNDUP((G$1)/10,0)*10,[1]Hugst!$R$4:$W$4,0))))</f>
        <v>3491.5551454159536</v>
      </c>
      <c r="H256" s="168">
        <f ca="1">IF($C256-H$1&lt;År1,0,G255*(1-VLOOKUP($A256,[1]Hugst!$R$5:$W$9,MATCH(ROUNDUP((H$1)/10,0)*10,[1]Hugst!$R$4:$W$4,0))))</f>
        <v>3496.8854988360649</v>
      </c>
      <c r="I256" s="168">
        <f ca="1">IF($C256-I$1&lt;År1,0,H255*(1-VLOOKUP($A256,[1]Hugst!$R$5:$W$9,MATCH(ROUNDUP((I$1)/10,0)*10,[1]Hugst!$R$4:$W$4,0))))</f>
        <v>3502.2426379517524</v>
      </c>
      <c r="J256" s="168">
        <f ca="1">IF($C256-J$1&lt;År1,0,I255*(1-VLOOKUP($A256,[1]Hugst!$R$5:$W$9,MATCH(ROUNDUP((J$1)/10,0)*10,[1]Hugst!$R$4:$W$4,0))))</f>
        <v>3507.6266973645065</v>
      </c>
      <c r="K256" s="168">
        <f ca="1">IF($C256-K$1&lt;År1,0,J255*(1-VLOOKUP($A256,[1]Hugst!$R$5:$W$9,MATCH(ROUNDUP((K$1)/10,0)*10,[1]Hugst!$R$4:$W$4,0))))</f>
        <v>3513.0378123521618</v>
      </c>
      <c r="L256" s="168">
        <f ca="1">IF($C256-L$1&lt;År1,0,K255*(1-VLOOKUP($A256,[1]Hugst!$R$5:$W$9,MATCH(ROUNDUP((L$1)/10,0)*10,[1]Hugst!$R$4:$W$4,0))))</f>
        <v>3518.4761188724765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*VLOOKUP(A257,Skovbrug!$A$13:$D$17,IF('Skovbrug-alder'!C257&lt;=År2,3,4),FALSE)-IF(C257&gt;2020,SUM(INDEX($C$1:$D$311,MATCH(1,(2020=$C$1:$C$311)*(B257=$B$1:$B$311)*(A257=$A$1:$A$311),0),2):D256),0))</f>
        <v>1050.1594458034087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3480.9742606182222</v>
      </c>
      <c r="G257" s="168">
        <f ca="1">IF($C257-G$1&lt;År1,0,F256*(1-VLOOKUP($A257,[1]Hugst!$R$5:$W$9,MATCH(ROUNDUP((G$1)/10,0)*10,[1]Hugst!$R$4:$W$4,0))))</f>
        <v>3486.2514437629538</v>
      </c>
      <c r="H257" s="168">
        <f ca="1">IF($C257-H$1&lt;År1,0,G256*(1-VLOOKUP($A257,[1]Hugst!$R$5:$W$9,MATCH(ROUNDUP((H$1)/10,0)*10,[1]Hugst!$R$4:$W$4,0))))</f>
        <v>3491.5551454159536</v>
      </c>
      <c r="I257" s="168">
        <f ca="1">IF($C257-I$1&lt;År1,0,H256*(1-VLOOKUP($A257,[1]Hugst!$R$5:$W$9,MATCH(ROUNDUP((I$1)/10,0)*10,[1]Hugst!$R$4:$W$4,0))))</f>
        <v>3496.8854988360649</v>
      </c>
      <c r="J257" s="168">
        <f ca="1">IF($C257-J$1&lt;År1,0,I256*(1-VLOOKUP($A257,[1]Hugst!$R$5:$W$9,MATCH(ROUNDUP((J$1)/10,0)*10,[1]Hugst!$R$4:$W$4,0))))</f>
        <v>3502.2426379517524</v>
      </c>
      <c r="K257" s="168">
        <f ca="1">IF($C257-K$1&lt;År1,0,J256*(1-VLOOKUP($A257,[1]Hugst!$R$5:$W$9,MATCH(ROUNDUP((K$1)/10,0)*10,[1]Hugst!$R$4:$W$4,0))))</f>
        <v>3507.6266973645065</v>
      </c>
      <c r="L257" s="168">
        <f ca="1">IF($C257-L$1&lt;År1,0,K256*(1-VLOOKUP($A257,[1]Hugst!$R$5:$W$9,MATCH(ROUNDUP((L$1)/10,0)*10,[1]Hugst!$R$4:$W$4,0))))</f>
        <v>3513.0378123521618</v>
      </c>
      <c r="M257" s="168">
        <f ca="1">IF($C257-M$1&lt;År1,0,L256*(1-VLOOKUP($A257,[1]Hugst!$R$5:$W$9,MATCH(ROUNDUP((M$1)/10,0)*10,[1]Hugst!$R$4:$W$4,0))))</f>
        <v>3518.4761188724765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*VLOOKUP(A258,Skovbrug!$A$13:$D$17,IF('Skovbrug-alder'!C258&lt;=År2,3,4),FALSE)-IF(C258&gt;2020,SUM(INDEX($C$1:$D$311,MATCH(1,(2020=$C$1:$C$311)*(B258=$B$1:$B$311)*(A258=$A$1:$A$311),0),2):D257),0))</f>
        <v>1044.9086485744047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3475.7234633892181</v>
      </c>
      <c r="G258" s="168">
        <f ca="1">IF($C258-G$1&lt;År1,0,F257*(1-VLOOKUP($A258,[1]Hugst!$R$5:$W$9,MATCH(ROUNDUP((G$1)/10,0)*10,[1]Hugst!$R$4:$W$4,0))))</f>
        <v>3480.9742606182222</v>
      </c>
      <c r="H258" s="168">
        <f ca="1">IF($C258-H$1&lt;År1,0,G257*(1-VLOOKUP($A258,[1]Hugst!$R$5:$W$9,MATCH(ROUNDUP((H$1)/10,0)*10,[1]Hugst!$R$4:$W$4,0))))</f>
        <v>3486.2514437629538</v>
      </c>
      <c r="I258" s="168">
        <f ca="1">IF($C258-I$1&lt;År1,0,H257*(1-VLOOKUP($A258,[1]Hugst!$R$5:$W$9,MATCH(ROUNDUP((I$1)/10,0)*10,[1]Hugst!$R$4:$W$4,0))))</f>
        <v>3491.5551454159536</v>
      </c>
      <c r="J258" s="168">
        <f ca="1">IF($C258-J$1&lt;År1,0,I257*(1-VLOOKUP($A258,[1]Hugst!$R$5:$W$9,MATCH(ROUNDUP((J$1)/10,0)*10,[1]Hugst!$R$4:$W$4,0))))</f>
        <v>3496.8854988360649</v>
      </c>
      <c r="K258" s="168">
        <f ca="1">IF($C258-K$1&lt;År1,0,J257*(1-VLOOKUP($A258,[1]Hugst!$R$5:$W$9,MATCH(ROUNDUP((K$1)/10,0)*10,[1]Hugst!$R$4:$W$4,0))))</f>
        <v>3502.2426379517524</v>
      </c>
      <c r="L258" s="168">
        <f ca="1">IF($C258-L$1&lt;År1,0,K257*(1-VLOOKUP($A258,[1]Hugst!$R$5:$W$9,MATCH(ROUNDUP((L$1)/10,0)*10,[1]Hugst!$R$4:$W$4,0))))</f>
        <v>3507.6266973645065</v>
      </c>
      <c r="M258" s="168">
        <f ca="1">IF($C258-M$1&lt;År1,0,L257*(1-VLOOKUP($A258,[1]Hugst!$R$5:$W$9,MATCH(ROUNDUP((M$1)/10,0)*10,[1]Hugst!$R$4:$W$4,0))))</f>
        <v>3513.0378123521618</v>
      </c>
      <c r="N258" s="168">
        <f ca="1">IF($C258-N$1&lt;År1,0,M257*(1-VLOOKUP($A258,[1]Hugst!$R$5:$W$9,MATCH(ROUNDUP((N$1)/10,0)*10,[1]Hugst!$R$4:$W$4,0))))</f>
        <v>3518.4761188724765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*VLOOKUP(A259,Skovbrug!$A$13:$D$17,IF('Skovbrug-alder'!C259&lt;=År2,3,4),FALSE)-IF(C259&gt;2020,SUM(INDEX($C$1:$D$311,MATCH(1,(2020=$C$1:$C$311)*(B259=$B$1:$B$311)*(A259=$A$1:$A$311),0),2):D258),0))</f>
        <v>1039.6841053314856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3470.498920146299</v>
      </c>
      <c r="G259" s="168">
        <f ca="1">IF($C259-G$1&lt;År1,0,F258*(1-VLOOKUP($A259,[1]Hugst!$R$5:$W$9,MATCH(ROUNDUP((G$1)/10,0)*10,[1]Hugst!$R$4:$W$4,0))))</f>
        <v>3475.7234633892181</v>
      </c>
      <c r="H259" s="168">
        <f ca="1">IF($C259-H$1&lt;År1,0,G258*(1-VLOOKUP($A259,[1]Hugst!$R$5:$W$9,MATCH(ROUNDUP((H$1)/10,0)*10,[1]Hugst!$R$4:$W$4,0))))</f>
        <v>3480.9742606182222</v>
      </c>
      <c r="I259" s="168">
        <f ca="1">IF($C259-I$1&lt;År1,0,H258*(1-VLOOKUP($A259,[1]Hugst!$R$5:$W$9,MATCH(ROUNDUP((I$1)/10,0)*10,[1]Hugst!$R$4:$W$4,0))))</f>
        <v>3486.2514437629538</v>
      </c>
      <c r="J259" s="168">
        <f ca="1">IF($C259-J$1&lt;År1,0,I258*(1-VLOOKUP($A259,[1]Hugst!$R$5:$W$9,MATCH(ROUNDUP((J$1)/10,0)*10,[1]Hugst!$R$4:$W$4,0))))</f>
        <v>3491.5551454159536</v>
      </c>
      <c r="K259" s="168">
        <f ca="1">IF($C259-K$1&lt;År1,0,J258*(1-VLOOKUP($A259,[1]Hugst!$R$5:$W$9,MATCH(ROUNDUP((K$1)/10,0)*10,[1]Hugst!$R$4:$W$4,0))))</f>
        <v>3496.8854988360649</v>
      </c>
      <c r="L259" s="168">
        <f ca="1">IF($C259-L$1&lt;År1,0,K258*(1-VLOOKUP($A259,[1]Hugst!$R$5:$W$9,MATCH(ROUNDUP((L$1)/10,0)*10,[1]Hugst!$R$4:$W$4,0))))</f>
        <v>3502.2426379517524</v>
      </c>
      <c r="M259" s="168">
        <f ca="1">IF($C259-M$1&lt;År1,0,L258*(1-VLOOKUP($A259,[1]Hugst!$R$5:$W$9,MATCH(ROUNDUP((M$1)/10,0)*10,[1]Hugst!$R$4:$W$4,0))))</f>
        <v>3507.6266973645065</v>
      </c>
      <c r="N259" s="168">
        <f ca="1">IF($C259-N$1&lt;År1,0,M258*(1-VLOOKUP($A259,[1]Hugst!$R$5:$W$9,MATCH(ROUNDUP((N$1)/10,0)*10,[1]Hugst!$R$4:$W$4,0))))</f>
        <v>3513.0378123521618</v>
      </c>
      <c r="O259" s="168">
        <f ca="1">IF($C259-O$1&lt;År1,0,N258*(1-VLOOKUP($A259,[1]Hugst!$R$5:$W$9,MATCH(ROUNDUP((O$1)/10,0)*10,[1]Hugst!$R$4:$W$4,0))))</f>
        <v>3518.4761188724765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*VLOOKUP(A260,Skovbrug!$A$13:$D$17,IF('Skovbrug-alder'!C260&lt;=År2,3,4),FALSE)-IF(C260&gt;2020,SUM(INDEX($C$1:$D$311,MATCH(1,(2020=$C$1:$C$311)*(B260=$B$1:$B$311)*(A260=$A$1:$A$311),0),2):D259),0))</f>
        <v>1034.4856848048803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3465.3004996196937</v>
      </c>
      <c r="G260" s="168">
        <f ca="1">IF($C260-G$1&lt;År1,0,F259*(1-VLOOKUP($A260,[1]Hugst!$R$5:$W$9,MATCH(ROUNDUP((G$1)/10,0)*10,[1]Hugst!$R$4:$W$4,0))))</f>
        <v>3470.498920146299</v>
      </c>
      <c r="H260" s="168">
        <f ca="1">IF($C260-H$1&lt;År1,0,G259*(1-VLOOKUP($A260,[1]Hugst!$R$5:$W$9,MATCH(ROUNDUP((H$1)/10,0)*10,[1]Hugst!$R$4:$W$4,0))))</f>
        <v>3475.7234633892181</v>
      </c>
      <c r="I260" s="168">
        <f ca="1">IF($C260-I$1&lt;År1,0,H259*(1-VLOOKUP($A260,[1]Hugst!$R$5:$W$9,MATCH(ROUNDUP((I$1)/10,0)*10,[1]Hugst!$R$4:$W$4,0))))</f>
        <v>3480.9742606182222</v>
      </c>
      <c r="J260" s="168">
        <f ca="1">IF($C260-J$1&lt;År1,0,I259*(1-VLOOKUP($A260,[1]Hugst!$R$5:$W$9,MATCH(ROUNDUP((J$1)/10,0)*10,[1]Hugst!$R$4:$W$4,0))))</f>
        <v>3486.2514437629538</v>
      </c>
      <c r="K260" s="168">
        <f ca="1">IF($C260-K$1&lt;År1,0,J259*(1-VLOOKUP($A260,[1]Hugst!$R$5:$W$9,MATCH(ROUNDUP((K$1)/10,0)*10,[1]Hugst!$R$4:$W$4,0))))</f>
        <v>3491.5551454159536</v>
      </c>
      <c r="L260" s="168">
        <f ca="1">IF($C260-L$1&lt;År1,0,K259*(1-VLOOKUP($A260,[1]Hugst!$R$5:$W$9,MATCH(ROUNDUP((L$1)/10,0)*10,[1]Hugst!$R$4:$W$4,0))))</f>
        <v>3496.8854988360649</v>
      </c>
      <c r="M260" s="168">
        <f ca="1">IF($C260-M$1&lt;År1,0,L259*(1-VLOOKUP($A260,[1]Hugst!$R$5:$W$9,MATCH(ROUNDUP((M$1)/10,0)*10,[1]Hugst!$R$4:$W$4,0))))</f>
        <v>3502.2426379517524</v>
      </c>
      <c r="N260" s="168">
        <f ca="1">IF($C260-N$1&lt;År1,0,M259*(1-VLOOKUP($A260,[1]Hugst!$R$5:$W$9,MATCH(ROUNDUP((N$1)/10,0)*10,[1]Hugst!$R$4:$W$4,0))))</f>
        <v>3507.6266973645065</v>
      </c>
      <c r="O260" s="168">
        <f ca="1">IF($C260-O$1&lt;År1,0,N259*(1-VLOOKUP($A260,[1]Hugst!$R$5:$W$9,MATCH(ROUNDUP((O$1)/10,0)*10,[1]Hugst!$R$4:$W$4,0))))</f>
        <v>3513.0378123521618</v>
      </c>
      <c r="P260" s="168">
        <f ca="1">IF($C260-P$1&lt;År1,0,O259*(1-VLOOKUP($A260,[1]Hugst!$R$5:$W$9,MATCH(ROUNDUP((P$1)/10,0)*10,[1]Hugst!$R$4:$W$4,0))))</f>
        <v>3518.4761188724765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*VLOOKUP(A261,Skovbrug!$A$13:$D$17,IF('Skovbrug-alder'!C261&lt;=År2,3,4),FALSE)-IF(C261&gt;2020,SUM(INDEX($C$1:$D$311,MATCH(1,(2020=$C$1:$C$311)*(B261=$B$1:$B$311)*(A261=$A$1:$A$311),0),2):D260),0))</f>
        <v>1029.3132563807885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3460.1280711956033</v>
      </c>
      <c r="G261" s="168">
        <f ca="1">IF($C261-G$1&lt;År1,0,F260*(1-VLOOKUP($A261,[1]Hugst!$R$5:$W$9,MATCH(ROUNDUP((G$1)/10,0)*10,[1]Hugst!$R$4:$W$4,0))))</f>
        <v>3465.3004996196937</v>
      </c>
      <c r="H261" s="168">
        <f ca="1">IF($C261-H$1&lt;År1,0,G260*(1-VLOOKUP($A261,[1]Hugst!$R$5:$W$9,MATCH(ROUNDUP((H$1)/10,0)*10,[1]Hugst!$R$4:$W$4,0))))</f>
        <v>3470.498920146299</v>
      </c>
      <c r="I261" s="168">
        <f ca="1">IF($C261-I$1&lt;År1,0,H260*(1-VLOOKUP($A261,[1]Hugst!$R$5:$W$9,MATCH(ROUNDUP((I$1)/10,0)*10,[1]Hugst!$R$4:$W$4,0))))</f>
        <v>3475.7234633892181</v>
      </c>
      <c r="J261" s="168">
        <f ca="1">IF($C261-J$1&lt;År1,0,I260*(1-VLOOKUP($A261,[1]Hugst!$R$5:$W$9,MATCH(ROUNDUP((J$1)/10,0)*10,[1]Hugst!$R$4:$W$4,0))))</f>
        <v>3480.9742606182222</v>
      </c>
      <c r="K261" s="168">
        <f ca="1">IF($C261-K$1&lt;År1,0,J260*(1-VLOOKUP($A261,[1]Hugst!$R$5:$W$9,MATCH(ROUNDUP((K$1)/10,0)*10,[1]Hugst!$R$4:$W$4,0))))</f>
        <v>3486.2514437629538</v>
      </c>
      <c r="L261" s="168">
        <f ca="1">IF($C261-L$1&lt;År1,0,K260*(1-VLOOKUP($A261,[1]Hugst!$R$5:$W$9,MATCH(ROUNDUP((L$1)/10,0)*10,[1]Hugst!$R$4:$W$4,0))))</f>
        <v>3491.5551454159536</v>
      </c>
      <c r="M261" s="168">
        <f ca="1">IF($C261-M$1&lt;År1,0,L260*(1-VLOOKUP($A261,[1]Hugst!$R$5:$W$9,MATCH(ROUNDUP((M$1)/10,0)*10,[1]Hugst!$R$4:$W$4,0))))</f>
        <v>3496.8854988360649</v>
      </c>
      <c r="N261" s="168">
        <f ca="1">IF($C261-N$1&lt;År1,0,M260*(1-VLOOKUP($A261,[1]Hugst!$R$5:$W$9,MATCH(ROUNDUP((N$1)/10,0)*10,[1]Hugst!$R$4:$W$4,0))))</f>
        <v>3502.2426379517524</v>
      </c>
      <c r="O261" s="168">
        <f ca="1">IF($C261-O$1&lt;År1,0,N260*(1-VLOOKUP($A261,[1]Hugst!$R$5:$W$9,MATCH(ROUNDUP((O$1)/10,0)*10,[1]Hugst!$R$4:$W$4,0))))</f>
        <v>3507.6266973645065</v>
      </c>
      <c r="P261" s="168">
        <f ca="1">IF($C261-P$1&lt;År1,0,O260*(1-VLOOKUP($A261,[1]Hugst!$R$5:$W$9,MATCH(ROUNDUP((P$1)/10,0)*10,[1]Hugst!$R$4:$W$4,0))))</f>
        <v>3513.0378123521618</v>
      </c>
      <c r="Q261" s="168">
        <f ca="1">IF($C261-Q$1&lt;År1,0,P260*(1-VLOOKUP($A261,[1]Hugst!$R$5:$W$9,MATCH(ROUNDUP((Q$1)/10,0)*10,[1]Hugst!$R$4:$W$4,0))))</f>
        <v>3518.4761188724765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*VLOOKUP(A262,Skovbrug!$A$13:$D$17,IF('Skovbrug-alder'!C262&lt;=År2,3,4),FALSE)-IF(C262&gt;2020,SUM(INDEX($C$1:$D$311,MATCH(1,(2020=$C$1:$C$311)*(B262=$B$1:$B$311)*(A262=$A$1:$A$311),0),2):D261),0))</f>
        <v>1024.1666900989367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3454.9815049137515</v>
      </c>
      <c r="G262" s="168">
        <f ca="1">IF($C262-G$1&lt;År1,0,F261*(1-VLOOKUP($A262,[1]Hugst!$R$5:$W$9,MATCH(ROUNDUP((G$1)/10,0)*10,[1]Hugst!$R$4:$W$4,0))))</f>
        <v>3460.1280711956033</v>
      </c>
      <c r="H262" s="168">
        <f ca="1">IF($C262-H$1&lt;År1,0,G261*(1-VLOOKUP($A262,[1]Hugst!$R$5:$W$9,MATCH(ROUNDUP((H$1)/10,0)*10,[1]Hugst!$R$4:$W$4,0))))</f>
        <v>3465.3004996196937</v>
      </c>
      <c r="I262" s="168">
        <f ca="1">IF($C262-I$1&lt;År1,0,H261*(1-VLOOKUP($A262,[1]Hugst!$R$5:$W$9,MATCH(ROUNDUP((I$1)/10,0)*10,[1]Hugst!$R$4:$W$4,0))))</f>
        <v>3470.498920146299</v>
      </c>
      <c r="J262" s="168">
        <f ca="1">IF($C262-J$1&lt;År1,0,I261*(1-VLOOKUP($A262,[1]Hugst!$R$5:$W$9,MATCH(ROUNDUP((J$1)/10,0)*10,[1]Hugst!$R$4:$W$4,0))))</f>
        <v>3475.7234633892181</v>
      </c>
      <c r="K262" s="168">
        <f ca="1">IF($C262-K$1&lt;År1,0,J261*(1-VLOOKUP($A262,[1]Hugst!$R$5:$W$9,MATCH(ROUNDUP((K$1)/10,0)*10,[1]Hugst!$R$4:$W$4,0))))</f>
        <v>3480.9742606182222</v>
      </c>
      <c r="L262" s="168">
        <f ca="1">IF($C262-L$1&lt;År1,0,K261*(1-VLOOKUP($A262,[1]Hugst!$R$5:$W$9,MATCH(ROUNDUP((L$1)/10,0)*10,[1]Hugst!$R$4:$W$4,0))))</f>
        <v>3486.2514437629538</v>
      </c>
      <c r="M262" s="168">
        <f ca="1">IF($C262-M$1&lt;År1,0,L261*(1-VLOOKUP($A262,[1]Hugst!$R$5:$W$9,MATCH(ROUNDUP((M$1)/10,0)*10,[1]Hugst!$R$4:$W$4,0))))</f>
        <v>3491.5551454159536</v>
      </c>
      <c r="N262" s="168">
        <f ca="1">IF($C262-N$1&lt;År1,0,M261*(1-VLOOKUP($A262,[1]Hugst!$R$5:$W$9,MATCH(ROUNDUP((N$1)/10,0)*10,[1]Hugst!$R$4:$W$4,0))))</f>
        <v>3496.8854988360649</v>
      </c>
      <c r="O262" s="168">
        <f ca="1">IF($C262-O$1&lt;År1,0,N261*(1-VLOOKUP($A262,[1]Hugst!$R$5:$W$9,MATCH(ROUNDUP((O$1)/10,0)*10,[1]Hugst!$R$4:$W$4,0))))</f>
        <v>3502.2426379517524</v>
      </c>
      <c r="P262" s="168">
        <f ca="1">IF($C262-P$1&lt;År1,0,O261*(1-VLOOKUP($A262,[1]Hugst!$R$5:$W$9,MATCH(ROUNDUP((P$1)/10,0)*10,[1]Hugst!$R$4:$W$4,0))))</f>
        <v>3507.6266973645065</v>
      </c>
      <c r="Q262" s="168">
        <f ca="1">IF($C262-Q$1&lt;År1,0,P261*(1-VLOOKUP($A262,[1]Hugst!$R$5:$W$9,MATCH(ROUNDUP((Q$1)/10,0)*10,[1]Hugst!$R$4:$W$4,0))))</f>
        <v>3513.0378123521618</v>
      </c>
      <c r="R262" s="168">
        <f ca="1">IF($C262-R$1&lt;År1,0,Q261*(1-VLOOKUP($A262,[1]Hugst!$R$5:$W$9,MATCH(ROUNDUP((R$1)/10,0)*10,[1]Hugst!$R$4:$W$4,0))))</f>
        <v>3518.4761188724765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*VLOOKUP(A263,Skovbrug!$A$13:$D$17,IF('Skovbrug-alder'!C263&lt;=År2,3,4),FALSE)-IF(C263&gt;2020,SUM(INDEX($C$1:$D$311,MATCH(1,(2020=$C$1:$C$311)*(B263=$B$1:$B$311)*(A263=$A$1:$A$311),0),2):D262),0))</f>
        <v>1019.0458566484158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3449.8606714632306</v>
      </c>
      <c r="G263" s="168">
        <f ca="1">IF($C263-G$1&lt;År1,0,F262*(1-VLOOKUP($A263,[1]Hugst!$R$5:$W$9,MATCH(ROUNDUP((G$1)/10,0)*10,[1]Hugst!$R$4:$W$4,0))))</f>
        <v>3454.9815049137515</v>
      </c>
      <c r="H263" s="168">
        <f ca="1">IF($C263-H$1&lt;År1,0,G262*(1-VLOOKUP($A263,[1]Hugst!$R$5:$W$9,MATCH(ROUNDUP((H$1)/10,0)*10,[1]Hugst!$R$4:$W$4,0))))</f>
        <v>3460.1280711956033</v>
      </c>
      <c r="I263" s="168">
        <f ca="1">IF($C263-I$1&lt;År1,0,H262*(1-VLOOKUP($A263,[1]Hugst!$R$5:$W$9,MATCH(ROUNDUP((I$1)/10,0)*10,[1]Hugst!$R$4:$W$4,0))))</f>
        <v>3465.3004996196937</v>
      </c>
      <c r="J263" s="168">
        <f ca="1">IF($C263-J$1&lt;År1,0,I262*(1-VLOOKUP($A263,[1]Hugst!$R$5:$W$9,MATCH(ROUNDUP((J$1)/10,0)*10,[1]Hugst!$R$4:$W$4,0))))</f>
        <v>3470.498920146299</v>
      </c>
      <c r="K263" s="168">
        <f ca="1">IF($C263-K$1&lt;År1,0,J262*(1-VLOOKUP($A263,[1]Hugst!$R$5:$W$9,MATCH(ROUNDUP((K$1)/10,0)*10,[1]Hugst!$R$4:$W$4,0))))</f>
        <v>3475.7234633892181</v>
      </c>
      <c r="L263" s="168">
        <f ca="1">IF($C263-L$1&lt;År1,0,K262*(1-VLOOKUP($A263,[1]Hugst!$R$5:$W$9,MATCH(ROUNDUP((L$1)/10,0)*10,[1]Hugst!$R$4:$W$4,0))))</f>
        <v>3480.9742606182222</v>
      </c>
      <c r="M263" s="168">
        <f ca="1">IF($C263-M$1&lt;År1,0,L262*(1-VLOOKUP($A263,[1]Hugst!$R$5:$W$9,MATCH(ROUNDUP((M$1)/10,0)*10,[1]Hugst!$R$4:$W$4,0))))</f>
        <v>3486.2514437629538</v>
      </c>
      <c r="N263" s="168">
        <f ca="1">IF($C263-N$1&lt;År1,0,M262*(1-VLOOKUP($A263,[1]Hugst!$R$5:$W$9,MATCH(ROUNDUP((N$1)/10,0)*10,[1]Hugst!$R$4:$W$4,0))))</f>
        <v>3491.5551454159536</v>
      </c>
      <c r="O263" s="168">
        <f ca="1">IF($C263-O$1&lt;År1,0,N262*(1-VLOOKUP($A263,[1]Hugst!$R$5:$W$9,MATCH(ROUNDUP((O$1)/10,0)*10,[1]Hugst!$R$4:$W$4,0))))</f>
        <v>3496.8854988360649</v>
      </c>
      <c r="P263" s="168">
        <f ca="1">IF($C263-P$1&lt;År1,0,O262*(1-VLOOKUP($A263,[1]Hugst!$R$5:$W$9,MATCH(ROUNDUP((P$1)/10,0)*10,[1]Hugst!$R$4:$W$4,0))))</f>
        <v>3502.2426379517524</v>
      </c>
      <c r="Q263" s="168">
        <f ca="1">IF($C263-Q$1&lt;År1,0,P262*(1-VLOOKUP($A263,[1]Hugst!$R$5:$W$9,MATCH(ROUNDUP((Q$1)/10,0)*10,[1]Hugst!$R$4:$W$4,0))))</f>
        <v>3507.6266973645065</v>
      </c>
      <c r="R263" s="168">
        <f ca="1">IF($C263-R$1&lt;År1,0,Q262*(1-VLOOKUP($A263,[1]Hugst!$R$5:$W$9,MATCH(ROUNDUP((R$1)/10,0)*10,[1]Hugst!$R$4:$W$4,0))))</f>
        <v>3513.0378123521618</v>
      </c>
      <c r="S263" s="168">
        <f ca="1">IF($C263-S$1&lt;År1,0,R262*(1-VLOOKUP($A263,[1]Hugst!$R$5:$W$9,MATCH(ROUNDUP((S$1)/10,0)*10,[1]Hugst!$R$4:$W$4,0))))</f>
        <v>3518.4761188724765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*VLOOKUP(A264,Skovbrug!$A$13:$D$17,IF('Skovbrug-alder'!C264&lt;=År2,3,4),FALSE)-IF(C264&gt;2020,SUM(INDEX($C$1:$D$311,MATCH(1,(2020=$C$1:$C$311)*(B264=$B$1:$B$311)*(A264=$A$1:$A$311),0),2):D263),0))</f>
        <v>1013.9506273651787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3444.7654421799934</v>
      </c>
      <c r="G264" s="168">
        <f ca="1">IF($C264-G$1&lt;År1,0,F263*(1-VLOOKUP($A264,[1]Hugst!$R$5:$W$9,MATCH(ROUNDUP((G$1)/10,0)*10,[1]Hugst!$R$4:$W$4,0))))</f>
        <v>3449.8606714632306</v>
      </c>
      <c r="H264" s="168">
        <f ca="1">IF($C264-H$1&lt;År1,0,G263*(1-VLOOKUP($A264,[1]Hugst!$R$5:$W$9,MATCH(ROUNDUP((H$1)/10,0)*10,[1]Hugst!$R$4:$W$4,0))))</f>
        <v>3454.9815049137515</v>
      </c>
      <c r="I264" s="168">
        <f ca="1">IF($C264-I$1&lt;År1,0,H263*(1-VLOOKUP($A264,[1]Hugst!$R$5:$W$9,MATCH(ROUNDUP((I$1)/10,0)*10,[1]Hugst!$R$4:$W$4,0))))</f>
        <v>3460.1280711956033</v>
      </c>
      <c r="J264" s="168">
        <f ca="1">IF($C264-J$1&lt;År1,0,I263*(1-VLOOKUP($A264,[1]Hugst!$R$5:$W$9,MATCH(ROUNDUP((J$1)/10,0)*10,[1]Hugst!$R$4:$W$4,0))))</f>
        <v>3465.3004996196937</v>
      </c>
      <c r="K264" s="168">
        <f ca="1">IF($C264-K$1&lt;År1,0,J263*(1-VLOOKUP($A264,[1]Hugst!$R$5:$W$9,MATCH(ROUNDUP((K$1)/10,0)*10,[1]Hugst!$R$4:$W$4,0))))</f>
        <v>3470.498920146299</v>
      </c>
      <c r="L264" s="168">
        <f ca="1">IF($C264-L$1&lt;År1,0,K263*(1-VLOOKUP($A264,[1]Hugst!$R$5:$W$9,MATCH(ROUNDUP((L$1)/10,0)*10,[1]Hugst!$R$4:$W$4,0))))</f>
        <v>3475.7234633892181</v>
      </c>
      <c r="M264" s="168">
        <f ca="1">IF($C264-M$1&lt;År1,0,L263*(1-VLOOKUP($A264,[1]Hugst!$R$5:$W$9,MATCH(ROUNDUP((M$1)/10,0)*10,[1]Hugst!$R$4:$W$4,0))))</f>
        <v>3480.9742606182222</v>
      </c>
      <c r="N264" s="168">
        <f ca="1">IF($C264-N$1&lt;År1,0,M263*(1-VLOOKUP($A264,[1]Hugst!$R$5:$W$9,MATCH(ROUNDUP((N$1)/10,0)*10,[1]Hugst!$R$4:$W$4,0))))</f>
        <v>3486.2514437629538</v>
      </c>
      <c r="O264" s="168">
        <f ca="1">IF($C264-O$1&lt;År1,0,N263*(1-VLOOKUP($A264,[1]Hugst!$R$5:$W$9,MATCH(ROUNDUP((O$1)/10,0)*10,[1]Hugst!$R$4:$W$4,0))))</f>
        <v>3491.5551454159536</v>
      </c>
      <c r="P264" s="168">
        <f ca="1">IF($C264-P$1&lt;År1,0,O263*(1-VLOOKUP($A264,[1]Hugst!$R$5:$W$9,MATCH(ROUNDUP((P$1)/10,0)*10,[1]Hugst!$R$4:$W$4,0))))</f>
        <v>3496.8854988360649</v>
      </c>
      <c r="Q264" s="168">
        <f ca="1">IF($C264-Q$1&lt;År1,0,P263*(1-VLOOKUP($A264,[1]Hugst!$R$5:$W$9,MATCH(ROUNDUP((Q$1)/10,0)*10,[1]Hugst!$R$4:$W$4,0))))</f>
        <v>3502.2426379517524</v>
      </c>
      <c r="R264" s="168">
        <f ca="1">IF($C264-R$1&lt;År1,0,Q263*(1-VLOOKUP($A264,[1]Hugst!$R$5:$W$9,MATCH(ROUNDUP((R$1)/10,0)*10,[1]Hugst!$R$4:$W$4,0))))</f>
        <v>3507.6266973645065</v>
      </c>
      <c r="S264" s="168">
        <f ca="1">IF($C264-S$1&lt;År1,0,R263*(1-VLOOKUP($A264,[1]Hugst!$R$5:$W$9,MATCH(ROUNDUP((S$1)/10,0)*10,[1]Hugst!$R$4:$W$4,0))))</f>
        <v>3513.0378123521618</v>
      </c>
      <c r="T264" s="168">
        <f ca="1">IF($C264-T$1&lt;År1,0,S263*(1-VLOOKUP($A264,[1]Hugst!$R$5:$W$9,MATCH(ROUNDUP((T$1)/10,0)*10,[1]Hugst!$R$4:$W$4,0))))</f>
        <v>3518.4761188724765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*VLOOKUP(A265,Skovbrug!$A$13:$D$17,IF('Skovbrug-alder'!C265&lt;=År2,3,4),FALSE)-IF(C265&gt;2020,SUM(INDEX($C$1:$D$311,MATCH(1,(2020=$C$1:$C$311)*(B265=$B$1:$B$311)*(A265=$A$1:$A$311),0),2):D264),0))</f>
        <v>1008.8808742283727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3439.6956890431875</v>
      </c>
      <c r="G265" s="168">
        <f ca="1">IF($C265-G$1&lt;År1,0,F264*(1-VLOOKUP($A265,[1]Hugst!$R$5:$W$9,MATCH(ROUNDUP((G$1)/10,0)*10,[1]Hugst!$R$4:$W$4,0))))</f>
        <v>3444.7654421799934</v>
      </c>
      <c r="H265" s="168">
        <f ca="1">IF($C265-H$1&lt;År1,0,G264*(1-VLOOKUP($A265,[1]Hugst!$R$5:$W$9,MATCH(ROUNDUP((H$1)/10,0)*10,[1]Hugst!$R$4:$W$4,0))))</f>
        <v>3449.8606714632306</v>
      </c>
      <c r="I265" s="168">
        <f ca="1">IF($C265-I$1&lt;År1,0,H264*(1-VLOOKUP($A265,[1]Hugst!$R$5:$W$9,MATCH(ROUNDUP((I$1)/10,0)*10,[1]Hugst!$R$4:$W$4,0))))</f>
        <v>3454.9815049137515</v>
      </c>
      <c r="J265" s="168">
        <f ca="1">IF($C265-J$1&lt;År1,0,I264*(1-VLOOKUP($A265,[1]Hugst!$R$5:$W$9,MATCH(ROUNDUP((J$1)/10,0)*10,[1]Hugst!$R$4:$W$4,0))))</f>
        <v>3460.1280711956033</v>
      </c>
      <c r="K265" s="168">
        <f ca="1">IF($C265-K$1&lt;År1,0,J264*(1-VLOOKUP($A265,[1]Hugst!$R$5:$W$9,MATCH(ROUNDUP((K$1)/10,0)*10,[1]Hugst!$R$4:$W$4,0))))</f>
        <v>3465.3004996196937</v>
      </c>
      <c r="L265" s="168">
        <f ca="1">IF($C265-L$1&lt;År1,0,K264*(1-VLOOKUP($A265,[1]Hugst!$R$5:$W$9,MATCH(ROUNDUP((L$1)/10,0)*10,[1]Hugst!$R$4:$W$4,0))))</f>
        <v>3470.498920146299</v>
      </c>
      <c r="M265" s="168">
        <f ca="1">IF($C265-M$1&lt;År1,0,L264*(1-VLOOKUP($A265,[1]Hugst!$R$5:$W$9,MATCH(ROUNDUP((M$1)/10,0)*10,[1]Hugst!$R$4:$W$4,0))))</f>
        <v>3475.7234633892181</v>
      </c>
      <c r="N265" s="168">
        <f ca="1">IF($C265-N$1&lt;År1,0,M264*(1-VLOOKUP($A265,[1]Hugst!$R$5:$W$9,MATCH(ROUNDUP((N$1)/10,0)*10,[1]Hugst!$R$4:$W$4,0))))</f>
        <v>3480.9742606182222</v>
      </c>
      <c r="O265" s="168">
        <f ca="1">IF($C265-O$1&lt;År1,0,N264*(1-VLOOKUP($A265,[1]Hugst!$R$5:$W$9,MATCH(ROUNDUP((O$1)/10,0)*10,[1]Hugst!$R$4:$W$4,0))))</f>
        <v>3486.2514437629538</v>
      </c>
      <c r="P265" s="168">
        <f ca="1">IF($C265-P$1&lt;År1,0,O264*(1-VLOOKUP($A265,[1]Hugst!$R$5:$W$9,MATCH(ROUNDUP((P$1)/10,0)*10,[1]Hugst!$R$4:$W$4,0))))</f>
        <v>3491.5551454159536</v>
      </c>
      <c r="Q265" s="168">
        <f ca="1">IF($C265-Q$1&lt;År1,0,P264*(1-VLOOKUP($A265,[1]Hugst!$R$5:$W$9,MATCH(ROUNDUP((Q$1)/10,0)*10,[1]Hugst!$R$4:$W$4,0))))</f>
        <v>3496.8854988360649</v>
      </c>
      <c r="R265" s="168">
        <f ca="1">IF($C265-R$1&lt;År1,0,Q264*(1-VLOOKUP($A265,[1]Hugst!$R$5:$W$9,MATCH(ROUNDUP((R$1)/10,0)*10,[1]Hugst!$R$4:$W$4,0))))</f>
        <v>3502.2426379517524</v>
      </c>
      <c r="S265" s="168">
        <f ca="1">IF($C265-S$1&lt;År1,0,R264*(1-VLOOKUP($A265,[1]Hugst!$R$5:$W$9,MATCH(ROUNDUP((S$1)/10,0)*10,[1]Hugst!$R$4:$W$4,0))))</f>
        <v>3507.6266973645065</v>
      </c>
      <c r="T265" s="168">
        <f ca="1">IF($C265-T$1&lt;År1,0,S264*(1-VLOOKUP($A265,[1]Hugst!$R$5:$W$9,MATCH(ROUNDUP((T$1)/10,0)*10,[1]Hugst!$R$4:$W$4,0))))</f>
        <v>3513.0378123521618</v>
      </c>
      <c r="U265" s="168">
        <f ca="1">IF($C265-U$1&lt;År1,0,T264*(1-VLOOKUP($A265,[1]Hugst!$R$5:$W$9,MATCH(ROUNDUP((U$1)/10,0)*10,[1]Hugst!$R$4:$W$4,0))))</f>
        <v>3518.4761188724765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*VLOOKUP(A266,Skovbrug!$A$13:$D$17,IF('Skovbrug-alder'!C266&lt;=År2,3,4),FALSE)-IF(C266&gt;2020,SUM(INDEX($C$1:$D$311,MATCH(1,(2020=$C$1:$C$311)*(B266=$B$1:$B$311)*(A266=$A$1:$A$311),0),2):D265),0))</f>
        <v>1003.8364698572259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3434.6512846720407</v>
      </c>
      <c r="G266" s="168">
        <f ca="1">IF($C266-G$1&lt;År1,0,F265*(1-VLOOKUP($A266,[1]Hugst!$R$5:$W$9,MATCH(ROUNDUP((G$1)/10,0)*10,[1]Hugst!$R$4:$W$4,0))))</f>
        <v>3439.6956890431875</v>
      </c>
      <c r="H266" s="168">
        <f ca="1">IF($C266-H$1&lt;År1,0,G265*(1-VLOOKUP($A266,[1]Hugst!$R$5:$W$9,MATCH(ROUNDUP((H$1)/10,0)*10,[1]Hugst!$R$4:$W$4,0))))</f>
        <v>3444.7654421799934</v>
      </c>
      <c r="I266" s="168">
        <f ca="1">IF($C266-I$1&lt;År1,0,H265*(1-VLOOKUP($A266,[1]Hugst!$R$5:$W$9,MATCH(ROUNDUP((I$1)/10,0)*10,[1]Hugst!$R$4:$W$4,0))))</f>
        <v>3449.8606714632306</v>
      </c>
      <c r="J266" s="168">
        <f ca="1">IF($C266-J$1&lt;År1,0,I265*(1-VLOOKUP($A266,[1]Hugst!$R$5:$W$9,MATCH(ROUNDUP((J$1)/10,0)*10,[1]Hugst!$R$4:$W$4,0))))</f>
        <v>3454.9815049137515</v>
      </c>
      <c r="K266" s="168">
        <f ca="1">IF($C266-K$1&lt;År1,0,J265*(1-VLOOKUP($A266,[1]Hugst!$R$5:$W$9,MATCH(ROUNDUP((K$1)/10,0)*10,[1]Hugst!$R$4:$W$4,0))))</f>
        <v>3460.1280711956033</v>
      </c>
      <c r="L266" s="168">
        <f ca="1">IF($C266-L$1&lt;År1,0,K265*(1-VLOOKUP($A266,[1]Hugst!$R$5:$W$9,MATCH(ROUNDUP((L$1)/10,0)*10,[1]Hugst!$R$4:$W$4,0))))</f>
        <v>3465.3004996196937</v>
      </c>
      <c r="M266" s="168">
        <f ca="1">IF($C266-M$1&lt;År1,0,L265*(1-VLOOKUP($A266,[1]Hugst!$R$5:$W$9,MATCH(ROUNDUP((M$1)/10,0)*10,[1]Hugst!$R$4:$W$4,0))))</f>
        <v>3470.498920146299</v>
      </c>
      <c r="N266" s="168">
        <f ca="1">IF($C266-N$1&lt;År1,0,M265*(1-VLOOKUP($A266,[1]Hugst!$R$5:$W$9,MATCH(ROUNDUP((N$1)/10,0)*10,[1]Hugst!$R$4:$W$4,0))))</f>
        <v>3475.7234633892181</v>
      </c>
      <c r="O266" s="168">
        <f ca="1">IF($C266-O$1&lt;År1,0,N265*(1-VLOOKUP($A266,[1]Hugst!$R$5:$W$9,MATCH(ROUNDUP((O$1)/10,0)*10,[1]Hugst!$R$4:$W$4,0))))</f>
        <v>3480.9742606182222</v>
      </c>
      <c r="P266" s="168">
        <f ca="1">IF($C266-P$1&lt;År1,0,O265*(1-VLOOKUP($A266,[1]Hugst!$R$5:$W$9,MATCH(ROUNDUP((P$1)/10,0)*10,[1]Hugst!$R$4:$W$4,0))))</f>
        <v>3486.2514437629538</v>
      </c>
      <c r="Q266" s="168">
        <f ca="1">IF($C266-Q$1&lt;År1,0,P265*(1-VLOOKUP($A266,[1]Hugst!$R$5:$W$9,MATCH(ROUNDUP((Q$1)/10,0)*10,[1]Hugst!$R$4:$W$4,0))))</f>
        <v>3491.5551454159536</v>
      </c>
      <c r="R266" s="168">
        <f ca="1">IF($C266-R$1&lt;År1,0,Q265*(1-VLOOKUP($A266,[1]Hugst!$R$5:$W$9,MATCH(ROUNDUP((R$1)/10,0)*10,[1]Hugst!$R$4:$W$4,0))))</f>
        <v>3496.8854988360649</v>
      </c>
      <c r="S266" s="168">
        <f ca="1">IF($C266-S$1&lt;År1,0,R265*(1-VLOOKUP($A266,[1]Hugst!$R$5:$W$9,MATCH(ROUNDUP((S$1)/10,0)*10,[1]Hugst!$R$4:$W$4,0))))</f>
        <v>3502.2426379517524</v>
      </c>
      <c r="T266" s="168">
        <f ca="1">IF($C266-T$1&lt;År1,0,S265*(1-VLOOKUP($A266,[1]Hugst!$R$5:$W$9,MATCH(ROUNDUP((T$1)/10,0)*10,[1]Hugst!$R$4:$W$4,0))))</f>
        <v>3507.6266973645065</v>
      </c>
      <c r="U266" s="168">
        <f ca="1">IF($C266-U$1&lt;År1,0,T265*(1-VLOOKUP($A266,[1]Hugst!$R$5:$W$9,MATCH(ROUNDUP((U$1)/10,0)*10,[1]Hugst!$R$4:$W$4,0))))</f>
        <v>3513.0378123521618</v>
      </c>
      <c r="V266" s="168">
        <f ca="1">IF($C266-V$1&lt;År1,0,U265*(1-VLOOKUP($A266,[1]Hugst!$R$5:$W$9,MATCH(ROUNDUP((V$1)/10,0)*10,[1]Hugst!$R$4:$W$4,0))))</f>
        <v>3518.4761188724765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*VLOOKUP(A267,Skovbrug!$A$13:$D$17,IF('Skovbrug-alder'!C267&lt;=År2,3,4),FALSE)-IF(C267&gt;2020,SUM(INDEX($C$1:$D$311,MATCH(1,(2020=$C$1:$C$311)*(B267=$B$1:$B$311)*(A267=$A$1:$A$311),0),2):D266),0))</f>
        <v>998.81728750793263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3429.6321023227474</v>
      </c>
      <c r="G267" s="168">
        <f ca="1">IF($C267-G$1&lt;År1,0,F266*(1-VLOOKUP($A267,[1]Hugst!$R$5:$W$9,MATCH(ROUNDUP((G$1)/10,0)*10,[1]Hugst!$R$4:$W$4,0))))</f>
        <v>3434.6512846720407</v>
      </c>
      <c r="H267" s="168">
        <f ca="1">IF($C267-H$1&lt;År1,0,G266*(1-VLOOKUP($A267,[1]Hugst!$R$5:$W$9,MATCH(ROUNDUP((H$1)/10,0)*10,[1]Hugst!$R$4:$W$4,0))))</f>
        <v>3439.6956890431875</v>
      </c>
      <c r="I267" s="168">
        <f ca="1">IF($C267-I$1&lt;År1,0,H266*(1-VLOOKUP($A267,[1]Hugst!$R$5:$W$9,MATCH(ROUNDUP((I$1)/10,0)*10,[1]Hugst!$R$4:$W$4,0))))</f>
        <v>3444.7654421799934</v>
      </c>
      <c r="J267" s="168">
        <f ca="1">IF($C267-J$1&lt;År1,0,I266*(1-VLOOKUP($A267,[1]Hugst!$R$5:$W$9,MATCH(ROUNDUP((J$1)/10,0)*10,[1]Hugst!$R$4:$W$4,0))))</f>
        <v>3449.8606714632306</v>
      </c>
      <c r="K267" s="168">
        <f ca="1">IF($C267-K$1&lt;År1,0,J266*(1-VLOOKUP($A267,[1]Hugst!$R$5:$W$9,MATCH(ROUNDUP((K$1)/10,0)*10,[1]Hugst!$R$4:$W$4,0))))</f>
        <v>3454.9815049137515</v>
      </c>
      <c r="L267" s="168">
        <f ca="1">IF($C267-L$1&lt;År1,0,K266*(1-VLOOKUP($A267,[1]Hugst!$R$5:$W$9,MATCH(ROUNDUP((L$1)/10,0)*10,[1]Hugst!$R$4:$W$4,0))))</f>
        <v>3460.1280711956033</v>
      </c>
      <c r="M267" s="168">
        <f ca="1">IF($C267-M$1&lt;År1,0,L266*(1-VLOOKUP($A267,[1]Hugst!$R$5:$W$9,MATCH(ROUNDUP((M$1)/10,0)*10,[1]Hugst!$R$4:$W$4,0))))</f>
        <v>3465.3004996196937</v>
      </c>
      <c r="N267" s="168">
        <f ca="1">IF($C267-N$1&lt;År1,0,M266*(1-VLOOKUP($A267,[1]Hugst!$R$5:$W$9,MATCH(ROUNDUP((N$1)/10,0)*10,[1]Hugst!$R$4:$W$4,0))))</f>
        <v>3470.498920146299</v>
      </c>
      <c r="O267" s="168">
        <f ca="1">IF($C267-O$1&lt;År1,0,N266*(1-VLOOKUP($A267,[1]Hugst!$R$5:$W$9,MATCH(ROUNDUP((O$1)/10,0)*10,[1]Hugst!$R$4:$W$4,0))))</f>
        <v>3475.7234633892181</v>
      </c>
      <c r="P267" s="168">
        <f ca="1">IF($C267-P$1&lt;År1,0,O266*(1-VLOOKUP($A267,[1]Hugst!$R$5:$W$9,MATCH(ROUNDUP((P$1)/10,0)*10,[1]Hugst!$R$4:$W$4,0))))</f>
        <v>3480.9742606182222</v>
      </c>
      <c r="Q267" s="168">
        <f ca="1">IF($C267-Q$1&lt;År1,0,P266*(1-VLOOKUP($A267,[1]Hugst!$R$5:$W$9,MATCH(ROUNDUP((Q$1)/10,0)*10,[1]Hugst!$R$4:$W$4,0))))</f>
        <v>3486.2514437629538</v>
      </c>
      <c r="R267" s="168">
        <f ca="1">IF($C267-R$1&lt;År1,0,Q266*(1-VLOOKUP($A267,[1]Hugst!$R$5:$W$9,MATCH(ROUNDUP((R$1)/10,0)*10,[1]Hugst!$R$4:$W$4,0))))</f>
        <v>3491.5551454159536</v>
      </c>
      <c r="S267" s="168">
        <f ca="1">IF($C267-S$1&lt;År1,0,R266*(1-VLOOKUP($A267,[1]Hugst!$R$5:$W$9,MATCH(ROUNDUP((S$1)/10,0)*10,[1]Hugst!$R$4:$W$4,0))))</f>
        <v>3496.8854988360649</v>
      </c>
      <c r="T267" s="168">
        <f ca="1">IF($C267-T$1&lt;År1,0,S266*(1-VLOOKUP($A267,[1]Hugst!$R$5:$W$9,MATCH(ROUNDUP((T$1)/10,0)*10,[1]Hugst!$R$4:$W$4,0))))</f>
        <v>3502.2426379517524</v>
      </c>
      <c r="U267" s="168">
        <f ca="1">IF($C267-U$1&lt;År1,0,T266*(1-VLOOKUP($A267,[1]Hugst!$R$5:$W$9,MATCH(ROUNDUP((U$1)/10,0)*10,[1]Hugst!$R$4:$W$4,0))))</f>
        <v>3507.6266973645065</v>
      </c>
      <c r="V267" s="168">
        <f ca="1">IF($C267-V$1&lt;År1,0,U266*(1-VLOOKUP($A267,[1]Hugst!$R$5:$W$9,MATCH(ROUNDUP((V$1)/10,0)*10,[1]Hugst!$R$4:$W$4,0))))</f>
        <v>3513.0378123521618</v>
      </c>
      <c r="W267" s="168">
        <f ca="1">IF($C267-W$1&lt;År1,0,V266*(1-VLOOKUP($A267,[1]Hugst!$R$5:$W$9,MATCH(ROUNDUP((W$1)/10,0)*10,[1]Hugst!$R$4:$W$4,0))))</f>
        <v>3518.4761188724765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*VLOOKUP(A268,Skovbrug!$A$13:$D$17,IF('Skovbrug-alder'!C268&lt;=År2,3,4),FALSE)-IF(C268&gt;2020,SUM(INDEX($C$1:$D$311,MATCH(1,(2020=$C$1:$C$311)*(B268=$B$1:$B$311)*(A268=$A$1:$A$311),0),2):D267),0))</f>
        <v>993.82320107042324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3424.638015885238</v>
      </c>
      <c r="G268" s="168">
        <f ca="1">IF($C268-G$1&lt;År1,0,F267*(1-VLOOKUP($A268,[1]Hugst!$R$5:$W$9,MATCH(ROUNDUP((G$1)/10,0)*10,[1]Hugst!$R$4:$W$4,0))))</f>
        <v>3429.6321023227474</v>
      </c>
      <c r="H268" s="168">
        <f ca="1">IF($C268-H$1&lt;År1,0,G267*(1-VLOOKUP($A268,[1]Hugst!$R$5:$W$9,MATCH(ROUNDUP((H$1)/10,0)*10,[1]Hugst!$R$4:$W$4,0))))</f>
        <v>3434.6512846720407</v>
      </c>
      <c r="I268" s="168">
        <f ca="1">IF($C268-I$1&lt;År1,0,H267*(1-VLOOKUP($A268,[1]Hugst!$R$5:$W$9,MATCH(ROUNDUP((I$1)/10,0)*10,[1]Hugst!$R$4:$W$4,0))))</f>
        <v>3439.6956890431875</v>
      </c>
      <c r="J268" s="168">
        <f ca="1">IF($C268-J$1&lt;År1,0,I267*(1-VLOOKUP($A268,[1]Hugst!$R$5:$W$9,MATCH(ROUNDUP((J$1)/10,0)*10,[1]Hugst!$R$4:$W$4,0))))</f>
        <v>3444.7654421799934</v>
      </c>
      <c r="K268" s="168">
        <f ca="1">IF($C268-K$1&lt;År1,0,J267*(1-VLOOKUP($A268,[1]Hugst!$R$5:$W$9,MATCH(ROUNDUP((K$1)/10,0)*10,[1]Hugst!$R$4:$W$4,0))))</f>
        <v>3449.8606714632306</v>
      </c>
      <c r="L268" s="168">
        <f ca="1">IF($C268-L$1&lt;År1,0,K267*(1-VLOOKUP($A268,[1]Hugst!$R$5:$W$9,MATCH(ROUNDUP((L$1)/10,0)*10,[1]Hugst!$R$4:$W$4,0))))</f>
        <v>3454.9815049137515</v>
      </c>
      <c r="M268" s="168">
        <f ca="1">IF($C268-M$1&lt;År1,0,L267*(1-VLOOKUP($A268,[1]Hugst!$R$5:$W$9,MATCH(ROUNDUP((M$1)/10,0)*10,[1]Hugst!$R$4:$W$4,0))))</f>
        <v>3460.1280711956033</v>
      </c>
      <c r="N268" s="168">
        <f ca="1">IF($C268-N$1&lt;År1,0,M267*(1-VLOOKUP($A268,[1]Hugst!$R$5:$W$9,MATCH(ROUNDUP((N$1)/10,0)*10,[1]Hugst!$R$4:$W$4,0))))</f>
        <v>3465.3004996196937</v>
      </c>
      <c r="O268" s="168">
        <f ca="1">IF($C268-O$1&lt;År1,0,N267*(1-VLOOKUP($A268,[1]Hugst!$R$5:$W$9,MATCH(ROUNDUP((O$1)/10,0)*10,[1]Hugst!$R$4:$W$4,0))))</f>
        <v>3470.498920146299</v>
      </c>
      <c r="P268" s="168">
        <f ca="1">IF($C268-P$1&lt;År1,0,O267*(1-VLOOKUP($A268,[1]Hugst!$R$5:$W$9,MATCH(ROUNDUP((P$1)/10,0)*10,[1]Hugst!$R$4:$W$4,0))))</f>
        <v>3475.7234633892181</v>
      </c>
      <c r="Q268" s="168">
        <f ca="1">IF($C268-Q$1&lt;År1,0,P267*(1-VLOOKUP($A268,[1]Hugst!$R$5:$W$9,MATCH(ROUNDUP((Q$1)/10,0)*10,[1]Hugst!$R$4:$W$4,0))))</f>
        <v>3480.9742606182222</v>
      </c>
      <c r="R268" s="168">
        <f ca="1">IF($C268-R$1&lt;År1,0,Q267*(1-VLOOKUP($A268,[1]Hugst!$R$5:$W$9,MATCH(ROUNDUP((R$1)/10,0)*10,[1]Hugst!$R$4:$W$4,0))))</f>
        <v>3486.2514437629538</v>
      </c>
      <c r="S268" s="168">
        <f ca="1">IF($C268-S$1&lt;År1,0,R267*(1-VLOOKUP($A268,[1]Hugst!$R$5:$W$9,MATCH(ROUNDUP((S$1)/10,0)*10,[1]Hugst!$R$4:$W$4,0))))</f>
        <v>3491.5551454159536</v>
      </c>
      <c r="T268" s="168">
        <f ca="1">IF($C268-T$1&lt;År1,0,S267*(1-VLOOKUP($A268,[1]Hugst!$R$5:$W$9,MATCH(ROUNDUP((T$1)/10,0)*10,[1]Hugst!$R$4:$W$4,0))))</f>
        <v>3496.8854988360649</v>
      </c>
      <c r="U268" s="168">
        <f ca="1">IF($C268-U$1&lt;År1,0,T267*(1-VLOOKUP($A268,[1]Hugst!$R$5:$W$9,MATCH(ROUNDUP((U$1)/10,0)*10,[1]Hugst!$R$4:$W$4,0))))</f>
        <v>3502.2426379517524</v>
      </c>
      <c r="V268" s="168">
        <f ca="1">IF($C268-V$1&lt;År1,0,U267*(1-VLOOKUP($A268,[1]Hugst!$R$5:$W$9,MATCH(ROUNDUP((V$1)/10,0)*10,[1]Hugst!$R$4:$W$4,0))))</f>
        <v>3507.6266973645065</v>
      </c>
      <c r="W268" s="168">
        <f ca="1">IF($C268-W$1&lt;År1,0,V267*(1-VLOOKUP($A268,[1]Hugst!$R$5:$W$9,MATCH(ROUNDUP((W$1)/10,0)*10,[1]Hugst!$R$4:$W$4,0))))</f>
        <v>3513.0378123521618</v>
      </c>
      <c r="X268" s="168">
        <f ca="1">IF($C268-X$1&lt;År1,0,W267*(1-VLOOKUP($A268,[1]Hugst!$R$5:$W$9,MATCH(ROUNDUP((X$1)/10,0)*10,[1]Hugst!$R$4:$W$4,0))))</f>
        <v>3518.4761188724765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*VLOOKUP(A269,Skovbrug!$A$13:$D$17,IF('Skovbrug-alder'!C269&lt;=År2,3,4),FALSE)-IF(C269&gt;2020,SUM(INDEX($C$1:$D$311,MATCH(1,(2020=$C$1:$C$311)*(B269=$B$1:$B$311)*(A269=$A$1:$A$311),0),2):D268),0))</f>
        <v>988.85408506501699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3419.6688998798318</v>
      </c>
      <c r="G269" s="168">
        <f ca="1">IF($C269-G$1&lt;År1,0,F268*(1-VLOOKUP($A269,[1]Hugst!$R$5:$W$9,MATCH(ROUNDUP((G$1)/10,0)*10,[1]Hugst!$R$4:$W$4,0))))</f>
        <v>3424.638015885238</v>
      </c>
      <c r="H269" s="168">
        <f ca="1">IF($C269-H$1&lt;År1,0,G268*(1-VLOOKUP($A269,[1]Hugst!$R$5:$W$9,MATCH(ROUNDUP((H$1)/10,0)*10,[1]Hugst!$R$4:$W$4,0))))</f>
        <v>3429.6321023227474</v>
      </c>
      <c r="I269" s="168">
        <f ca="1">IF($C269-I$1&lt;År1,0,H268*(1-VLOOKUP($A269,[1]Hugst!$R$5:$W$9,MATCH(ROUNDUP((I$1)/10,0)*10,[1]Hugst!$R$4:$W$4,0))))</f>
        <v>3434.6512846720407</v>
      </c>
      <c r="J269" s="168">
        <f ca="1">IF($C269-J$1&lt;År1,0,I268*(1-VLOOKUP($A269,[1]Hugst!$R$5:$W$9,MATCH(ROUNDUP((J$1)/10,0)*10,[1]Hugst!$R$4:$W$4,0))))</f>
        <v>3439.6956890431875</v>
      </c>
      <c r="K269" s="168">
        <f ca="1">IF($C269-K$1&lt;År1,0,J268*(1-VLOOKUP($A269,[1]Hugst!$R$5:$W$9,MATCH(ROUNDUP((K$1)/10,0)*10,[1]Hugst!$R$4:$W$4,0))))</f>
        <v>3444.7654421799934</v>
      </c>
      <c r="L269" s="168">
        <f ca="1">IF($C269-L$1&lt;År1,0,K268*(1-VLOOKUP($A269,[1]Hugst!$R$5:$W$9,MATCH(ROUNDUP((L$1)/10,0)*10,[1]Hugst!$R$4:$W$4,0))))</f>
        <v>3449.8606714632306</v>
      </c>
      <c r="M269" s="168">
        <f ca="1">IF($C269-M$1&lt;År1,0,L268*(1-VLOOKUP($A269,[1]Hugst!$R$5:$W$9,MATCH(ROUNDUP((M$1)/10,0)*10,[1]Hugst!$R$4:$W$4,0))))</f>
        <v>3454.9815049137515</v>
      </c>
      <c r="N269" s="168">
        <f ca="1">IF($C269-N$1&lt;År1,0,M268*(1-VLOOKUP($A269,[1]Hugst!$R$5:$W$9,MATCH(ROUNDUP((N$1)/10,0)*10,[1]Hugst!$R$4:$W$4,0))))</f>
        <v>3460.1280711956033</v>
      </c>
      <c r="O269" s="168">
        <f ca="1">IF($C269-O$1&lt;År1,0,N268*(1-VLOOKUP($A269,[1]Hugst!$R$5:$W$9,MATCH(ROUNDUP((O$1)/10,0)*10,[1]Hugst!$R$4:$W$4,0))))</f>
        <v>3465.3004996196937</v>
      </c>
      <c r="P269" s="168">
        <f ca="1">IF($C269-P$1&lt;År1,0,O268*(1-VLOOKUP($A269,[1]Hugst!$R$5:$W$9,MATCH(ROUNDUP((P$1)/10,0)*10,[1]Hugst!$R$4:$W$4,0))))</f>
        <v>3470.498920146299</v>
      </c>
      <c r="Q269" s="168">
        <f ca="1">IF($C269-Q$1&lt;År1,0,P268*(1-VLOOKUP($A269,[1]Hugst!$R$5:$W$9,MATCH(ROUNDUP((Q$1)/10,0)*10,[1]Hugst!$R$4:$W$4,0))))</f>
        <v>3475.7234633892181</v>
      </c>
      <c r="R269" s="168">
        <f ca="1">IF($C269-R$1&lt;År1,0,Q268*(1-VLOOKUP($A269,[1]Hugst!$R$5:$W$9,MATCH(ROUNDUP((R$1)/10,0)*10,[1]Hugst!$R$4:$W$4,0))))</f>
        <v>3480.9742606182222</v>
      </c>
      <c r="S269" s="168">
        <f ca="1">IF($C269-S$1&lt;År1,0,R268*(1-VLOOKUP($A269,[1]Hugst!$R$5:$W$9,MATCH(ROUNDUP((S$1)/10,0)*10,[1]Hugst!$R$4:$W$4,0))))</f>
        <v>3486.2514437629538</v>
      </c>
      <c r="T269" s="168">
        <f ca="1">IF($C269-T$1&lt;År1,0,S268*(1-VLOOKUP($A269,[1]Hugst!$R$5:$W$9,MATCH(ROUNDUP((T$1)/10,0)*10,[1]Hugst!$R$4:$W$4,0))))</f>
        <v>3491.5551454159536</v>
      </c>
      <c r="U269" s="168">
        <f ca="1">IF($C269-U$1&lt;År1,0,T268*(1-VLOOKUP($A269,[1]Hugst!$R$5:$W$9,MATCH(ROUNDUP((U$1)/10,0)*10,[1]Hugst!$R$4:$W$4,0))))</f>
        <v>3496.8854988360649</v>
      </c>
      <c r="V269" s="168">
        <f ca="1">IF($C269-V$1&lt;År1,0,U268*(1-VLOOKUP($A269,[1]Hugst!$R$5:$W$9,MATCH(ROUNDUP((V$1)/10,0)*10,[1]Hugst!$R$4:$W$4,0))))</f>
        <v>3502.2426379517524</v>
      </c>
      <c r="W269" s="168">
        <f ca="1">IF($C269-W$1&lt;År1,0,V268*(1-VLOOKUP($A269,[1]Hugst!$R$5:$W$9,MATCH(ROUNDUP((W$1)/10,0)*10,[1]Hugst!$R$4:$W$4,0))))</f>
        <v>3507.6266973645065</v>
      </c>
      <c r="X269" s="168">
        <f ca="1">IF($C269-X$1&lt;År1,0,W268*(1-VLOOKUP($A269,[1]Hugst!$R$5:$W$9,MATCH(ROUNDUP((X$1)/10,0)*10,[1]Hugst!$R$4:$W$4,0))))</f>
        <v>3513.0378123521618</v>
      </c>
      <c r="Y269" s="168">
        <f ca="1">IF($C269-Y$1&lt;År1,0,X268*(1-VLOOKUP($A269,[1]Hugst!$R$5:$W$9,MATCH(ROUNDUP((Y$1)/10,0)*10,[1]Hugst!$R$4:$W$4,0))))</f>
        <v>3518.4761188724765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*VLOOKUP(A270,Skovbrug!$A$13:$D$17,IF('Skovbrug-alder'!C270&lt;=År2,3,4),FALSE)-IF(C270&gt;2020,SUM(INDEX($C$1:$D$311,MATCH(1,(2020=$C$1:$C$311)*(B270=$B$1:$B$311)*(A270=$A$1:$A$311),0),2):D269),0))</f>
        <v>983.90981463971548</v>
      </c>
      <c r="E270" s="168">
        <f t="shared" ca="1" si="6"/>
        <v>1.1728253729670541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3415.8974548274973</v>
      </c>
      <c r="G270" s="168">
        <f ca="1">IF($C270-G$1&lt;År1,0,F269*(1-VLOOKUP($A270,[1]Hugst!$R$5:$W$9,MATCH(ROUNDUP((G$1)/10,0)*10,[1]Hugst!$R$4:$W$4,0))))</f>
        <v>3419.6688998798318</v>
      </c>
      <c r="H270" s="168">
        <f ca="1">IF($C270-H$1&lt;År1,0,G269*(1-VLOOKUP($A270,[1]Hugst!$R$5:$W$9,MATCH(ROUNDUP((H$1)/10,0)*10,[1]Hugst!$R$4:$W$4,0))))</f>
        <v>3424.638015885238</v>
      </c>
      <c r="I270" s="168">
        <f ca="1">IF($C270-I$1&lt;År1,0,H269*(1-VLOOKUP($A270,[1]Hugst!$R$5:$W$9,MATCH(ROUNDUP((I$1)/10,0)*10,[1]Hugst!$R$4:$W$4,0))))</f>
        <v>3429.6321023227474</v>
      </c>
      <c r="J270" s="168">
        <f ca="1">IF($C270-J$1&lt;År1,0,I269*(1-VLOOKUP($A270,[1]Hugst!$R$5:$W$9,MATCH(ROUNDUP((J$1)/10,0)*10,[1]Hugst!$R$4:$W$4,0))))</f>
        <v>3434.6512846720407</v>
      </c>
      <c r="K270" s="168">
        <f ca="1">IF($C270-K$1&lt;År1,0,J269*(1-VLOOKUP($A270,[1]Hugst!$R$5:$W$9,MATCH(ROUNDUP((K$1)/10,0)*10,[1]Hugst!$R$4:$W$4,0))))</f>
        <v>3439.6956890431875</v>
      </c>
      <c r="L270" s="168">
        <f ca="1">IF($C270-L$1&lt;År1,0,K269*(1-VLOOKUP($A270,[1]Hugst!$R$5:$W$9,MATCH(ROUNDUP((L$1)/10,0)*10,[1]Hugst!$R$4:$W$4,0))))</f>
        <v>3444.7654421799934</v>
      </c>
      <c r="M270" s="168">
        <f ca="1">IF($C270-M$1&lt;År1,0,L269*(1-VLOOKUP($A270,[1]Hugst!$R$5:$W$9,MATCH(ROUNDUP((M$1)/10,0)*10,[1]Hugst!$R$4:$W$4,0))))</f>
        <v>3449.8606714632306</v>
      </c>
      <c r="N270" s="168">
        <f ca="1">IF($C270-N$1&lt;År1,0,M269*(1-VLOOKUP($A270,[1]Hugst!$R$5:$W$9,MATCH(ROUNDUP((N$1)/10,0)*10,[1]Hugst!$R$4:$W$4,0))))</f>
        <v>3454.9815049137515</v>
      </c>
      <c r="O270" s="168">
        <f ca="1">IF($C270-O$1&lt;År1,0,N269*(1-VLOOKUP($A270,[1]Hugst!$R$5:$W$9,MATCH(ROUNDUP((O$1)/10,0)*10,[1]Hugst!$R$4:$W$4,0))))</f>
        <v>3460.1280711956033</v>
      </c>
      <c r="P270" s="168">
        <f ca="1">IF($C270-P$1&lt;År1,0,O269*(1-VLOOKUP($A270,[1]Hugst!$R$5:$W$9,MATCH(ROUNDUP((P$1)/10,0)*10,[1]Hugst!$R$4:$W$4,0))))</f>
        <v>3465.3004996196937</v>
      </c>
      <c r="Q270" s="168">
        <f ca="1">IF($C270-Q$1&lt;År1,0,P269*(1-VLOOKUP($A270,[1]Hugst!$R$5:$W$9,MATCH(ROUNDUP((Q$1)/10,0)*10,[1]Hugst!$R$4:$W$4,0))))</f>
        <v>3470.498920146299</v>
      </c>
      <c r="R270" s="168">
        <f ca="1">IF($C270-R$1&lt;År1,0,Q269*(1-VLOOKUP($A270,[1]Hugst!$R$5:$W$9,MATCH(ROUNDUP((R$1)/10,0)*10,[1]Hugst!$R$4:$W$4,0))))</f>
        <v>3475.7234633892181</v>
      </c>
      <c r="S270" s="168">
        <f ca="1">IF($C270-S$1&lt;År1,0,R269*(1-VLOOKUP($A270,[1]Hugst!$R$5:$W$9,MATCH(ROUNDUP((S$1)/10,0)*10,[1]Hugst!$R$4:$W$4,0))))</f>
        <v>3480.9742606182222</v>
      </c>
      <c r="T270" s="168">
        <f ca="1">IF($C270-T$1&lt;År1,0,S269*(1-VLOOKUP($A270,[1]Hugst!$R$5:$W$9,MATCH(ROUNDUP((T$1)/10,0)*10,[1]Hugst!$R$4:$W$4,0))))</f>
        <v>3486.2514437629538</v>
      </c>
      <c r="U270" s="168">
        <f ca="1">IF($C270-U$1&lt;År1,0,T269*(1-VLOOKUP($A270,[1]Hugst!$R$5:$W$9,MATCH(ROUNDUP((U$1)/10,0)*10,[1]Hugst!$R$4:$W$4,0))))</f>
        <v>3491.5551454159536</v>
      </c>
      <c r="V270" s="168">
        <f ca="1">IF($C270-V$1&lt;År1,0,U269*(1-VLOOKUP($A270,[1]Hugst!$R$5:$W$9,MATCH(ROUNDUP((V$1)/10,0)*10,[1]Hugst!$R$4:$W$4,0))))</f>
        <v>3496.8854988360649</v>
      </c>
      <c r="W270" s="168">
        <f ca="1">IF($C270-W$1&lt;År1,0,V269*(1-VLOOKUP($A270,[1]Hugst!$R$5:$W$9,MATCH(ROUNDUP((W$1)/10,0)*10,[1]Hugst!$R$4:$W$4,0))))</f>
        <v>3502.2426379517524</v>
      </c>
      <c r="X270" s="168">
        <f ca="1">IF($C270-X$1&lt;År1,0,W269*(1-VLOOKUP($A270,[1]Hugst!$R$5:$W$9,MATCH(ROUNDUP((X$1)/10,0)*10,[1]Hugst!$R$4:$W$4,0))))</f>
        <v>3507.6266973645065</v>
      </c>
      <c r="Y270" s="168">
        <f ca="1">IF($C270-Y$1&lt;År1,0,X269*(1-VLOOKUP($A270,[1]Hugst!$R$5:$W$9,MATCH(ROUNDUP((Y$1)/10,0)*10,[1]Hugst!$R$4:$W$4,0))))</f>
        <v>3513.0378123521618</v>
      </c>
      <c r="Z270" s="168">
        <f ca="1">IF($C270-Z$1&lt;År1,0,Y269*(1-VLOOKUP($A270,[1]Hugst!$R$5:$W$9,MATCH(ROUNDUP((Z$1)/10,0)*10,[1]Hugst!$R$4:$W$4,0))))</f>
        <v>3517.303293499519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*VLOOKUP(A271,Skovbrug!$A$13:$D$17,IF('Skovbrug-alder'!C271&lt;=År2,3,4),FALSE)-IF(C271&gt;2020,SUM(INDEX($C$1:$D$311,MATCH(1,(2020=$C$1:$C$311)*(B271=$B$1:$B$311)*(A271=$A$1:$A$311),0),2):D270),0))</f>
        <v>978.99026556653553</v>
      </c>
      <c r="E271" s="168">
        <f t="shared" ca="1" si="6"/>
        <v>2.3434470352804055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3412.1485274166307</v>
      </c>
      <c r="G271" s="168">
        <f ca="1">IF($C271-G$1&lt;År1,0,F270*(1-VLOOKUP($A271,[1]Hugst!$R$5:$W$9,MATCH(ROUNDUP((G$1)/10,0)*10,[1]Hugst!$R$4:$W$4,0))))</f>
        <v>3415.8974548274973</v>
      </c>
      <c r="H271" s="168">
        <f ca="1">IF($C271-H$1&lt;År1,0,G270*(1-VLOOKUP($A271,[1]Hugst!$R$5:$W$9,MATCH(ROUNDUP((H$1)/10,0)*10,[1]Hugst!$R$4:$W$4,0))))</f>
        <v>3419.6688998798318</v>
      </c>
      <c r="I271" s="168">
        <f ca="1">IF($C271-I$1&lt;År1,0,H270*(1-VLOOKUP($A271,[1]Hugst!$R$5:$W$9,MATCH(ROUNDUP((I$1)/10,0)*10,[1]Hugst!$R$4:$W$4,0))))</f>
        <v>3424.638015885238</v>
      </c>
      <c r="J271" s="168">
        <f ca="1">IF($C271-J$1&lt;År1,0,I270*(1-VLOOKUP($A271,[1]Hugst!$R$5:$W$9,MATCH(ROUNDUP((J$1)/10,0)*10,[1]Hugst!$R$4:$W$4,0))))</f>
        <v>3429.6321023227474</v>
      </c>
      <c r="K271" s="168">
        <f ca="1">IF($C271-K$1&lt;År1,0,J270*(1-VLOOKUP($A271,[1]Hugst!$R$5:$W$9,MATCH(ROUNDUP((K$1)/10,0)*10,[1]Hugst!$R$4:$W$4,0))))</f>
        <v>3434.6512846720407</v>
      </c>
      <c r="L271" s="168">
        <f ca="1">IF($C271-L$1&lt;År1,0,K270*(1-VLOOKUP($A271,[1]Hugst!$R$5:$W$9,MATCH(ROUNDUP((L$1)/10,0)*10,[1]Hugst!$R$4:$W$4,0))))</f>
        <v>3439.6956890431875</v>
      </c>
      <c r="M271" s="168">
        <f ca="1">IF($C271-M$1&lt;År1,0,L270*(1-VLOOKUP($A271,[1]Hugst!$R$5:$W$9,MATCH(ROUNDUP((M$1)/10,0)*10,[1]Hugst!$R$4:$W$4,0))))</f>
        <v>3444.7654421799934</v>
      </c>
      <c r="N271" s="168">
        <f ca="1">IF($C271-N$1&lt;År1,0,M270*(1-VLOOKUP($A271,[1]Hugst!$R$5:$W$9,MATCH(ROUNDUP((N$1)/10,0)*10,[1]Hugst!$R$4:$W$4,0))))</f>
        <v>3449.8606714632306</v>
      </c>
      <c r="O271" s="168">
        <f ca="1">IF($C271-O$1&lt;År1,0,N270*(1-VLOOKUP($A271,[1]Hugst!$R$5:$W$9,MATCH(ROUNDUP((O$1)/10,0)*10,[1]Hugst!$R$4:$W$4,0))))</f>
        <v>3454.9815049137515</v>
      </c>
      <c r="P271" s="168">
        <f ca="1">IF($C271-P$1&lt;År1,0,O270*(1-VLOOKUP($A271,[1]Hugst!$R$5:$W$9,MATCH(ROUNDUP((P$1)/10,0)*10,[1]Hugst!$R$4:$W$4,0))))</f>
        <v>3460.1280711956033</v>
      </c>
      <c r="Q271" s="168">
        <f ca="1">IF($C271-Q$1&lt;År1,0,P270*(1-VLOOKUP($A271,[1]Hugst!$R$5:$W$9,MATCH(ROUNDUP((Q$1)/10,0)*10,[1]Hugst!$R$4:$W$4,0))))</f>
        <v>3465.3004996196937</v>
      </c>
      <c r="R271" s="168">
        <f ca="1">IF($C271-R$1&lt;År1,0,Q270*(1-VLOOKUP($A271,[1]Hugst!$R$5:$W$9,MATCH(ROUNDUP((R$1)/10,0)*10,[1]Hugst!$R$4:$W$4,0))))</f>
        <v>3470.498920146299</v>
      </c>
      <c r="S271" s="168">
        <f ca="1">IF($C271-S$1&lt;År1,0,R270*(1-VLOOKUP($A271,[1]Hugst!$R$5:$W$9,MATCH(ROUNDUP((S$1)/10,0)*10,[1]Hugst!$R$4:$W$4,0))))</f>
        <v>3475.7234633892181</v>
      </c>
      <c r="T271" s="168">
        <f ca="1">IF($C271-T$1&lt;År1,0,S270*(1-VLOOKUP($A271,[1]Hugst!$R$5:$W$9,MATCH(ROUNDUP((T$1)/10,0)*10,[1]Hugst!$R$4:$W$4,0))))</f>
        <v>3480.9742606182222</v>
      </c>
      <c r="U271" s="168">
        <f ca="1">IF($C271-U$1&lt;År1,0,T270*(1-VLOOKUP($A271,[1]Hugst!$R$5:$W$9,MATCH(ROUNDUP((U$1)/10,0)*10,[1]Hugst!$R$4:$W$4,0))))</f>
        <v>3486.2514437629538</v>
      </c>
      <c r="V271" s="168">
        <f ca="1">IF($C271-V$1&lt;År1,0,U270*(1-VLOOKUP($A271,[1]Hugst!$R$5:$W$9,MATCH(ROUNDUP((V$1)/10,0)*10,[1]Hugst!$R$4:$W$4,0))))</f>
        <v>3491.5551454159536</v>
      </c>
      <c r="W271" s="168">
        <f ca="1">IF($C271-W$1&lt;År1,0,V270*(1-VLOOKUP($A271,[1]Hugst!$R$5:$W$9,MATCH(ROUNDUP((W$1)/10,0)*10,[1]Hugst!$R$4:$W$4,0))))</f>
        <v>3496.8854988360649</v>
      </c>
      <c r="X271" s="168">
        <f ca="1">IF($C271-X$1&lt;År1,0,W270*(1-VLOOKUP($A271,[1]Hugst!$R$5:$W$9,MATCH(ROUNDUP((X$1)/10,0)*10,[1]Hugst!$R$4:$W$4,0))))</f>
        <v>3502.2426379517524</v>
      </c>
      <c r="Y271" s="168">
        <f ca="1">IF($C271-Y$1&lt;År1,0,X270*(1-VLOOKUP($A271,[1]Hugst!$R$5:$W$9,MATCH(ROUNDUP((Y$1)/10,0)*10,[1]Hugst!$R$4:$W$4,0))))</f>
        <v>3507.6266973645065</v>
      </c>
      <c r="Z271" s="168">
        <f ca="1">IF($C271-Z$1&lt;År1,0,Y270*(1-VLOOKUP($A271,[1]Hugst!$R$5:$W$9,MATCH(ROUNDUP((Z$1)/10,0)*10,[1]Hugst!$R$4:$W$4,0))))</f>
        <v>3511.8667997480447</v>
      </c>
      <c r="AA271" s="168">
        <f ca="1">IF($C271-AA$1&lt;År1,0,Z270*(1-VLOOKUP($A271,[1]Hugst!$R$5:$W$9,MATCH(ROUNDUP((AA$1)/10,0)*10,[1]Hugst!$R$4:$W$4,0))))</f>
        <v>3516.1308590683525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*VLOOKUP(A272,Skovbrug!$A$13:$D$17,IF('Skovbrug-alder'!C272&lt;=År2,3,4),FALSE)-IF(C272&gt;2020,SUM(INDEX($C$1:$D$311,MATCH(1,(2020=$C$1:$C$311)*(B272=$B$1:$B$311)*(A272=$A$1:$A$311),0),2):D271),0))</f>
        <v>974.09531423868611</v>
      </c>
      <c r="E272" s="168">
        <f t="shared" ca="1" si="6"/>
        <v>3.5118747853994137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3408.4220038389003</v>
      </c>
      <c r="G272" s="168">
        <f ca="1">IF($C272-G$1&lt;År1,0,F271*(1-VLOOKUP($A272,[1]Hugst!$R$5:$W$9,MATCH(ROUNDUP((G$1)/10,0)*10,[1]Hugst!$R$4:$W$4,0))))</f>
        <v>3412.1485274166307</v>
      </c>
      <c r="H272" s="168">
        <f ca="1">IF($C272-H$1&lt;År1,0,G271*(1-VLOOKUP($A272,[1]Hugst!$R$5:$W$9,MATCH(ROUNDUP((H$1)/10,0)*10,[1]Hugst!$R$4:$W$4,0))))</f>
        <v>3415.8974548274973</v>
      </c>
      <c r="I272" s="168">
        <f ca="1">IF($C272-I$1&lt;År1,0,H271*(1-VLOOKUP($A272,[1]Hugst!$R$5:$W$9,MATCH(ROUNDUP((I$1)/10,0)*10,[1]Hugst!$R$4:$W$4,0))))</f>
        <v>3419.6688998798318</v>
      </c>
      <c r="J272" s="168">
        <f ca="1">IF($C272-J$1&lt;År1,0,I271*(1-VLOOKUP($A272,[1]Hugst!$R$5:$W$9,MATCH(ROUNDUP((J$1)/10,0)*10,[1]Hugst!$R$4:$W$4,0))))</f>
        <v>3424.638015885238</v>
      </c>
      <c r="K272" s="168">
        <f ca="1">IF($C272-K$1&lt;År1,0,J271*(1-VLOOKUP($A272,[1]Hugst!$R$5:$W$9,MATCH(ROUNDUP((K$1)/10,0)*10,[1]Hugst!$R$4:$W$4,0))))</f>
        <v>3429.6321023227474</v>
      </c>
      <c r="L272" s="168">
        <f ca="1">IF($C272-L$1&lt;År1,0,K271*(1-VLOOKUP($A272,[1]Hugst!$R$5:$W$9,MATCH(ROUNDUP((L$1)/10,0)*10,[1]Hugst!$R$4:$W$4,0))))</f>
        <v>3434.6512846720407</v>
      </c>
      <c r="M272" s="168">
        <f ca="1">IF($C272-M$1&lt;År1,0,L271*(1-VLOOKUP($A272,[1]Hugst!$R$5:$W$9,MATCH(ROUNDUP((M$1)/10,0)*10,[1]Hugst!$R$4:$W$4,0))))</f>
        <v>3439.6956890431875</v>
      </c>
      <c r="N272" s="168">
        <f ca="1">IF($C272-N$1&lt;År1,0,M271*(1-VLOOKUP($A272,[1]Hugst!$R$5:$W$9,MATCH(ROUNDUP((N$1)/10,0)*10,[1]Hugst!$R$4:$W$4,0))))</f>
        <v>3444.7654421799934</v>
      </c>
      <c r="O272" s="168">
        <f ca="1">IF($C272-O$1&lt;År1,0,N271*(1-VLOOKUP($A272,[1]Hugst!$R$5:$W$9,MATCH(ROUNDUP((O$1)/10,0)*10,[1]Hugst!$R$4:$W$4,0))))</f>
        <v>3449.8606714632306</v>
      </c>
      <c r="P272" s="168">
        <f ca="1">IF($C272-P$1&lt;År1,0,O271*(1-VLOOKUP($A272,[1]Hugst!$R$5:$W$9,MATCH(ROUNDUP((P$1)/10,0)*10,[1]Hugst!$R$4:$W$4,0))))</f>
        <v>3454.9815049137515</v>
      </c>
      <c r="Q272" s="168">
        <f ca="1">IF($C272-Q$1&lt;År1,0,P271*(1-VLOOKUP($A272,[1]Hugst!$R$5:$W$9,MATCH(ROUNDUP((Q$1)/10,0)*10,[1]Hugst!$R$4:$W$4,0))))</f>
        <v>3460.1280711956033</v>
      </c>
      <c r="R272" s="168">
        <f ca="1">IF($C272-R$1&lt;År1,0,Q271*(1-VLOOKUP($A272,[1]Hugst!$R$5:$W$9,MATCH(ROUNDUP((R$1)/10,0)*10,[1]Hugst!$R$4:$W$4,0))))</f>
        <v>3465.3004996196937</v>
      </c>
      <c r="S272" s="168">
        <f ca="1">IF($C272-S$1&lt;År1,0,R271*(1-VLOOKUP($A272,[1]Hugst!$R$5:$W$9,MATCH(ROUNDUP((S$1)/10,0)*10,[1]Hugst!$R$4:$W$4,0))))</f>
        <v>3470.498920146299</v>
      </c>
      <c r="T272" s="168">
        <f ca="1">IF($C272-T$1&lt;År1,0,S271*(1-VLOOKUP($A272,[1]Hugst!$R$5:$W$9,MATCH(ROUNDUP((T$1)/10,0)*10,[1]Hugst!$R$4:$W$4,0))))</f>
        <v>3475.7234633892181</v>
      </c>
      <c r="U272" s="168">
        <f ca="1">IF($C272-U$1&lt;År1,0,T271*(1-VLOOKUP($A272,[1]Hugst!$R$5:$W$9,MATCH(ROUNDUP((U$1)/10,0)*10,[1]Hugst!$R$4:$W$4,0))))</f>
        <v>3480.9742606182222</v>
      </c>
      <c r="V272" s="168">
        <f ca="1">IF($C272-V$1&lt;År1,0,U271*(1-VLOOKUP($A272,[1]Hugst!$R$5:$W$9,MATCH(ROUNDUP((V$1)/10,0)*10,[1]Hugst!$R$4:$W$4,0))))</f>
        <v>3486.2514437629538</v>
      </c>
      <c r="W272" s="168">
        <f ca="1">IF($C272-W$1&lt;År1,0,V271*(1-VLOOKUP($A272,[1]Hugst!$R$5:$W$9,MATCH(ROUNDUP((W$1)/10,0)*10,[1]Hugst!$R$4:$W$4,0))))</f>
        <v>3491.5551454159536</v>
      </c>
      <c r="X272" s="168">
        <f ca="1">IF($C272-X$1&lt;År1,0,W271*(1-VLOOKUP($A272,[1]Hugst!$R$5:$W$9,MATCH(ROUNDUP((X$1)/10,0)*10,[1]Hugst!$R$4:$W$4,0))))</f>
        <v>3496.8854988360649</v>
      </c>
      <c r="Y272" s="168">
        <f ca="1">IF($C272-Y$1&lt;År1,0,X271*(1-VLOOKUP($A272,[1]Hugst!$R$5:$W$9,MATCH(ROUNDUP((Y$1)/10,0)*10,[1]Hugst!$R$4:$W$4,0))))</f>
        <v>3502.2426379517524</v>
      </c>
      <c r="Z272" s="168">
        <f ca="1">IF($C272-Z$1&lt;År1,0,Y271*(1-VLOOKUP($A272,[1]Hugst!$R$5:$W$9,MATCH(ROUNDUP((Z$1)/10,0)*10,[1]Hugst!$R$4:$W$4,0))))</f>
        <v>3506.4574884653853</v>
      </c>
      <c r="AA272" s="168">
        <f ca="1">IF($C272-AA$1&lt;År1,0,Z271*(1-VLOOKUP($A272,[1]Hugst!$R$5:$W$9,MATCH(ROUNDUP((AA$1)/10,0)*10,[1]Hugst!$R$4:$W$4,0))))</f>
        <v>3510.6961774814622</v>
      </c>
      <c r="AB272" s="168">
        <f ca="1">IF($C272-AB$1&lt;År1,0,AA271*(1-VLOOKUP($A272,[1]Hugst!$R$5:$W$9,MATCH(ROUNDUP((AB$1)/10,0)*10,[1]Hugst!$R$4:$W$4,0))))</f>
        <v>3514.9588154486632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*VLOOKUP(A273,Skovbrug!$A$13:$D$17,IF('Skovbrug-alder'!C273&lt;=År2,3,4),FALSE)-IF(C273&gt;2020,SUM(INDEX($C$1:$D$311,MATCH(1,(2020=$C$1:$C$311)*(B273=$B$1:$B$311)*(A273=$A$1:$A$311),0),2):D272),0))</f>
        <v>969.22483766748337</v>
      </c>
      <c r="E273" s="168">
        <f t="shared" ca="1" si="6"/>
        <v>4.6781183731218334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3404.71777085542</v>
      </c>
      <c r="G273" s="168">
        <f ca="1">IF($C273-G$1&lt;År1,0,F272*(1-VLOOKUP($A273,[1]Hugst!$R$5:$W$9,MATCH(ROUNDUP((G$1)/10,0)*10,[1]Hugst!$R$4:$W$4,0))))</f>
        <v>3408.4220038389003</v>
      </c>
      <c r="H273" s="168">
        <f ca="1">IF($C273-H$1&lt;År1,0,G272*(1-VLOOKUP($A273,[1]Hugst!$R$5:$W$9,MATCH(ROUNDUP((H$1)/10,0)*10,[1]Hugst!$R$4:$W$4,0))))</f>
        <v>3412.1485274166307</v>
      </c>
      <c r="I273" s="168">
        <f ca="1">IF($C273-I$1&lt;År1,0,H272*(1-VLOOKUP($A273,[1]Hugst!$R$5:$W$9,MATCH(ROUNDUP((I$1)/10,0)*10,[1]Hugst!$R$4:$W$4,0))))</f>
        <v>3415.8974548274973</v>
      </c>
      <c r="J273" s="168">
        <f ca="1">IF($C273-J$1&lt;År1,0,I272*(1-VLOOKUP($A273,[1]Hugst!$R$5:$W$9,MATCH(ROUNDUP((J$1)/10,0)*10,[1]Hugst!$R$4:$W$4,0))))</f>
        <v>3419.6688998798318</v>
      </c>
      <c r="K273" s="168">
        <f ca="1">IF($C273-K$1&lt;År1,0,J272*(1-VLOOKUP($A273,[1]Hugst!$R$5:$W$9,MATCH(ROUNDUP((K$1)/10,0)*10,[1]Hugst!$R$4:$W$4,0))))</f>
        <v>3424.638015885238</v>
      </c>
      <c r="L273" s="168">
        <f ca="1">IF($C273-L$1&lt;År1,0,K272*(1-VLOOKUP($A273,[1]Hugst!$R$5:$W$9,MATCH(ROUNDUP((L$1)/10,0)*10,[1]Hugst!$R$4:$W$4,0))))</f>
        <v>3429.6321023227474</v>
      </c>
      <c r="M273" s="168">
        <f ca="1">IF($C273-M$1&lt;År1,0,L272*(1-VLOOKUP($A273,[1]Hugst!$R$5:$W$9,MATCH(ROUNDUP((M$1)/10,0)*10,[1]Hugst!$R$4:$W$4,0))))</f>
        <v>3434.6512846720407</v>
      </c>
      <c r="N273" s="168">
        <f ca="1">IF($C273-N$1&lt;År1,0,M272*(1-VLOOKUP($A273,[1]Hugst!$R$5:$W$9,MATCH(ROUNDUP((N$1)/10,0)*10,[1]Hugst!$R$4:$W$4,0))))</f>
        <v>3439.6956890431875</v>
      </c>
      <c r="O273" s="168">
        <f ca="1">IF($C273-O$1&lt;År1,0,N272*(1-VLOOKUP($A273,[1]Hugst!$R$5:$W$9,MATCH(ROUNDUP((O$1)/10,0)*10,[1]Hugst!$R$4:$W$4,0))))</f>
        <v>3444.7654421799934</v>
      </c>
      <c r="P273" s="168">
        <f ca="1">IF($C273-P$1&lt;År1,0,O272*(1-VLOOKUP($A273,[1]Hugst!$R$5:$W$9,MATCH(ROUNDUP((P$1)/10,0)*10,[1]Hugst!$R$4:$W$4,0))))</f>
        <v>3449.8606714632306</v>
      </c>
      <c r="Q273" s="168">
        <f ca="1">IF($C273-Q$1&lt;År1,0,P272*(1-VLOOKUP($A273,[1]Hugst!$R$5:$W$9,MATCH(ROUNDUP((Q$1)/10,0)*10,[1]Hugst!$R$4:$W$4,0))))</f>
        <v>3454.9815049137515</v>
      </c>
      <c r="R273" s="168">
        <f ca="1">IF($C273-R$1&lt;År1,0,Q272*(1-VLOOKUP($A273,[1]Hugst!$R$5:$W$9,MATCH(ROUNDUP((R$1)/10,0)*10,[1]Hugst!$R$4:$W$4,0))))</f>
        <v>3460.1280711956033</v>
      </c>
      <c r="S273" s="168">
        <f ca="1">IF($C273-S$1&lt;År1,0,R272*(1-VLOOKUP($A273,[1]Hugst!$R$5:$W$9,MATCH(ROUNDUP((S$1)/10,0)*10,[1]Hugst!$R$4:$W$4,0))))</f>
        <v>3465.3004996196937</v>
      </c>
      <c r="T273" s="168">
        <f ca="1">IF($C273-T$1&lt;År1,0,S272*(1-VLOOKUP($A273,[1]Hugst!$R$5:$W$9,MATCH(ROUNDUP((T$1)/10,0)*10,[1]Hugst!$R$4:$W$4,0))))</f>
        <v>3470.498920146299</v>
      </c>
      <c r="U273" s="168">
        <f ca="1">IF($C273-U$1&lt;År1,0,T272*(1-VLOOKUP($A273,[1]Hugst!$R$5:$W$9,MATCH(ROUNDUP((U$1)/10,0)*10,[1]Hugst!$R$4:$W$4,0))))</f>
        <v>3475.7234633892181</v>
      </c>
      <c r="V273" s="168">
        <f ca="1">IF($C273-V$1&lt;År1,0,U272*(1-VLOOKUP($A273,[1]Hugst!$R$5:$W$9,MATCH(ROUNDUP((V$1)/10,0)*10,[1]Hugst!$R$4:$W$4,0))))</f>
        <v>3480.9742606182222</v>
      </c>
      <c r="W273" s="168">
        <f ca="1">IF($C273-W$1&lt;År1,0,V272*(1-VLOOKUP($A273,[1]Hugst!$R$5:$W$9,MATCH(ROUNDUP((W$1)/10,0)*10,[1]Hugst!$R$4:$W$4,0))))</f>
        <v>3486.2514437629538</v>
      </c>
      <c r="X273" s="168">
        <f ca="1">IF($C273-X$1&lt;År1,0,W272*(1-VLOOKUP($A273,[1]Hugst!$R$5:$W$9,MATCH(ROUNDUP((X$1)/10,0)*10,[1]Hugst!$R$4:$W$4,0))))</f>
        <v>3491.5551454159536</v>
      </c>
      <c r="Y273" s="168">
        <f ca="1">IF($C273-Y$1&lt;År1,0,X272*(1-VLOOKUP($A273,[1]Hugst!$R$5:$W$9,MATCH(ROUNDUP((Y$1)/10,0)*10,[1]Hugst!$R$4:$W$4,0))))</f>
        <v>3496.8854988360649</v>
      </c>
      <c r="Z273" s="168">
        <f ca="1">IF($C273-Z$1&lt;År1,0,Y272*(1-VLOOKUP($A273,[1]Hugst!$R$5:$W$9,MATCH(ROUNDUP((Z$1)/10,0)*10,[1]Hugst!$R$4:$W$4,0))))</f>
        <v>3501.0752237391021</v>
      </c>
      <c r="AA273" s="168">
        <f ca="1">IF($C273-AA$1&lt;År1,0,Z272*(1-VLOOKUP($A273,[1]Hugst!$R$5:$W$9,MATCH(ROUNDUP((AA$1)/10,0)*10,[1]Hugst!$R$4:$W$4,0))))</f>
        <v>3505.2886693025634</v>
      </c>
      <c r="AB273" s="168">
        <f ca="1">IF($C273-AB$1&lt;År1,0,AA272*(1-VLOOKUP($A273,[1]Hugst!$R$5:$W$9,MATCH(ROUNDUP((AB$1)/10,0)*10,[1]Hugst!$R$4:$W$4,0))))</f>
        <v>3509.5259454223019</v>
      </c>
      <c r="AC273" s="168">
        <f ca="1">IF($C273-AC$1&lt;År1,0,AB272*(1-VLOOKUP($A273,[1]Hugst!$R$5:$W$9,MATCH(ROUNDUP((AC$1)/10,0)*10,[1]Hugst!$R$4:$W$4,0))))</f>
        <v>3513.7871625101807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*VLOOKUP(A274,Skovbrug!$A$13:$D$17,IF('Skovbrug-alder'!C274&lt;=År2,3,4),FALSE)-IF(C274&gt;2020,SUM(INDEX($C$1:$D$311,MATCH(1,(2020=$C$1:$C$311)*(B274=$B$1:$B$311)*(A274=$A$1:$A$311),0),2):D273),0))</f>
        <v>964.37871347914916</v>
      </c>
      <c r="E274" s="168">
        <f t="shared" ca="1" si="6"/>
        <v>5.8421874999330612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3401.035715793897</v>
      </c>
      <c r="G274" s="168">
        <f ca="1">IF($C274-G$1&lt;År1,0,F273*(1-VLOOKUP($A274,[1]Hugst!$R$5:$W$9,MATCH(ROUNDUP((G$1)/10,0)*10,[1]Hugst!$R$4:$W$4,0))))</f>
        <v>3404.71777085542</v>
      </c>
      <c r="H274" s="168">
        <f ca="1">IF($C274-H$1&lt;År1,0,G273*(1-VLOOKUP($A274,[1]Hugst!$R$5:$W$9,MATCH(ROUNDUP((H$1)/10,0)*10,[1]Hugst!$R$4:$W$4,0))))</f>
        <v>3408.4220038389003</v>
      </c>
      <c r="I274" s="168">
        <f ca="1">IF($C274-I$1&lt;År1,0,H273*(1-VLOOKUP($A274,[1]Hugst!$R$5:$W$9,MATCH(ROUNDUP((I$1)/10,0)*10,[1]Hugst!$R$4:$W$4,0))))</f>
        <v>3412.1485274166307</v>
      </c>
      <c r="J274" s="168">
        <f ca="1">IF($C274-J$1&lt;År1,0,I273*(1-VLOOKUP($A274,[1]Hugst!$R$5:$W$9,MATCH(ROUNDUP((J$1)/10,0)*10,[1]Hugst!$R$4:$W$4,0))))</f>
        <v>3415.8974548274973</v>
      </c>
      <c r="K274" s="168">
        <f ca="1">IF($C274-K$1&lt;År1,0,J273*(1-VLOOKUP($A274,[1]Hugst!$R$5:$W$9,MATCH(ROUNDUP((K$1)/10,0)*10,[1]Hugst!$R$4:$W$4,0))))</f>
        <v>3419.6688998798318</v>
      </c>
      <c r="L274" s="168">
        <f ca="1">IF($C274-L$1&lt;År1,0,K273*(1-VLOOKUP($A274,[1]Hugst!$R$5:$W$9,MATCH(ROUNDUP((L$1)/10,0)*10,[1]Hugst!$R$4:$W$4,0))))</f>
        <v>3424.638015885238</v>
      </c>
      <c r="M274" s="168">
        <f ca="1">IF($C274-M$1&lt;År1,0,L273*(1-VLOOKUP($A274,[1]Hugst!$R$5:$W$9,MATCH(ROUNDUP((M$1)/10,0)*10,[1]Hugst!$R$4:$W$4,0))))</f>
        <v>3429.6321023227474</v>
      </c>
      <c r="N274" s="168">
        <f ca="1">IF($C274-N$1&lt;År1,0,M273*(1-VLOOKUP($A274,[1]Hugst!$R$5:$W$9,MATCH(ROUNDUP((N$1)/10,0)*10,[1]Hugst!$R$4:$W$4,0))))</f>
        <v>3434.6512846720407</v>
      </c>
      <c r="O274" s="168">
        <f ca="1">IF($C274-O$1&lt;År1,0,N273*(1-VLOOKUP($A274,[1]Hugst!$R$5:$W$9,MATCH(ROUNDUP((O$1)/10,0)*10,[1]Hugst!$R$4:$W$4,0))))</f>
        <v>3439.6956890431875</v>
      </c>
      <c r="P274" s="168">
        <f ca="1">IF($C274-P$1&lt;År1,0,O273*(1-VLOOKUP($A274,[1]Hugst!$R$5:$W$9,MATCH(ROUNDUP((P$1)/10,0)*10,[1]Hugst!$R$4:$W$4,0))))</f>
        <v>3444.7654421799934</v>
      </c>
      <c r="Q274" s="168">
        <f ca="1">IF($C274-Q$1&lt;År1,0,P273*(1-VLOOKUP($A274,[1]Hugst!$R$5:$W$9,MATCH(ROUNDUP((Q$1)/10,0)*10,[1]Hugst!$R$4:$W$4,0))))</f>
        <v>3449.8606714632306</v>
      </c>
      <c r="R274" s="168">
        <f ca="1">IF($C274-R$1&lt;År1,0,Q273*(1-VLOOKUP($A274,[1]Hugst!$R$5:$W$9,MATCH(ROUNDUP((R$1)/10,0)*10,[1]Hugst!$R$4:$W$4,0))))</f>
        <v>3454.9815049137515</v>
      </c>
      <c r="S274" s="168">
        <f ca="1">IF($C274-S$1&lt;År1,0,R273*(1-VLOOKUP($A274,[1]Hugst!$R$5:$W$9,MATCH(ROUNDUP((S$1)/10,0)*10,[1]Hugst!$R$4:$W$4,0))))</f>
        <v>3460.1280711956033</v>
      </c>
      <c r="T274" s="168">
        <f ca="1">IF($C274-T$1&lt;År1,0,S273*(1-VLOOKUP($A274,[1]Hugst!$R$5:$W$9,MATCH(ROUNDUP((T$1)/10,0)*10,[1]Hugst!$R$4:$W$4,0))))</f>
        <v>3465.3004996196937</v>
      </c>
      <c r="U274" s="168">
        <f ca="1">IF($C274-U$1&lt;År1,0,T273*(1-VLOOKUP($A274,[1]Hugst!$R$5:$W$9,MATCH(ROUNDUP((U$1)/10,0)*10,[1]Hugst!$R$4:$W$4,0))))</f>
        <v>3470.498920146299</v>
      </c>
      <c r="V274" s="168">
        <f ca="1">IF($C274-V$1&lt;År1,0,U273*(1-VLOOKUP($A274,[1]Hugst!$R$5:$W$9,MATCH(ROUNDUP((V$1)/10,0)*10,[1]Hugst!$R$4:$W$4,0))))</f>
        <v>3475.7234633892181</v>
      </c>
      <c r="W274" s="168">
        <f ca="1">IF($C274-W$1&lt;År1,0,V273*(1-VLOOKUP($A274,[1]Hugst!$R$5:$W$9,MATCH(ROUNDUP((W$1)/10,0)*10,[1]Hugst!$R$4:$W$4,0))))</f>
        <v>3480.9742606182222</v>
      </c>
      <c r="X274" s="168">
        <f ca="1">IF($C274-X$1&lt;År1,0,W273*(1-VLOOKUP($A274,[1]Hugst!$R$5:$W$9,MATCH(ROUNDUP((X$1)/10,0)*10,[1]Hugst!$R$4:$W$4,0))))</f>
        <v>3486.2514437629538</v>
      </c>
      <c r="Y274" s="168">
        <f ca="1">IF($C274-Y$1&lt;År1,0,X273*(1-VLOOKUP($A274,[1]Hugst!$R$5:$W$9,MATCH(ROUNDUP((Y$1)/10,0)*10,[1]Hugst!$R$4:$W$4,0))))</f>
        <v>3491.5551454159536</v>
      </c>
      <c r="Z274" s="168">
        <f ca="1">IF($C274-Z$1&lt;År1,0,Y273*(1-VLOOKUP($A274,[1]Hugst!$R$5:$W$9,MATCH(ROUNDUP((Z$1)/10,0)*10,[1]Hugst!$R$4:$W$4,0))))</f>
        <v>3495.7198703364529</v>
      </c>
      <c r="AA274" s="168">
        <f ca="1">IF($C274-AA$1&lt;År1,0,Z273*(1-VLOOKUP($A274,[1]Hugst!$R$5:$W$9,MATCH(ROUNDUP((AA$1)/10,0)*10,[1]Hugst!$R$4:$W$4,0))))</f>
        <v>3499.9081986645224</v>
      </c>
      <c r="AB274" s="168">
        <f ca="1">IF($C274-AB$1&lt;År1,0,AA273*(1-VLOOKUP($A274,[1]Hugst!$R$5:$W$9,MATCH(ROUNDUP((AB$1)/10,0)*10,[1]Hugst!$R$4:$W$4,0))))</f>
        <v>3504.1202397461293</v>
      </c>
      <c r="AC274" s="168">
        <f ca="1">IF($C274-AC$1&lt;År1,0,AB273*(1-VLOOKUP($A274,[1]Hugst!$R$5:$W$9,MATCH(ROUNDUP((AC$1)/10,0)*10,[1]Hugst!$R$4:$W$4,0))))</f>
        <v>3508.3561034404947</v>
      </c>
      <c r="AD274" s="168">
        <f ca="1">IF($C274-AD$1&lt;År1,0,AC273*(1-VLOOKUP($A274,[1]Hugst!$R$5:$W$9,MATCH(ROUNDUP((AD$1)/10,0)*10,[1]Hugst!$R$4:$W$4,0))))</f>
        <v>3512.6159001226774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*VLOOKUP(A275,Skovbrug!$A$13:$D$17,IF('Skovbrug-alder'!C275&lt;=År2,3,4),FALSE)-IF(C275&gt;2020,SUM(INDEX($C$1:$D$311,MATCH(1,(2020=$C$1:$C$311)*(B275=$B$1:$B$311)*(A275=$A$1:$A$311),0),2):D274),0))</f>
        <v>959.55681991175516</v>
      </c>
      <c r="E275" s="168">
        <f t="shared" ca="1" si="6"/>
        <v>7.0040918192535173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3397.3757265458235</v>
      </c>
      <c r="G275" s="168">
        <f ca="1">IF($C275-G$1&lt;År1,0,F274*(1-VLOOKUP($A275,[1]Hugst!$R$5:$W$9,MATCH(ROUNDUP((G$1)/10,0)*10,[1]Hugst!$R$4:$W$4,0))))</f>
        <v>3401.035715793897</v>
      </c>
      <c r="H275" s="168">
        <f ca="1">IF($C275-H$1&lt;År1,0,G274*(1-VLOOKUP($A275,[1]Hugst!$R$5:$W$9,MATCH(ROUNDUP((H$1)/10,0)*10,[1]Hugst!$R$4:$W$4,0))))</f>
        <v>3404.71777085542</v>
      </c>
      <c r="I275" s="168">
        <f ca="1">IF($C275-I$1&lt;År1,0,H274*(1-VLOOKUP($A275,[1]Hugst!$R$5:$W$9,MATCH(ROUNDUP((I$1)/10,0)*10,[1]Hugst!$R$4:$W$4,0))))</f>
        <v>3408.4220038389003</v>
      </c>
      <c r="J275" s="168">
        <f ca="1">IF($C275-J$1&lt;År1,0,I274*(1-VLOOKUP($A275,[1]Hugst!$R$5:$W$9,MATCH(ROUNDUP((J$1)/10,0)*10,[1]Hugst!$R$4:$W$4,0))))</f>
        <v>3412.1485274166307</v>
      </c>
      <c r="K275" s="168">
        <f ca="1">IF($C275-K$1&lt;År1,0,J274*(1-VLOOKUP($A275,[1]Hugst!$R$5:$W$9,MATCH(ROUNDUP((K$1)/10,0)*10,[1]Hugst!$R$4:$W$4,0))))</f>
        <v>3415.8974548274973</v>
      </c>
      <c r="L275" s="168">
        <f ca="1">IF($C275-L$1&lt;År1,0,K274*(1-VLOOKUP($A275,[1]Hugst!$R$5:$W$9,MATCH(ROUNDUP((L$1)/10,0)*10,[1]Hugst!$R$4:$W$4,0))))</f>
        <v>3419.6688998798318</v>
      </c>
      <c r="M275" s="168">
        <f ca="1">IF($C275-M$1&lt;År1,0,L274*(1-VLOOKUP($A275,[1]Hugst!$R$5:$W$9,MATCH(ROUNDUP((M$1)/10,0)*10,[1]Hugst!$R$4:$W$4,0))))</f>
        <v>3424.638015885238</v>
      </c>
      <c r="N275" s="168">
        <f ca="1">IF($C275-N$1&lt;År1,0,M274*(1-VLOOKUP($A275,[1]Hugst!$R$5:$W$9,MATCH(ROUNDUP((N$1)/10,0)*10,[1]Hugst!$R$4:$W$4,0))))</f>
        <v>3429.6321023227474</v>
      </c>
      <c r="O275" s="168">
        <f ca="1">IF($C275-O$1&lt;År1,0,N274*(1-VLOOKUP($A275,[1]Hugst!$R$5:$W$9,MATCH(ROUNDUP((O$1)/10,0)*10,[1]Hugst!$R$4:$W$4,0))))</f>
        <v>3434.6512846720407</v>
      </c>
      <c r="P275" s="168">
        <f ca="1">IF($C275-P$1&lt;År1,0,O274*(1-VLOOKUP($A275,[1]Hugst!$R$5:$W$9,MATCH(ROUNDUP((P$1)/10,0)*10,[1]Hugst!$R$4:$W$4,0))))</f>
        <v>3439.6956890431875</v>
      </c>
      <c r="Q275" s="168">
        <f ca="1">IF($C275-Q$1&lt;År1,0,P274*(1-VLOOKUP($A275,[1]Hugst!$R$5:$W$9,MATCH(ROUNDUP((Q$1)/10,0)*10,[1]Hugst!$R$4:$W$4,0))))</f>
        <v>3444.7654421799934</v>
      </c>
      <c r="R275" s="168">
        <f ca="1">IF($C275-R$1&lt;År1,0,Q274*(1-VLOOKUP($A275,[1]Hugst!$R$5:$W$9,MATCH(ROUNDUP((R$1)/10,0)*10,[1]Hugst!$R$4:$W$4,0))))</f>
        <v>3449.8606714632306</v>
      </c>
      <c r="S275" s="168">
        <f ca="1">IF($C275-S$1&lt;År1,0,R274*(1-VLOOKUP($A275,[1]Hugst!$R$5:$W$9,MATCH(ROUNDUP((S$1)/10,0)*10,[1]Hugst!$R$4:$W$4,0))))</f>
        <v>3454.9815049137515</v>
      </c>
      <c r="T275" s="168">
        <f ca="1">IF($C275-T$1&lt;År1,0,S274*(1-VLOOKUP($A275,[1]Hugst!$R$5:$W$9,MATCH(ROUNDUP((T$1)/10,0)*10,[1]Hugst!$R$4:$W$4,0))))</f>
        <v>3460.1280711956033</v>
      </c>
      <c r="U275" s="168">
        <f ca="1">IF($C275-U$1&lt;År1,0,T274*(1-VLOOKUP($A275,[1]Hugst!$R$5:$W$9,MATCH(ROUNDUP((U$1)/10,0)*10,[1]Hugst!$R$4:$W$4,0))))</f>
        <v>3465.3004996196937</v>
      </c>
      <c r="V275" s="168">
        <f ca="1">IF($C275-V$1&lt;År1,0,U274*(1-VLOOKUP($A275,[1]Hugst!$R$5:$W$9,MATCH(ROUNDUP((V$1)/10,0)*10,[1]Hugst!$R$4:$W$4,0))))</f>
        <v>3470.498920146299</v>
      </c>
      <c r="W275" s="168">
        <f ca="1">IF($C275-W$1&lt;År1,0,V274*(1-VLOOKUP($A275,[1]Hugst!$R$5:$W$9,MATCH(ROUNDUP((W$1)/10,0)*10,[1]Hugst!$R$4:$W$4,0))))</f>
        <v>3475.7234633892181</v>
      </c>
      <c r="X275" s="168">
        <f ca="1">IF($C275-X$1&lt;År1,0,W274*(1-VLOOKUP($A275,[1]Hugst!$R$5:$W$9,MATCH(ROUNDUP((X$1)/10,0)*10,[1]Hugst!$R$4:$W$4,0))))</f>
        <v>3480.9742606182222</v>
      </c>
      <c r="Y275" s="168">
        <f ca="1">IF($C275-Y$1&lt;År1,0,X274*(1-VLOOKUP($A275,[1]Hugst!$R$5:$W$9,MATCH(ROUNDUP((Y$1)/10,0)*10,[1]Hugst!$R$4:$W$4,0))))</f>
        <v>3486.2514437629538</v>
      </c>
      <c r="Z275" s="168">
        <f ca="1">IF($C275-Z$1&lt;År1,0,Y274*(1-VLOOKUP($A275,[1]Hugst!$R$5:$W$9,MATCH(ROUNDUP((Z$1)/10,0)*10,[1]Hugst!$R$4:$W$4,0))))</f>
        <v>3490.3912937008149</v>
      </c>
      <c r="AA275" s="168">
        <f ca="1">IF($C275-AA$1&lt;År1,0,Z274*(1-VLOOKUP($A275,[1]Hugst!$R$5:$W$9,MATCH(ROUNDUP((AA$1)/10,0)*10,[1]Hugst!$R$4:$W$4,0))))</f>
        <v>3494.5546303796741</v>
      </c>
      <c r="AB275" s="168">
        <f ca="1">IF($C275-AB$1&lt;År1,0,AA274*(1-VLOOKUP($A275,[1]Hugst!$R$5:$W$9,MATCH(ROUNDUP((AB$1)/10,0)*10,[1]Hugst!$R$4:$W$4,0))))</f>
        <v>3498.7415625983008</v>
      </c>
      <c r="AC275" s="168">
        <f ca="1">IF($C275-AC$1&lt;År1,0,AB274*(1-VLOOKUP($A275,[1]Hugst!$R$5:$W$9,MATCH(ROUNDUP((AC$1)/10,0)*10,[1]Hugst!$R$4:$W$4,0))))</f>
        <v>3502.9521996662143</v>
      </c>
      <c r="AD275" s="168">
        <f ca="1">IF($C275-AD$1&lt;År1,0,AC274*(1-VLOOKUP($A275,[1]Hugst!$R$5:$W$9,MATCH(ROUNDUP((AD$1)/10,0)*10,[1]Hugst!$R$4:$W$4,0))))</f>
        <v>3507.1866514060148</v>
      </c>
      <c r="AE275" s="168">
        <f ca="1">IF($C275-AE$1&lt;År1,0,AD274*(1-VLOOKUP($A275,[1]Hugst!$R$5:$W$9,MATCH(ROUNDUP((AE$1)/10,0)*10,[1]Hugst!$R$4:$W$4,0))))</f>
        <v>3511.4450281559698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*VLOOKUP(A276,Skovbrug!$A$13:$D$17,IF('Skovbrug-alder'!C276&lt;=År2,3,4),FALSE)-IF(C276&gt;2020,SUM(INDEX($C$1:$D$311,MATCH(1,(2020=$C$1:$C$311)*(B276=$B$1:$B$311)*(A276=$A$1:$A$311),0),2):D275),0))</f>
        <v>954.75903581222519</v>
      </c>
      <c r="E276" s="168">
        <f t="shared" ca="1" si="6"/>
        <v>8.1638409365405096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3393.7376915635805</v>
      </c>
      <c r="G276" s="168">
        <f ca="1">IF($C276-G$1&lt;År1,0,F275*(1-VLOOKUP($A276,[1]Hugst!$R$5:$W$9,MATCH(ROUNDUP((G$1)/10,0)*10,[1]Hugst!$R$4:$W$4,0))))</f>
        <v>3397.3757265458235</v>
      </c>
      <c r="H276" s="168">
        <f ca="1">IF($C276-H$1&lt;År1,0,G275*(1-VLOOKUP($A276,[1]Hugst!$R$5:$W$9,MATCH(ROUNDUP((H$1)/10,0)*10,[1]Hugst!$R$4:$W$4,0))))</f>
        <v>3401.035715793897</v>
      </c>
      <c r="I276" s="168">
        <f ca="1">IF($C276-I$1&lt;År1,0,H275*(1-VLOOKUP($A276,[1]Hugst!$R$5:$W$9,MATCH(ROUNDUP((I$1)/10,0)*10,[1]Hugst!$R$4:$W$4,0))))</f>
        <v>3404.71777085542</v>
      </c>
      <c r="J276" s="168">
        <f ca="1">IF($C276-J$1&lt;År1,0,I275*(1-VLOOKUP($A276,[1]Hugst!$R$5:$W$9,MATCH(ROUNDUP((J$1)/10,0)*10,[1]Hugst!$R$4:$W$4,0))))</f>
        <v>3408.4220038389003</v>
      </c>
      <c r="K276" s="168">
        <f ca="1">IF($C276-K$1&lt;År1,0,J275*(1-VLOOKUP($A276,[1]Hugst!$R$5:$W$9,MATCH(ROUNDUP((K$1)/10,0)*10,[1]Hugst!$R$4:$W$4,0))))</f>
        <v>3412.1485274166307</v>
      </c>
      <c r="L276" s="168">
        <f ca="1">IF($C276-L$1&lt;År1,0,K275*(1-VLOOKUP($A276,[1]Hugst!$R$5:$W$9,MATCH(ROUNDUP((L$1)/10,0)*10,[1]Hugst!$R$4:$W$4,0))))</f>
        <v>3415.8974548274973</v>
      </c>
      <c r="M276" s="168">
        <f ca="1">IF($C276-M$1&lt;År1,0,L275*(1-VLOOKUP($A276,[1]Hugst!$R$5:$W$9,MATCH(ROUNDUP((M$1)/10,0)*10,[1]Hugst!$R$4:$W$4,0))))</f>
        <v>3419.6688998798318</v>
      </c>
      <c r="N276" s="168">
        <f ca="1">IF($C276-N$1&lt;År1,0,M275*(1-VLOOKUP($A276,[1]Hugst!$R$5:$W$9,MATCH(ROUNDUP((N$1)/10,0)*10,[1]Hugst!$R$4:$W$4,0))))</f>
        <v>3424.638015885238</v>
      </c>
      <c r="O276" s="168">
        <f ca="1">IF($C276-O$1&lt;År1,0,N275*(1-VLOOKUP($A276,[1]Hugst!$R$5:$W$9,MATCH(ROUNDUP((O$1)/10,0)*10,[1]Hugst!$R$4:$W$4,0))))</f>
        <v>3429.6321023227474</v>
      </c>
      <c r="P276" s="168">
        <f ca="1">IF($C276-P$1&lt;År1,0,O275*(1-VLOOKUP($A276,[1]Hugst!$R$5:$W$9,MATCH(ROUNDUP((P$1)/10,0)*10,[1]Hugst!$R$4:$W$4,0))))</f>
        <v>3434.6512846720407</v>
      </c>
      <c r="Q276" s="168">
        <f ca="1">IF($C276-Q$1&lt;År1,0,P275*(1-VLOOKUP($A276,[1]Hugst!$R$5:$W$9,MATCH(ROUNDUP((Q$1)/10,0)*10,[1]Hugst!$R$4:$W$4,0))))</f>
        <v>3439.6956890431875</v>
      </c>
      <c r="R276" s="168">
        <f ca="1">IF($C276-R$1&lt;År1,0,Q275*(1-VLOOKUP($A276,[1]Hugst!$R$5:$W$9,MATCH(ROUNDUP((R$1)/10,0)*10,[1]Hugst!$R$4:$W$4,0))))</f>
        <v>3444.7654421799934</v>
      </c>
      <c r="S276" s="168">
        <f ca="1">IF($C276-S$1&lt;År1,0,R275*(1-VLOOKUP($A276,[1]Hugst!$R$5:$W$9,MATCH(ROUNDUP((S$1)/10,0)*10,[1]Hugst!$R$4:$W$4,0))))</f>
        <v>3449.8606714632306</v>
      </c>
      <c r="T276" s="168">
        <f ca="1">IF($C276-T$1&lt;År1,0,S275*(1-VLOOKUP($A276,[1]Hugst!$R$5:$W$9,MATCH(ROUNDUP((T$1)/10,0)*10,[1]Hugst!$R$4:$W$4,0))))</f>
        <v>3454.9815049137515</v>
      </c>
      <c r="U276" s="168">
        <f ca="1">IF($C276-U$1&lt;År1,0,T275*(1-VLOOKUP($A276,[1]Hugst!$R$5:$W$9,MATCH(ROUNDUP((U$1)/10,0)*10,[1]Hugst!$R$4:$W$4,0))))</f>
        <v>3460.1280711956033</v>
      </c>
      <c r="V276" s="168">
        <f ca="1">IF($C276-V$1&lt;År1,0,U275*(1-VLOOKUP($A276,[1]Hugst!$R$5:$W$9,MATCH(ROUNDUP((V$1)/10,0)*10,[1]Hugst!$R$4:$W$4,0))))</f>
        <v>3465.3004996196937</v>
      </c>
      <c r="W276" s="168">
        <f ca="1">IF($C276-W$1&lt;År1,0,V275*(1-VLOOKUP($A276,[1]Hugst!$R$5:$W$9,MATCH(ROUNDUP((W$1)/10,0)*10,[1]Hugst!$R$4:$W$4,0))))</f>
        <v>3470.498920146299</v>
      </c>
      <c r="X276" s="168">
        <f ca="1">IF($C276-X$1&lt;År1,0,W275*(1-VLOOKUP($A276,[1]Hugst!$R$5:$W$9,MATCH(ROUNDUP((X$1)/10,0)*10,[1]Hugst!$R$4:$W$4,0))))</f>
        <v>3475.7234633892181</v>
      </c>
      <c r="Y276" s="168">
        <f ca="1">IF($C276-Y$1&lt;År1,0,X275*(1-VLOOKUP($A276,[1]Hugst!$R$5:$W$9,MATCH(ROUNDUP((Y$1)/10,0)*10,[1]Hugst!$R$4:$W$4,0))))</f>
        <v>3480.9742606182222</v>
      </c>
      <c r="Z276" s="168">
        <f ca="1">IF($C276-Z$1&lt;År1,0,Y275*(1-VLOOKUP($A276,[1]Hugst!$R$5:$W$9,MATCH(ROUNDUP((Z$1)/10,0)*10,[1]Hugst!$R$4:$W$4,0))))</f>
        <v>3485.0893599483661</v>
      </c>
      <c r="AA276" s="168">
        <f ca="1">IF($C276-AA$1&lt;År1,0,Z275*(1-VLOOKUP($A276,[1]Hugst!$R$5:$W$9,MATCH(ROUNDUP((AA$1)/10,0)*10,[1]Hugst!$R$4:$W$4,0))))</f>
        <v>3489.2278299362483</v>
      </c>
      <c r="AB276" s="168">
        <f ca="1">IF($C276-AB$1&lt;År1,0,AA275*(1-VLOOKUP($A276,[1]Hugst!$R$5:$W$9,MATCH(ROUNDUP((AB$1)/10,0)*10,[1]Hugst!$R$4:$W$4,0))))</f>
        <v>3493.3897788362142</v>
      </c>
      <c r="AC276" s="168">
        <f ca="1">IF($C276-AC$1&lt;År1,0,AB275*(1-VLOOKUP($A276,[1]Hugst!$R$5:$W$9,MATCH(ROUNDUP((AC$1)/10,0)*10,[1]Hugst!$R$4:$W$4,0))))</f>
        <v>3497.5753154107683</v>
      </c>
      <c r="AD276" s="168">
        <f ca="1">IF($C276-AD$1&lt;År1,0,AC275*(1-VLOOKUP($A276,[1]Hugst!$R$5:$W$9,MATCH(ROUNDUP((AD$1)/10,0)*10,[1]Hugst!$R$4:$W$4,0))))</f>
        <v>3501.7845489329925</v>
      </c>
      <c r="AE276" s="168">
        <f ca="1">IF($C276-AE$1&lt;År1,0,AD275*(1-VLOOKUP($A276,[1]Hugst!$R$5:$W$9,MATCH(ROUNDUP((AE$1)/10,0)*10,[1]Hugst!$R$4:$W$4,0))))</f>
        <v>3506.0175891888794</v>
      </c>
      <c r="AF276" s="168">
        <f ca="1">IF($C276-AF$1&lt;År1,0,AE275*(1-VLOOKUP($A276,[1]Hugst!$R$5:$W$9,MATCH(ROUNDUP((AF$1)/10,0)*10,[1]Hugst!$R$4:$W$4,0))))</f>
        <v>3510.2745464799177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*VLOOKUP(A277,Skovbrug!$A$13:$D$17,IF('Skovbrug-alder'!C277&lt;=År2,3,4),FALSE)-IF(C277&gt;2020,SUM(INDEX($C$1:$D$311,MATCH(1,(2020=$C$1:$C$311)*(B277=$B$1:$B$311)*(A277=$A$1:$A$311),0),2):D276),0))</f>
        <v>949.9852406331047</v>
      </c>
      <c r="E277" s="168">
        <f t="shared" ca="1" si="6"/>
        <v>9.3214444097829983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3390.1214998577025</v>
      </c>
      <c r="G277" s="168">
        <f ca="1">IF($C277-G$1&lt;År1,0,F276*(1-VLOOKUP($A277,[1]Hugst!$R$5:$W$9,MATCH(ROUNDUP((G$1)/10,0)*10,[1]Hugst!$R$4:$W$4,0))))</f>
        <v>3393.7376915635805</v>
      </c>
      <c r="H277" s="168">
        <f ca="1">IF($C277-H$1&lt;År1,0,G276*(1-VLOOKUP($A277,[1]Hugst!$R$5:$W$9,MATCH(ROUNDUP((H$1)/10,0)*10,[1]Hugst!$R$4:$W$4,0))))</f>
        <v>3397.3757265458235</v>
      </c>
      <c r="I277" s="168">
        <f ca="1">IF($C277-I$1&lt;År1,0,H276*(1-VLOOKUP($A277,[1]Hugst!$R$5:$W$9,MATCH(ROUNDUP((I$1)/10,0)*10,[1]Hugst!$R$4:$W$4,0))))</f>
        <v>3401.035715793897</v>
      </c>
      <c r="J277" s="168">
        <f ca="1">IF($C277-J$1&lt;År1,0,I276*(1-VLOOKUP($A277,[1]Hugst!$R$5:$W$9,MATCH(ROUNDUP((J$1)/10,0)*10,[1]Hugst!$R$4:$W$4,0))))</f>
        <v>3404.71777085542</v>
      </c>
      <c r="K277" s="168">
        <f ca="1">IF($C277-K$1&lt;År1,0,J276*(1-VLOOKUP($A277,[1]Hugst!$R$5:$W$9,MATCH(ROUNDUP((K$1)/10,0)*10,[1]Hugst!$R$4:$W$4,0))))</f>
        <v>3408.4220038389003</v>
      </c>
      <c r="L277" s="168">
        <f ca="1">IF($C277-L$1&lt;År1,0,K276*(1-VLOOKUP($A277,[1]Hugst!$R$5:$W$9,MATCH(ROUNDUP((L$1)/10,0)*10,[1]Hugst!$R$4:$W$4,0))))</f>
        <v>3412.1485274166307</v>
      </c>
      <c r="M277" s="168">
        <f ca="1">IF($C277-M$1&lt;År1,0,L276*(1-VLOOKUP($A277,[1]Hugst!$R$5:$W$9,MATCH(ROUNDUP((M$1)/10,0)*10,[1]Hugst!$R$4:$W$4,0))))</f>
        <v>3415.8974548274973</v>
      </c>
      <c r="N277" s="168">
        <f ca="1">IF($C277-N$1&lt;År1,0,M276*(1-VLOOKUP($A277,[1]Hugst!$R$5:$W$9,MATCH(ROUNDUP((N$1)/10,0)*10,[1]Hugst!$R$4:$W$4,0))))</f>
        <v>3419.6688998798318</v>
      </c>
      <c r="O277" s="168">
        <f ca="1">IF($C277-O$1&lt;År1,0,N276*(1-VLOOKUP($A277,[1]Hugst!$R$5:$W$9,MATCH(ROUNDUP((O$1)/10,0)*10,[1]Hugst!$R$4:$W$4,0))))</f>
        <v>3424.638015885238</v>
      </c>
      <c r="P277" s="168">
        <f ca="1">IF($C277-P$1&lt;År1,0,O276*(1-VLOOKUP($A277,[1]Hugst!$R$5:$W$9,MATCH(ROUNDUP((P$1)/10,0)*10,[1]Hugst!$R$4:$W$4,0))))</f>
        <v>3429.6321023227474</v>
      </c>
      <c r="Q277" s="168">
        <f ca="1">IF($C277-Q$1&lt;År1,0,P276*(1-VLOOKUP($A277,[1]Hugst!$R$5:$W$9,MATCH(ROUNDUP((Q$1)/10,0)*10,[1]Hugst!$R$4:$W$4,0))))</f>
        <v>3434.6512846720407</v>
      </c>
      <c r="R277" s="168">
        <f ca="1">IF($C277-R$1&lt;År1,0,Q276*(1-VLOOKUP($A277,[1]Hugst!$R$5:$W$9,MATCH(ROUNDUP((R$1)/10,0)*10,[1]Hugst!$R$4:$W$4,0))))</f>
        <v>3439.6956890431875</v>
      </c>
      <c r="S277" s="168">
        <f ca="1">IF($C277-S$1&lt;År1,0,R276*(1-VLOOKUP($A277,[1]Hugst!$R$5:$W$9,MATCH(ROUNDUP((S$1)/10,0)*10,[1]Hugst!$R$4:$W$4,0))))</f>
        <v>3444.7654421799934</v>
      </c>
      <c r="T277" s="168">
        <f ca="1">IF($C277-T$1&lt;År1,0,S276*(1-VLOOKUP($A277,[1]Hugst!$R$5:$W$9,MATCH(ROUNDUP((T$1)/10,0)*10,[1]Hugst!$R$4:$W$4,0))))</f>
        <v>3449.8606714632306</v>
      </c>
      <c r="U277" s="168">
        <f ca="1">IF($C277-U$1&lt;År1,0,T276*(1-VLOOKUP($A277,[1]Hugst!$R$5:$W$9,MATCH(ROUNDUP((U$1)/10,0)*10,[1]Hugst!$R$4:$W$4,0))))</f>
        <v>3454.9815049137515</v>
      </c>
      <c r="V277" s="168">
        <f ca="1">IF($C277-V$1&lt;År1,0,U276*(1-VLOOKUP($A277,[1]Hugst!$R$5:$W$9,MATCH(ROUNDUP((V$1)/10,0)*10,[1]Hugst!$R$4:$W$4,0))))</f>
        <v>3460.1280711956033</v>
      </c>
      <c r="W277" s="168">
        <f ca="1">IF($C277-W$1&lt;År1,0,V276*(1-VLOOKUP($A277,[1]Hugst!$R$5:$W$9,MATCH(ROUNDUP((W$1)/10,0)*10,[1]Hugst!$R$4:$W$4,0))))</f>
        <v>3465.3004996196937</v>
      </c>
      <c r="X277" s="168">
        <f ca="1">IF($C277-X$1&lt;År1,0,W276*(1-VLOOKUP($A277,[1]Hugst!$R$5:$W$9,MATCH(ROUNDUP((X$1)/10,0)*10,[1]Hugst!$R$4:$W$4,0))))</f>
        <v>3470.498920146299</v>
      </c>
      <c r="Y277" s="168">
        <f ca="1">IF($C277-Y$1&lt;År1,0,X276*(1-VLOOKUP($A277,[1]Hugst!$R$5:$W$9,MATCH(ROUNDUP((Y$1)/10,0)*10,[1]Hugst!$R$4:$W$4,0))))</f>
        <v>3475.7234633892181</v>
      </c>
      <c r="Z277" s="168">
        <f ca="1">IF($C277-Z$1&lt;År1,0,Y276*(1-VLOOKUP($A277,[1]Hugst!$R$5:$W$9,MATCH(ROUNDUP((Z$1)/10,0)*10,[1]Hugst!$R$4:$W$4,0))))</f>
        <v>3479.8139358646827</v>
      </c>
      <c r="AA277" s="168">
        <f ca="1">IF($C277-AA$1&lt;År1,0,Z276*(1-VLOOKUP($A277,[1]Hugst!$R$5:$W$9,MATCH(ROUNDUP((AA$1)/10,0)*10,[1]Hugst!$R$4:$W$4,0))))</f>
        <v>3483.9276634950502</v>
      </c>
      <c r="AB277" s="168">
        <f ca="1">IF($C277-AB$1&lt;År1,0,AA276*(1-VLOOKUP($A277,[1]Hugst!$R$5:$W$9,MATCH(ROUNDUP((AB$1)/10,0)*10,[1]Hugst!$R$4:$W$4,0))))</f>
        <v>3488.0647539929364</v>
      </c>
      <c r="AC277" s="168">
        <f ca="1">IF($C277-AC$1&lt;År1,0,AB276*(1-VLOOKUP($A277,[1]Hugst!$R$5:$W$9,MATCH(ROUNDUP((AC$1)/10,0)*10,[1]Hugst!$R$4:$W$4,0))))</f>
        <v>3492.225315576602</v>
      </c>
      <c r="AD277" s="168">
        <f ca="1">IF($C277-AD$1&lt;År1,0,AC276*(1-VLOOKUP($A277,[1]Hugst!$R$5:$W$9,MATCH(ROUNDUP((AD$1)/10,0)*10,[1]Hugst!$R$4:$W$4,0))))</f>
        <v>3496.4094569722984</v>
      </c>
      <c r="AE277" s="168">
        <f ca="1">IF($C277-AE$1&lt;År1,0,AD276*(1-VLOOKUP($A277,[1]Hugst!$R$5:$W$9,MATCH(ROUNDUP((AE$1)/10,0)*10,[1]Hugst!$R$4:$W$4,0))))</f>
        <v>3500.6172874166818</v>
      </c>
      <c r="AF277" s="168">
        <f ca="1">IF($C277-AF$1&lt;År1,0,AE276*(1-VLOOKUP($A277,[1]Hugst!$R$5:$W$9,MATCH(ROUNDUP((AF$1)/10,0)*10,[1]Hugst!$R$4:$W$4,0))))</f>
        <v>3504.8489166591498</v>
      </c>
      <c r="AG277" s="168">
        <f ca="1">IF($C277-AG$1&lt;År1,0,AF276*(1-VLOOKUP($A277,[1]Hugst!$R$5:$W$9,MATCH(ROUNDUP((AG$1)/10,0)*10,[1]Hugst!$R$4:$W$4,0))))</f>
        <v>3509.1044549644243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*VLOOKUP(A278,Skovbrug!$A$13:$D$17,IF('Skovbrug-alder'!C278&lt;=År2,3,4),FALSE)-IF(C278&gt;2020,SUM(INDEX($C$1:$D$311,MATCH(1,(2020=$C$1:$C$311)*(B278=$B$1:$B$311)*(A278=$A$1:$A$311),0),2):D277),0))</f>
        <v>945.23531442997046</v>
      </c>
      <c r="E278" s="168">
        <f t="shared" ca="1" si="6"/>
        <v>10.476911749428837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3386.5270409942141</v>
      </c>
      <c r="G278" s="168">
        <f ca="1">IF($C278-G$1&lt;År1,0,F277*(1-VLOOKUP($A278,[1]Hugst!$R$5:$W$9,MATCH(ROUNDUP((G$1)/10,0)*10,[1]Hugst!$R$4:$W$4,0))))</f>
        <v>3390.1214998577025</v>
      </c>
      <c r="H278" s="168">
        <f ca="1">IF($C278-H$1&lt;År1,0,G277*(1-VLOOKUP($A278,[1]Hugst!$R$5:$W$9,MATCH(ROUNDUP((H$1)/10,0)*10,[1]Hugst!$R$4:$W$4,0))))</f>
        <v>3393.7376915635805</v>
      </c>
      <c r="I278" s="168">
        <f ca="1">IF($C278-I$1&lt;År1,0,H277*(1-VLOOKUP($A278,[1]Hugst!$R$5:$W$9,MATCH(ROUNDUP((I$1)/10,0)*10,[1]Hugst!$R$4:$W$4,0))))</f>
        <v>3397.3757265458235</v>
      </c>
      <c r="J278" s="168">
        <f ca="1">IF($C278-J$1&lt;År1,0,I277*(1-VLOOKUP($A278,[1]Hugst!$R$5:$W$9,MATCH(ROUNDUP((J$1)/10,0)*10,[1]Hugst!$R$4:$W$4,0))))</f>
        <v>3401.035715793897</v>
      </c>
      <c r="K278" s="168">
        <f ca="1">IF($C278-K$1&lt;År1,0,J277*(1-VLOOKUP($A278,[1]Hugst!$R$5:$W$9,MATCH(ROUNDUP((K$1)/10,0)*10,[1]Hugst!$R$4:$W$4,0))))</f>
        <v>3404.71777085542</v>
      </c>
      <c r="L278" s="168">
        <f ca="1">IF($C278-L$1&lt;År1,0,K277*(1-VLOOKUP($A278,[1]Hugst!$R$5:$W$9,MATCH(ROUNDUP((L$1)/10,0)*10,[1]Hugst!$R$4:$W$4,0))))</f>
        <v>3408.4220038389003</v>
      </c>
      <c r="M278" s="168">
        <f ca="1">IF($C278-M$1&lt;År1,0,L277*(1-VLOOKUP($A278,[1]Hugst!$R$5:$W$9,MATCH(ROUNDUP((M$1)/10,0)*10,[1]Hugst!$R$4:$W$4,0))))</f>
        <v>3412.1485274166307</v>
      </c>
      <c r="N278" s="168">
        <f ca="1">IF($C278-N$1&lt;År1,0,M277*(1-VLOOKUP($A278,[1]Hugst!$R$5:$W$9,MATCH(ROUNDUP((N$1)/10,0)*10,[1]Hugst!$R$4:$W$4,0))))</f>
        <v>3415.8974548274973</v>
      </c>
      <c r="O278" s="168">
        <f ca="1">IF($C278-O$1&lt;År1,0,N277*(1-VLOOKUP($A278,[1]Hugst!$R$5:$W$9,MATCH(ROUNDUP((O$1)/10,0)*10,[1]Hugst!$R$4:$W$4,0))))</f>
        <v>3419.6688998798318</v>
      </c>
      <c r="P278" s="168">
        <f ca="1">IF($C278-P$1&lt;År1,0,O277*(1-VLOOKUP($A278,[1]Hugst!$R$5:$W$9,MATCH(ROUNDUP((P$1)/10,0)*10,[1]Hugst!$R$4:$W$4,0))))</f>
        <v>3424.638015885238</v>
      </c>
      <c r="Q278" s="168">
        <f ca="1">IF($C278-Q$1&lt;År1,0,P277*(1-VLOOKUP($A278,[1]Hugst!$R$5:$W$9,MATCH(ROUNDUP((Q$1)/10,0)*10,[1]Hugst!$R$4:$W$4,0))))</f>
        <v>3429.6321023227474</v>
      </c>
      <c r="R278" s="168">
        <f ca="1">IF($C278-R$1&lt;År1,0,Q277*(1-VLOOKUP($A278,[1]Hugst!$R$5:$W$9,MATCH(ROUNDUP((R$1)/10,0)*10,[1]Hugst!$R$4:$W$4,0))))</f>
        <v>3434.6512846720407</v>
      </c>
      <c r="S278" s="168">
        <f ca="1">IF($C278-S$1&lt;År1,0,R277*(1-VLOOKUP($A278,[1]Hugst!$R$5:$W$9,MATCH(ROUNDUP((S$1)/10,0)*10,[1]Hugst!$R$4:$W$4,0))))</f>
        <v>3439.6956890431875</v>
      </c>
      <c r="T278" s="168">
        <f ca="1">IF($C278-T$1&lt;År1,0,S277*(1-VLOOKUP($A278,[1]Hugst!$R$5:$W$9,MATCH(ROUNDUP((T$1)/10,0)*10,[1]Hugst!$R$4:$W$4,0))))</f>
        <v>3444.7654421799934</v>
      </c>
      <c r="U278" s="168">
        <f ca="1">IF($C278-U$1&lt;År1,0,T277*(1-VLOOKUP($A278,[1]Hugst!$R$5:$W$9,MATCH(ROUNDUP((U$1)/10,0)*10,[1]Hugst!$R$4:$W$4,0))))</f>
        <v>3449.8606714632306</v>
      </c>
      <c r="V278" s="168">
        <f ca="1">IF($C278-V$1&lt;År1,0,U277*(1-VLOOKUP($A278,[1]Hugst!$R$5:$W$9,MATCH(ROUNDUP((V$1)/10,0)*10,[1]Hugst!$R$4:$W$4,0))))</f>
        <v>3454.9815049137515</v>
      </c>
      <c r="W278" s="168">
        <f ca="1">IF($C278-W$1&lt;År1,0,V277*(1-VLOOKUP($A278,[1]Hugst!$R$5:$W$9,MATCH(ROUNDUP((W$1)/10,0)*10,[1]Hugst!$R$4:$W$4,0))))</f>
        <v>3460.1280711956033</v>
      </c>
      <c r="X278" s="168">
        <f ca="1">IF($C278-X$1&lt;År1,0,W277*(1-VLOOKUP($A278,[1]Hugst!$R$5:$W$9,MATCH(ROUNDUP((X$1)/10,0)*10,[1]Hugst!$R$4:$W$4,0))))</f>
        <v>3465.3004996196937</v>
      </c>
      <c r="Y278" s="168">
        <f ca="1">IF($C278-Y$1&lt;År1,0,X277*(1-VLOOKUP($A278,[1]Hugst!$R$5:$W$9,MATCH(ROUNDUP((Y$1)/10,0)*10,[1]Hugst!$R$4:$W$4,0))))</f>
        <v>3470.498920146299</v>
      </c>
      <c r="Z278" s="168">
        <f ca="1">IF($C278-Z$1&lt;År1,0,Y277*(1-VLOOKUP($A278,[1]Hugst!$R$5:$W$9,MATCH(ROUNDUP((Z$1)/10,0)*10,[1]Hugst!$R$4:$W$4,0))))</f>
        <v>3474.5648889014219</v>
      </c>
      <c r="AA278" s="168">
        <f ca="1">IF($C278-AA$1&lt;År1,0,Z277*(1-VLOOKUP($A278,[1]Hugst!$R$5:$W$9,MATCH(ROUNDUP((AA$1)/10,0)*10,[1]Hugst!$R$4:$W$4,0))))</f>
        <v>3478.653997886061</v>
      </c>
      <c r="AB278" s="168">
        <f ca="1">IF($C278-AB$1&lt;År1,0,AA277*(1-VLOOKUP($A278,[1]Hugst!$R$5:$W$9,MATCH(ROUNDUP((AB$1)/10,0)*10,[1]Hugst!$R$4:$W$4,0))))</f>
        <v>3482.7663542738851</v>
      </c>
      <c r="AC278" s="168">
        <f ca="1">IF($C278-AC$1&lt;År1,0,AB277*(1-VLOOKUP($A278,[1]Hugst!$R$5:$W$9,MATCH(ROUNDUP((AC$1)/10,0)*10,[1]Hugst!$R$4:$W$4,0))))</f>
        <v>3486.9020657416054</v>
      </c>
      <c r="AD278" s="168">
        <f ca="1">IF($C278-AD$1&lt;År1,0,AC277*(1-VLOOKUP($A278,[1]Hugst!$R$5:$W$9,MATCH(ROUNDUP((AD$1)/10,0)*10,[1]Hugst!$R$4:$W$4,0))))</f>
        <v>3491.0612404714097</v>
      </c>
      <c r="AE278" s="168">
        <f ca="1">IF($C278-AE$1&lt;År1,0,AD277*(1-VLOOKUP($A278,[1]Hugst!$R$5:$W$9,MATCH(ROUNDUP((AE$1)/10,0)*10,[1]Hugst!$R$4:$W$4,0))))</f>
        <v>3495.2439871533079</v>
      </c>
      <c r="AF278" s="168">
        <f ca="1">IF($C278-AF$1&lt;År1,0,AE277*(1-VLOOKUP($A278,[1]Hugst!$R$5:$W$9,MATCH(ROUNDUP((AF$1)/10,0)*10,[1]Hugst!$R$4:$W$4,0))))</f>
        <v>3499.4504149875429</v>
      </c>
      <c r="AG278" s="168">
        <f ca="1">IF($C278-AG$1&lt;År1,0,AF277*(1-VLOOKUP($A278,[1]Hugst!$R$5:$W$9,MATCH(ROUNDUP((AG$1)/10,0)*10,[1]Hugst!$R$4:$W$4,0))))</f>
        <v>3503.6806336869304</v>
      </c>
      <c r="AH278" s="168">
        <f ca="1">IF($C278-AH$1&lt;År1,0,AG277*(1-VLOOKUP($A278,[1]Hugst!$R$5:$W$9,MATCH(ROUNDUP((AH$1)/10,0)*10,[1]Hugst!$R$4:$W$4,0))))</f>
        <v>3507.9347534794365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*VLOOKUP(A279,Skovbrug!$A$13:$D$17,IF('Skovbrug-alder'!C279&lt;=År2,3,4),FALSE)-IF(C279&gt;2020,SUM(INDEX($C$1:$D$311,MATCH(1,(2020=$C$1:$C$311)*(B279=$B$1:$B$311)*(A279=$A$1:$A$311),0),2):D278),0))</f>
        <v>940.50913785782177</v>
      </c>
      <c r="E279" s="168">
        <f t="shared" ca="1" si="6"/>
        <v>11.630252418952296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3382.9542050915888</v>
      </c>
      <c r="G279" s="168">
        <f ca="1">IF($C279-G$1&lt;År1,0,F278*(1-VLOOKUP($A279,[1]Hugst!$R$5:$W$9,MATCH(ROUNDUP((G$1)/10,0)*10,[1]Hugst!$R$4:$W$4,0))))</f>
        <v>3386.5270409942141</v>
      </c>
      <c r="H279" s="168">
        <f ca="1">IF($C279-H$1&lt;År1,0,G278*(1-VLOOKUP($A279,[1]Hugst!$R$5:$W$9,MATCH(ROUNDUP((H$1)/10,0)*10,[1]Hugst!$R$4:$W$4,0))))</f>
        <v>3390.1214998577025</v>
      </c>
      <c r="I279" s="168">
        <f ca="1">IF($C279-I$1&lt;År1,0,H278*(1-VLOOKUP($A279,[1]Hugst!$R$5:$W$9,MATCH(ROUNDUP((I$1)/10,0)*10,[1]Hugst!$R$4:$W$4,0))))</f>
        <v>3393.7376915635805</v>
      </c>
      <c r="J279" s="168">
        <f ca="1">IF($C279-J$1&lt;År1,0,I278*(1-VLOOKUP($A279,[1]Hugst!$R$5:$W$9,MATCH(ROUNDUP((J$1)/10,0)*10,[1]Hugst!$R$4:$W$4,0))))</f>
        <v>3397.3757265458235</v>
      </c>
      <c r="K279" s="168">
        <f ca="1">IF($C279-K$1&lt;År1,0,J278*(1-VLOOKUP($A279,[1]Hugst!$R$5:$W$9,MATCH(ROUNDUP((K$1)/10,0)*10,[1]Hugst!$R$4:$W$4,0))))</f>
        <v>3401.035715793897</v>
      </c>
      <c r="L279" s="168">
        <f ca="1">IF($C279-L$1&lt;År1,0,K278*(1-VLOOKUP($A279,[1]Hugst!$R$5:$W$9,MATCH(ROUNDUP((L$1)/10,0)*10,[1]Hugst!$R$4:$W$4,0))))</f>
        <v>3404.71777085542</v>
      </c>
      <c r="M279" s="168">
        <f ca="1">IF($C279-M$1&lt;År1,0,L278*(1-VLOOKUP($A279,[1]Hugst!$R$5:$W$9,MATCH(ROUNDUP((M$1)/10,0)*10,[1]Hugst!$R$4:$W$4,0))))</f>
        <v>3408.4220038389003</v>
      </c>
      <c r="N279" s="168">
        <f ca="1">IF($C279-N$1&lt;År1,0,M278*(1-VLOOKUP($A279,[1]Hugst!$R$5:$W$9,MATCH(ROUNDUP((N$1)/10,0)*10,[1]Hugst!$R$4:$W$4,0))))</f>
        <v>3412.1485274166307</v>
      </c>
      <c r="O279" s="168">
        <f ca="1">IF($C279-O$1&lt;År1,0,N278*(1-VLOOKUP($A279,[1]Hugst!$R$5:$W$9,MATCH(ROUNDUP((O$1)/10,0)*10,[1]Hugst!$R$4:$W$4,0))))</f>
        <v>3415.8974548274973</v>
      </c>
      <c r="P279" s="168">
        <f ca="1">IF($C279-P$1&lt;År1,0,O278*(1-VLOOKUP($A279,[1]Hugst!$R$5:$W$9,MATCH(ROUNDUP((P$1)/10,0)*10,[1]Hugst!$R$4:$W$4,0))))</f>
        <v>3419.6688998798318</v>
      </c>
      <c r="Q279" s="168">
        <f ca="1">IF($C279-Q$1&lt;År1,0,P278*(1-VLOOKUP($A279,[1]Hugst!$R$5:$W$9,MATCH(ROUNDUP((Q$1)/10,0)*10,[1]Hugst!$R$4:$W$4,0))))</f>
        <v>3424.638015885238</v>
      </c>
      <c r="R279" s="168">
        <f ca="1">IF($C279-R$1&lt;År1,0,Q278*(1-VLOOKUP($A279,[1]Hugst!$R$5:$W$9,MATCH(ROUNDUP((R$1)/10,0)*10,[1]Hugst!$R$4:$W$4,0))))</f>
        <v>3429.6321023227474</v>
      </c>
      <c r="S279" s="168">
        <f ca="1">IF($C279-S$1&lt;År1,0,R278*(1-VLOOKUP($A279,[1]Hugst!$R$5:$W$9,MATCH(ROUNDUP((S$1)/10,0)*10,[1]Hugst!$R$4:$W$4,0))))</f>
        <v>3434.6512846720407</v>
      </c>
      <c r="T279" s="168">
        <f ca="1">IF($C279-T$1&lt;År1,0,S278*(1-VLOOKUP($A279,[1]Hugst!$R$5:$W$9,MATCH(ROUNDUP((T$1)/10,0)*10,[1]Hugst!$R$4:$W$4,0))))</f>
        <v>3439.6956890431875</v>
      </c>
      <c r="U279" s="168">
        <f ca="1">IF($C279-U$1&lt;År1,0,T278*(1-VLOOKUP($A279,[1]Hugst!$R$5:$W$9,MATCH(ROUNDUP((U$1)/10,0)*10,[1]Hugst!$R$4:$W$4,0))))</f>
        <v>3444.7654421799934</v>
      </c>
      <c r="V279" s="168">
        <f ca="1">IF($C279-V$1&lt;År1,0,U278*(1-VLOOKUP($A279,[1]Hugst!$R$5:$W$9,MATCH(ROUNDUP((V$1)/10,0)*10,[1]Hugst!$R$4:$W$4,0))))</f>
        <v>3449.8606714632306</v>
      </c>
      <c r="W279" s="168">
        <f ca="1">IF($C279-W$1&lt;År1,0,V278*(1-VLOOKUP($A279,[1]Hugst!$R$5:$W$9,MATCH(ROUNDUP((W$1)/10,0)*10,[1]Hugst!$R$4:$W$4,0))))</f>
        <v>3454.9815049137515</v>
      </c>
      <c r="X279" s="168">
        <f ca="1">IF($C279-X$1&lt;År1,0,W278*(1-VLOOKUP($A279,[1]Hugst!$R$5:$W$9,MATCH(ROUNDUP((X$1)/10,0)*10,[1]Hugst!$R$4:$W$4,0))))</f>
        <v>3460.1280711956033</v>
      </c>
      <c r="Y279" s="168">
        <f ca="1">IF($C279-Y$1&lt;År1,0,X278*(1-VLOOKUP($A279,[1]Hugst!$R$5:$W$9,MATCH(ROUNDUP((Y$1)/10,0)*10,[1]Hugst!$R$4:$W$4,0))))</f>
        <v>3465.3004996196937</v>
      </c>
      <c r="Z279" s="168">
        <f ca="1">IF($C279-Z$1&lt;År1,0,Y278*(1-VLOOKUP($A279,[1]Hugst!$R$5:$W$9,MATCH(ROUNDUP((Z$1)/10,0)*10,[1]Hugst!$R$4:$W$4,0))))</f>
        <v>3469.3420871729172</v>
      </c>
      <c r="AA279" s="168">
        <f ca="1">IF($C279-AA$1&lt;År1,0,Z278*(1-VLOOKUP($A279,[1]Hugst!$R$5:$W$9,MATCH(ROUNDUP((AA$1)/10,0)*10,[1]Hugst!$R$4:$W$4,0))))</f>
        <v>3473.4067006051214</v>
      </c>
      <c r="AB279" s="168">
        <f ca="1">IF($C279-AB$1&lt;År1,0,AA278*(1-VLOOKUP($A279,[1]Hugst!$R$5:$W$9,MATCH(ROUNDUP((AB$1)/10,0)*10,[1]Hugst!$R$4:$W$4,0))))</f>
        <v>3477.4944465534322</v>
      </c>
      <c r="AC279" s="168">
        <f ca="1">IF($C279-AC$1&lt;År1,0,AB278*(1-VLOOKUP($A279,[1]Hugst!$R$5:$W$9,MATCH(ROUNDUP((AC$1)/10,0)*10,[1]Hugst!$R$4:$W$4,0))))</f>
        <v>3481.605432155794</v>
      </c>
      <c r="AD279" s="168">
        <f ca="1">IF($C279-AD$1&lt;År1,0,AC278*(1-VLOOKUP($A279,[1]Hugst!$R$5:$W$9,MATCH(ROUNDUP((AD$1)/10,0)*10,[1]Hugst!$R$4:$W$4,0))))</f>
        <v>3485.7397650530252</v>
      </c>
      <c r="AE279" s="168">
        <f ca="1">IF($C279-AE$1&lt;År1,0,AD278*(1-VLOOKUP($A279,[1]Hugst!$R$5:$W$9,MATCH(ROUNDUP((AE$1)/10,0)*10,[1]Hugst!$R$4:$W$4,0))))</f>
        <v>3489.8975533912526</v>
      </c>
      <c r="AF279" s="168">
        <f ca="1">IF($C279-AF$1&lt;År1,0,AE278*(1-VLOOKUP($A279,[1]Hugst!$R$5:$W$9,MATCH(ROUNDUP((AF$1)/10,0)*10,[1]Hugst!$R$4:$W$4,0))))</f>
        <v>3494.0789058242567</v>
      </c>
      <c r="AG279" s="168">
        <f ca="1">IF($C279-AG$1&lt;År1,0,AF278*(1-VLOOKUP($A279,[1]Hugst!$R$5:$W$9,MATCH(ROUNDUP((AG$1)/10,0)*10,[1]Hugst!$R$4:$W$4,0))))</f>
        <v>3498.2839315158803</v>
      </c>
      <c r="AH279" s="168">
        <f ca="1">IF($C279-AH$1&lt;År1,0,AG278*(1-VLOOKUP($A279,[1]Hugst!$R$5:$W$9,MATCH(ROUNDUP((AH$1)/10,0)*10,[1]Hugst!$R$4:$W$4,0))))</f>
        <v>3502.5127401423683</v>
      </c>
      <c r="AI279" s="168">
        <f ca="1">IF($C279-AI$1&lt;År1,0,AH278*(1-VLOOKUP($A279,[1]Hugst!$R$5:$W$9,MATCH(ROUNDUP((AI$1)/10,0)*10,[1]Hugst!$R$4:$W$4,0))))</f>
        <v>3506.7654418949433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*VLOOKUP(A280,Skovbrug!$A$13:$D$17,IF('Skovbrug-alder'!C280&lt;=År2,3,4),FALSE)-IF(C280&gt;2020,SUM(INDEX($C$1:$D$311,MATCH(1,(2020=$C$1:$C$311)*(B280=$B$1:$B$311)*(A280=$A$1:$A$311),0),2):D279),0))</f>
        <v>935.80659216854838</v>
      </c>
      <c r="E280" s="168">
        <f t="shared" ca="1" si="6"/>
        <v>20.963928532364662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3387.5853355157278</v>
      </c>
      <c r="G280" s="168">
        <f ca="1">IF($C280-G$1&lt;År1,0,F279*(1-VLOOKUP($A280,[1]Hugst!$R$5:$W$9,MATCH(ROUNDUP((G$1)/10,0)*10,[1]Hugst!$R$4:$W$4,0))))</f>
        <v>3382.9542050915888</v>
      </c>
      <c r="H280" s="168">
        <f ca="1">IF($C280-H$1&lt;År1,0,G279*(1-VLOOKUP($A280,[1]Hugst!$R$5:$W$9,MATCH(ROUNDUP((H$1)/10,0)*10,[1]Hugst!$R$4:$W$4,0))))</f>
        <v>3386.5270409942141</v>
      </c>
      <c r="I280" s="168">
        <f ca="1">IF($C280-I$1&lt;År1,0,H279*(1-VLOOKUP($A280,[1]Hugst!$R$5:$W$9,MATCH(ROUNDUP((I$1)/10,0)*10,[1]Hugst!$R$4:$W$4,0))))</f>
        <v>3390.1214998577025</v>
      </c>
      <c r="J280" s="168">
        <f ca="1">IF($C280-J$1&lt;År1,0,I279*(1-VLOOKUP($A280,[1]Hugst!$R$5:$W$9,MATCH(ROUNDUP((J$1)/10,0)*10,[1]Hugst!$R$4:$W$4,0))))</f>
        <v>3393.7376915635805</v>
      </c>
      <c r="K280" s="168">
        <f ca="1">IF($C280-K$1&lt;År1,0,J279*(1-VLOOKUP($A280,[1]Hugst!$R$5:$W$9,MATCH(ROUNDUP((K$1)/10,0)*10,[1]Hugst!$R$4:$W$4,0))))</f>
        <v>3397.3757265458235</v>
      </c>
      <c r="L280" s="168">
        <f ca="1">IF($C280-L$1&lt;År1,0,K279*(1-VLOOKUP($A280,[1]Hugst!$R$5:$W$9,MATCH(ROUNDUP((L$1)/10,0)*10,[1]Hugst!$R$4:$W$4,0))))</f>
        <v>3401.035715793897</v>
      </c>
      <c r="M280" s="168">
        <f ca="1">IF($C280-M$1&lt;År1,0,L279*(1-VLOOKUP($A280,[1]Hugst!$R$5:$W$9,MATCH(ROUNDUP((M$1)/10,0)*10,[1]Hugst!$R$4:$W$4,0))))</f>
        <v>3404.71777085542</v>
      </c>
      <c r="N280" s="168">
        <f ca="1">IF($C280-N$1&lt;År1,0,M279*(1-VLOOKUP($A280,[1]Hugst!$R$5:$W$9,MATCH(ROUNDUP((N$1)/10,0)*10,[1]Hugst!$R$4:$W$4,0))))</f>
        <v>3408.4220038389003</v>
      </c>
      <c r="O280" s="168">
        <f ca="1">IF($C280-O$1&lt;År1,0,N279*(1-VLOOKUP($A280,[1]Hugst!$R$5:$W$9,MATCH(ROUNDUP((O$1)/10,0)*10,[1]Hugst!$R$4:$W$4,0))))</f>
        <v>3412.1485274166307</v>
      </c>
      <c r="P280" s="168">
        <f ca="1">IF($C280-P$1&lt;År1,0,O279*(1-VLOOKUP($A280,[1]Hugst!$R$5:$W$9,MATCH(ROUNDUP((P$1)/10,0)*10,[1]Hugst!$R$4:$W$4,0))))</f>
        <v>3415.8974548274973</v>
      </c>
      <c r="Q280" s="168">
        <f ca="1">IF($C280-Q$1&lt;År1,0,P279*(1-VLOOKUP($A280,[1]Hugst!$R$5:$W$9,MATCH(ROUNDUP((Q$1)/10,0)*10,[1]Hugst!$R$4:$W$4,0))))</f>
        <v>3419.6688998798318</v>
      </c>
      <c r="R280" s="168">
        <f ca="1">IF($C280-R$1&lt;År1,0,Q279*(1-VLOOKUP($A280,[1]Hugst!$R$5:$W$9,MATCH(ROUNDUP((R$1)/10,0)*10,[1]Hugst!$R$4:$W$4,0))))</f>
        <v>3424.638015885238</v>
      </c>
      <c r="S280" s="168">
        <f ca="1">IF($C280-S$1&lt;År1,0,R279*(1-VLOOKUP($A280,[1]Hugst!$R$5:$W$9,MATCH(ROUNDUP((S$1)/10,0)*10,[1]Hugst!$R$4:$W$4,0))))</f>
        <v>3429.6321023227474</v>
      </c>
      <c r="T280" s="168">
        <f ca="1">IF($C280-T$1&lt;År1,0,S279*(1-VLOOKUP($A280,[1]Hugst!$R$5:$W$9,MATCH(ROUNDUP((T$1)/10,0)*10,[1]Hugst!$R$4:$W$4,0))))</f>
        <v>3434.6512846720407</v>
      </c>
      <c r="U280" s="168">
        <f ca="1">IF($C280-U$1&lt;År1,0,T279*(1-VLOOKUP($A280,[1]Hugst!$R$5:$W$9,MATCH(ROUNDUP((U$1)/10,0)*10,[1]Hugst!$R$4:$W$4,0))))</f>
        <v>3439.6956890431875</v>
      </c>
      <c r="V280" s="168">
        <f ca="1">IF($C280-V$1&lt;År1,0,U279*(1-VLOOKUP($A280,[1]Hugst!$R$5:$W$9,MATCH(ROUNDUP((V$1)/10,0)*10,[1]Hugst!$R$4:$W$4,0))))</f>
        <v>3444.7654421799934</v>
      </c>
      <c r="W280" s="168">
        <f ca="1">IF($C280-W$1&lt;År1,0,V279*(1-VLOOKUP($A280,[1]Hugst!$R$5:$W$9,MATCH(ROUNDUP((W$1)/10,0)*10,[1]Hugst!$R$4:$W$4,0))))</f>
        <v>3449.8606714632306</v>
      </c>
      <c r="X280" s="168">
        <f ca="1">IF($C280-X$1&lt;År1,0,W279*(1-VLOOKUP($A280,[1]Hugst!$R$5:$W$9,MATCH(ROUNDUP((X$1)/10,0)*10,[1]Hugst!$R$4:$W$4,0))))</f>
        <v>3454.9815049137515</v>
      </c>
      <c r="Y280" s="168">
        <f ca="1">IF($C280-Y$1&lt;År1,0,X279*(1-VLOOKUP($A280,[1]Hugst!$R$5:$W$9,MATCH(ROUNDUP((Y$1)/10,0)*10,[1]Hugst!$R$4:$W$4,0))))</f>
        <v>3460.1280711956033</v>
      </c>
      <c r="Z280" s="168">
        <f ca="1">IF($C280-Z$1&lt;År1,0,Y279*(1-VLOOKUP($A280,[1]Hugst!$R$5:$W$9,MATCH(ROUNDUP((Z$1)/10,0)*10,[1]Hugst!$R$4:$W$4,0))))</f>
        <v>3464.1453994531539</v>
      </c>
      <c r="AA280" s="168">
        <f ca="1">IF($C280-AA$1&lt;År1,0,Z279*(1-VLOOKUP($A280,[1]Hugst!$R$5:$W$9,MATCH(ROUNDUP((AA$1)/10,0)*10,[1]Hugst!$R$4:$W$4,0))))</f>
        <v>3468.1856398105265</v>
      </c>
      <c r="AB280" s="168">
        <f ca="1">IF($C280-AB$1&lt;År1,0,AA279*(1-VLOOKUP($A280,[1]Hugst!$R$5:$W$9,MATCH(ROUNDUP((AB$1)/10,0)*10,[1]Hugst!$R$4:$W$4,0))))</f>
        <v>3472.2488983715866</v>
      </c>
      <c r="AC280" s="168">
        <f ca="1">IF($C280-AC$1&lt;År1,0,AB279*(1-VLOOKUP($A280,[1]Hugst!$R$5:$W$9,MATCH(ROUNDUP((AC$1)/10,0)*10,[1]Hugst!$R$4:$W$4,0))))</f>
        <v>3476.3352817379146</v>
      </c>
      <c r="AD280" s="168">
        <f ca="1">IF($C280-AD$1&lt;År1,0,AC279*(1-VLOOKUP($A280,[1]Hugst!$R$5:$W$9,MATCH(ROUNDUP((AD$1)/10,0)*10,[1]Hugst!$R$4:$W$4,0))))</f>
        <v>3480.4448970117423</v>
      </c>
      <c r="AE280" s="168">
        <f ca="1">IF($C280-AE$1&lt;År1,0,AD279*(1-VLOOKUP($A280,[1]Hugst!$R$5:$W$9,MATCH(ROUNDUP((AE$1)/10,0)*10,[1]Hugst!$R$4:$W$4,0))))</f>
        <v>3484.5778517980075</v>
      </c>
      <c r="AF280" s="168">
        <f ca="1">IF($C280-AF$1&lt;År1,0,AE279*(1-VLOOKUP($A280,[1]Hugst!$R$5:$W$9,MATCH(ROUNDUP((AF$1)/10,0)*10,[1]Hugst!$R$4:$W$4,0))))</f>
        <v>3488.734254206789</v>
      </c>
      <c r="AG280" s="168">
        <f ca="1">IF($C280-AG$1&lt;År1,0,AF279*(1-VLOOKUP($A280,[1]Hugst!$R$5:$W$9,MATCH(ROUNDUP((AG$1)/10,0)*10,[1]Hugst!$R$4:$W$4,0))))</f>
        <v>3492.9142128556487</v>
      </c>
      <c r="AH280" s="168">
        <f ca="1">IF($C280-AH$1&lt;År1,0,AG279*(1-VLOOKUP($A280,[1]Hugst!$R$5:$W$9,MATCH(ROUNDUP((AH$1)/10,0)*10,[1]Hugst!$R$4:$W$4,0))))</f>
        <v>3497.1178368720421</v>
      </c>
      <c r="AI280" s="168">
        <f ca="1">IF($C280-AI$1&lt;År1,0,AH279*(1-VLOOKUP($A280,[1]Hugst!$R$5:$W$9,MATCH(ROUNDUP((AI$1)/10,0)*10,[1]Hugst!$R$4:$W$4,0))))</f>
        <v>3501.3452358956542</v>
      </c>
      <c r="AJ280" s="168">
        <f ca="1">IF($C280-AJ$1&lt;År1,0,AI279*(1-VLOOKUP($A280,[1]Hugst!$R$5:$W$9,MATCH(ROUNDUP((AJ$1)/10,0)*10,[1]Hugst!$R$4:$W$4,0))))</f>
        <v>3497.4140673832235</v>
      </c>
    </row>
    <row r="281" spans="1:36" x14ac:dyDescent="0.25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*VLOOKUP(A281,Skovbrug!$A$13:$D$17,IF('Skovbrug-alder'!C281&lt;=År2,3,4),FALSE)-IF(C281&gt;2020,SUM(INDEX($C$1:$D$311,MATCH(1,(2020=$C$1:$C$311)*(B281=$B$1:$B$311)*(A281=$A$1:$A$311),0),2):D280),0))</f>
        <v>318.36369594233838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687.54888112752417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*VLOOKUP(A282,Skovbrug!$A$13:$D$17,IF('Skovbrug-alder'!C282&lt;=År2,3,4),FALSE)-IF(C282&gt;2020,SUM(INDEX($C$1:$D$311,MATCH(1,(2020=$C$1:$C$311)*(B282=$B$1:$B$311)*(A282=$A$1:$A$311),0),2):D281),0))</f>
        <v>316.77187746262643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685.95706264781222</v>
      </c>
      <c r="G282" s="168">
        <f ca="1">IF($C282-G$1&lt;År1,0,F281*(1-VLOOKUP($A282,[1]Hugst!$R$5:$W$9,MATCH(ROUNDUP((G$1)/10,0)*10,[1]Hugst!$R$4:$W$4,0))))</f>
        <v>687.54888112752417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*VLOOKUP(A283,Skovbrug!$A$13:$D$17,IF('Skovbrug-alder'!C283&lt;=År2,3,4),FALSE)-IF(C283&gt;2020,SUM(INDEX($C$1:$D$311,MATCH(1,(2020=$C$1:$C$311)*(B283=$B$1:$B$311)*(A283=$A$1:$A$311),0),2):D282),0))</f>
        <v>315.18801807531418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684.37320326049996</v>
      </c>
      <c r="G283" s="168">
        <f ca="1">IF($C283-G$1&lt;År1,0,F282*(1-VLOOKUP($A283,[1]Hugst!$R$5:$W$9,MATCH(ROUNDUP((G$1)/10,0)*10,[1]Hugst!$R$4:$W$4,0))))</f>
        <v>685.95706264781222</v>
      </c>
      <c r="H283" s="168">
        <f ca="1">IF($C283-H$1&lt;År1,0,G282*(1-VLOOKUP($A283,[1]Hugst!$R$5:$W$9,MATCH(ROUNDUP((H$1)/10,0)*10,[1]Hugst!$R$4:$W$4,0))))</f>
        <v>687.54888112752417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*VLOOKUP(A284,Skovbrug!$A$13:$D$17,IF('Skovbrug-alder'!C284&lt;=År2,3,4),FALSE)-IF(C284&gt;2020,SUM(INDEX($C$1:$D$311,MATCH(1,(2020=$C$1:$C$311)*(B284=$B$1:$B$311)*(A284=$A$1:$A$311),0),2):D283),0))</f>
        <v>313.61207798492978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682.79726317011557</v>
      </c>
      <c r="G284" s="168">
        <f ca="1">IF($C284-G$1&lt;År1,0,F283*(1-VLOOKUP($A284,[1]Hugst!$R$5:$W$9,MATCH(ROUNDUP((G$1)/10,0)*10,[1]Hugst!$R$4:$W$4,0))))</f>
        <v>684.37320326049996</v>
      </c>
      <c r="H284" s="168">
        <f ca="1">IF($C284-H$1&lt;År1,0,G283*(1-VLOOKUP($A284,[1]Hugst!$R$5:$W$9,MATCH(ROUNDUP((H$1)/10,0)*10,[1]Hugst!$R$4:$W$4,0))))</f>
        <v>685.95706264781222</v>
      </c>
      <c r="I284" s="168">
        <f ca="1">IF($C284-I$1&lt;År1,0,H283*(1-VLOOKUP($A284,[1]Hugst!$R$5:$W$9,MATCH(ROUNDUP((I$1)/10,0)*10,[1]Hugst!$R$4:$W$4,0))))</f>
        <v>687.54888112752417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*VLOOKUP(A285,Skovbrug!$A$13:$D$17,IF('Skovbrug-alder'!C285&lt;=År2,3,4),FALSE)-IF(C285&gt;2020,SUM(INDEX($C$1:$D$311,MATCH(1,(2020=$C$1:$C$311)*(B285=$B$1:$B$311)*(A285=$A$1:$A$311),0),2):D284),0))</f>
        <v>312.04401759501343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681.22920278019922</v>
      </c>
      <c r="G285" s="168">
        <f ca="1">IF($C285-G$1&lt;År1,0,F284*(1-VLOOKUP($A285,[1]Hugst!$R$5:$W$9,MATCH(ROUNDUP((G$1)/10,0)*10,[1]Hugst!$R$4:$W$4,0))))</f>
        <v>682.79726317011557</v>
      </c>
      <c r="H285" s="168">
        <f ca="1">IF($C285-H$1&lt;År1,0,G284*(1-VLOOKUP($A285,[1]Hugst!$R$5:$W$9,MATCH(ROUNDUP((H$1)/10,0)*10,[1]Hugst!$R$4:$W$4,0))))</f>
        <v>684.37320326049996</v>
      </c>
      <c r="I285" s="168">
        <f ca="1">IF($C285-I$1&lt;År1,0,H284*(1-VLOOKUP($A285,[1]Hugst!$R$5:$W$9,MATCH(ROUNDUP((I$1)/10,0)*10,[1]Hugst!$R$4:$W$4,0))))</f>
        <v>685.95706264781222</v>
      </c>
      <c r="J285" s="168">
        <f ca="1">IF($C285-J$1&lt;År1,0,I284*(1-VLOOKUP($A285,[1]Hugst!$R$5:$W$9,MATCH(ROUNDUP((J$1)/10,0)*10,[1]Hugst!$R$4:$W$4,0))))</f>
        <v>687.54888112752417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*VLOOKUP(A286,Skovbrug!$A$13:$D$17,IF('Skovbrug-alder'!C286&lt;=År2,3,4),FALSE)-IF(C286&gt;2020,SUM(INDEX($C$1:$D$311,MATCH(1,(2020=$C$1:$C$311)*(B286=$B$1:$B$311)*(A286=$A$1:$A$311),0),2):D285),0))</f>
        <v>310.48379750703316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679.66898269221895</v>
      </c>
      <c r="G286" s="168">
        <f ca="1">IF($C286-G$1&lt;År1,0,F285*(1-VLOOKUP($A286,[1]Hugst!$R$5:$W$9,MATCH(ROUNDUP((G$1)/10,0)*10,[1]Hugst!$R$4:$W$4,0))))</f>
        <v>681.22920278019922</v>
      </c>
      <c r="H286" s="168">
        <f ca="1">IF($C286-H$1&lt;År1,0,G285*(1-VLOOKUP($A286,[1]Hugst!$R$5:$W$9,MATCH(ROUNDUP((H$1)/10,0)*10,[1]Hugst!$R$4:$W$4,0))))</f>
        <v>682.79726317011557</v>
      </c>
      <c r="I286" s="168">
        <f ca="1">IF($C286-I$1&lt;År1,0,H285*(1-VLOOKUP($A286,[1]Hugst!$R$5:$W$9,MATCH(ROUNDUP((I$1)/10,0)*10,[1]Hugst!$R$4:$W$4,0))))</f>
        <v>684.37320326049996</v>
      </c>
      <c r="J286" s="168">
        <f ca="1">IF($C286-J$1&lt;År1,0,I285*(1-VLOOKUP($A286,[1]Hugst!$R$5:$W$9,MATCH(ROUNDUP((J$1)/10,0)*10,[1]Hugst!$R$4:$W$4,0))))</f>
        <v>685.95706264781222</v>
      </c>
      <c r="K286" s="168">
        <f ca="1">IF($C286-K$1&lt;År1,0,J285*(1-VLOOKUP($A286,[1]Hugst!$R$5:$W$9,MATCH(ROUNDUP((K$1)/10,0)*10,[1]Hugst!$R$4:$W$4,0))))</f>
        <v>687.54888112752417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*VLOOKUP(A287,Skovbrug!$A$13:$D$17,IF('Skovbrug-alder'!C287&lt;=År2,3,4),FALSE)-IF(C287&gt;2020,SUM(INDEX($C$1:$D$311,MATCH(1,(2020=$C$1:$C$311)*(B287=$B$1:$B$311)*(A287=$A$1:$A$311),0),2):D286),0))</f>
        <v>308.93137851951178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678.11656370469757</v>
      </c>
      <c r="G287" s="168">
        <f ca="1">IF($C287-G$1&lt;År1,0,F286*(1-VLOOKUP($A287,[1]Hugst!$R$5:$W$9,MATCH(ROUNDUP((G$1)/10,0)*10,[1]Hugst!$R$4:$W$4,0))))</f>
        <v>679.66898269221895</v>
      </c>
      <c r="H287" s="168">
        <f ca="1">IF($C287-H$1&lt;År1,0,G286*(1-VLOOKUP($A287,[1]Hugst!$R$5:$W$9,MATCH(ROUNDUP((H$1)/10,0)*10,[1]Hugst!$R$4:$W$4,0))))</f>
        <v>681.22920278019922</v>
      </c>
      <c r="I287" s="168">
        <f ca="1">IF($C287-I$1&lt;År1,0,H286*(1-VLOOKUP($A287,[1]Hugst!$R$5:$W$9,MATCH(ROUNDUP((I$1)/10,0)*10,[1]Hugst!$R$4:$W$4,0))))</f>
        <v>682.79726317011557</v>
      </c>
      <c r="J287" s="168">
        <f ca="1">IF($C287-J$1&lt;År1,0,I286*(1-VLOOKUP($A287,[1]Hugst!$R$5:$W$9,MATCH(ROUNDUP((J$1)/10,0)*10,[1]Hugst!$R$4:$W$4,0))))</f>
        <v>684.37320326049996</v>
      </c>
      <c r="K287" s="168">
        <f ca="1">IF($C287-K$1&lt;År1,0,J286*(1-VLOOKUP($A287,[1]Hugst!$R$5:$W$9,MATCH(ROUNDUP((K$1)/10,0)*10,[1]Hugst!$R$4:$W$4,0))))</f>
        <v>685.95706264781222</v>
      </c>
      <c r="L287" s="168">
        <f ca="1">IF($C287-L$1&lt;År1,0,K286*(1-VLOOKUP($A287,[1]Hugst!$R$5:$W$9,MATCH(ROUNDUP((L$1)/10,0)*10,[1]Hugst!$R$4:$W$4,0))))</f>
        <v>687.54888112752417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*VLOOKUP(A288,Skovbrug!$A$13:$D$17,IF('Skovbrug-alder'!C288&lt;=År2,3,4),FALSE)-IF(C288&gt;2020,SUM(INDEX($C$1:$D$311,MATCH(1,(2020=$C$1:$C$311)*(B288=$B$1:$B$311)*(A288=$A$1:$A$311),0),2):D287),0))</f>
        <v>307.38672162689909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676.57190681208488</v>
      </c>
      <c r="G288" s="168">
        <f ca="1">IF($C288-G$1&lt;År1,0,F287*(1-VLOOKUP($A288,[1]Hugst!$R$5:$W$9,MATCH(ROUNDUP((G$1)/10,0)*10,[1]Hugst!$R$4:$W$4,0))))</f>
        <v>678.11656370469757</v>
      </c>
      <c r="H288" s="168">
        <f ca="1">IF($C288-H$1&lt;År1,0,G287*(1-VLOOKUP($A288,[1]Hugst!$R$5:$W$9,MATCH(ROUNDUP((H$1)/10,0)*10,[1]Hugst!$R$4:$W$4,0))))</f>
        <v>679.66898269221895</v>
      </c>
      <c r="I288" s="168">
        <f ca="1">IF($C288-I$1&lt;År1,0,H287*(1-VLOOKUP($A288,[1]Hugst!$R$5:$W$9,MATCH(ROUNDUP((I$1)/10,0)*10,[1]Hugst!$R$4:$W$4,0))))</f>
        <v>681.22920278019922</v>
      </c>
      <c r="J288" s="168">
        <f ca="1">IF($C288-J$1&lt;År1,0,I287*(1-VLOOKUP($A288,[1]Hugst!$R$5:$W$9,MATCH(ROUNDUP((J$1)/10,0)*10,[1]Hugst!$R$4:$W$4,0))))</f>
        <v>682.79726317011557</v>
      </c>
      <c r="K288" s="168">
        <f ca="1">IF($C288-K$1&lt;År1,0,J287*(1-VLOOKUP($A288,[1]Hugst!$R$5:$W$9,MATCH(ROUNDUP((K$1)/10,0)*10,[1]Hugst!$R$4:$W$4,0))))</f>
        <v>684.37320326049996</v>
      </c>
      <c r="L288" s="168">
        <f ca="1">IF($C288-L$1&lt;År1,0,K287*(1-VLOOKUP($A288,[1]Hugst!$R$5:$W$9,MATCH(ROUNDUP((L$1)/10,0)*10,[1]Hugst!$R$4:$W$4,0))))</f>
        <v>685.95706264781222</v>
      </c>
      <c r="M288" s="168">
        <f ca="1">IF($C288-M$1&lt;År1,0,L287*(1-VLOOKUP($A288,[1]Hugst!$R$5:$W$9,MATCH(ROUNDUP((M$1)/10,0)*10,[1]Hugst!$R$4:$W$4,0))))</f>
        <v>687.54888112752417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*VLOOKUP(A289,Skovbrug!$A$13:$D$17,IF('Skovbrug-alder'!C289&lt;=År2,3,4),FALSE)-IF(C289&gt;2020,SUM(INDEX($C$1:$D$311,MATCH(1,(2020=$C$1:$C$311)*(B289=$B$1:$B$311)*(A289=$A$1:$A$311),0),2):D288),0))</f>
        <v>305.84978801877151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675.03497320395729</v>
      </c>
      <c r="G289" s="168">
        <f ca="1">IF($C289-G$1&lt;År1,0,F288*(1-VLOOKUP($A289,[1]Hugst!$R$5:$W$9,MATCH(ROUNDUP((G$1)/10,0)*10,[1]Hugst!$R$4:$W$4,0))))</f>
        <v>676.57190681208488</v>
      </c>
      <c r="H289" s="168">
        <f ca="1">IF($C289-H$1&lt;År1,0,G288*(1-VLOOKUP($A289,[1]Hugst!$R$5:$W$9,MATCH(ROUNDUP((H$1)/10,0)*10,[1]Hugst!$R$4:$W$4,0))))</f>
        <v>678.11656370469757</v>
      </c>
      <c r="I289" s="168">
        <f ca="1">IF($C289-I$1&lt;År1,0,H288*(1-VLOOKUP($A289,[1]Hugst!$R$5:$W$9,MATCH(ROUNDUP((I$1)/10,0)*10,[1]Hugst!$R$4:$W$4,0))))</f>
        <v>679.66898269221895</v>
      </c>
      <c r="J289" s="168">
        <f ca="1">IF($C289-J$1&lt;År1,0,I288*(1-VLOOKUP($A289,[1]Hugst!$R$5:$W$9,MATCH(ROUNDUP((J$1)/10,0)*10,[1]Hugst!$R$4:$W$4,0))))</f>
        <v>681.22920278019922</v>
      </c>
      <c r="K289" s="168">
        <f ca="1">IF($C289-K$1&lt;År1,0,J288*(1-VLOOKUP($A289,[1]Hugst!$R$5:$W$9,MATCH(ROUNDUP((K$1)/10,0)*10,[1]Hugst!$R$4:$W$4,0))))</f>
        <v>682.79726317011557</v>
      </c>
      <c r="L289" s="168">
        <f ca="1">IF($C289-L$1&lt;År1,0,K288*(1-VLOOKUP($A289,[1]Hugst!$R$5:$W$9,MATCH(ROUNDUP((L$1)/10,0)*10,[1]Hugst!$R$4:$W$4,0))))</f>
        <v>684.37320326049996</v>
      </c>
      <c r="M289" s="168">
        <f ca="1">IF($C289-M$1&lt;År1,0,L288*(1-VLOOKUP($A289,[1]Hugst!$R$5:$W$9,MATCH(ROUNDUP((M$1)/10,0)*10,[1]Hugst!$R$4:$W$4,0))))</f>
        <v>685.95706264781222</v>
      </c>
      <c r="N289" s="168">
        <f ca="1">IF($C289-N$1&lt;År1,0,M288*(1-VLOOKUP($A289,[1]Hugst!$R$5:$W$9,MATCH(ROUNDUP((N$1)/10,0)*10,[1]Hugst!$R$4:$W$4,0))))</f>
        <v>687.54888112752417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*VLOOKUP(A290,Skovbrug!$A$13:$D$17,IF('Skovbrug-alder'!C290&lt;=År2,3,4),FALSE)-IF(C290&gt;2020,SUM(INDEX($C$1:$D$311,MATCH(1,(2020=$C$1:$C$311)*(B290=$B$1:$B$311)*(A290=$A$1:$A$311),0),2):D289),0))</f>
        <v>304.32053907867521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673.505724263861</v>
      </c>
      <c r="G290" s="168">
        <f ca="1">IF($C290-G$1&lt;År1,0,F289*(1-VLOOKUP($A290,[1]Hugst!$R$5:$W$9,MATCH(ROUNDUP((G$1)/10,0)*10,[1]Hugst!$R$4:$W$4,0))))</f>
        <v>675.03497320395729</v>
      </c>
      <c r="H290" s="168">
        <f ca="1">IF($C290-H$1&lt;År1,0,G289*(1-VLOOKUP($A290,[1]Hugst!$R$5:$W$9,MATCH(ROUNDUP((H$1)/10,0)*10,[1]Hugst!$R$4:$W$4,0))))</f>
        <v>676.57190681208488</v>
      </c>
      <c r="I290" s="168">
        <f ca="1">IF($C290-I$1&lt;År1,0,H289*(1-VLOOKUP($A290,[1]Hugst!$R$5:$W$9,MATCH(ROUNDUP((I$1)/10,0)*10,[1]Hugst!$R$4:$W$4,0))))</f>
        <v>678.11656370469757</v>
      </c>
      <c r="J290" s="168">
        <f ca="1">IF($C290-J$1&lt;År1,0,I289*(1-VLOOKUP($A290,[1]Hugst!$R$5:$W$9,MATCH(ROUNDUP((J$1)/10,0)*10,[1]Hugst!$R$4:$W$4,0))))</f>
        <v>679.66898269221895</v>
      </c>
      <c r="K290" s="168">
        <f ca="1">IF($C290-K$1&lt;År1,0,J289*(1-VLOOKUP($A290,[1]Hugst!$R$5:$W$9,MATCH(ROUNDUP((K$1)/10,0)*10,[1]Hugst!$R$4:$W$4,0))))</f>
        <v>681.22920278019922</v>
      </c>
      <c r="L290" s="168">
        <f ca="1">IF($C290-L$1&lt;År1,0,K289*(1-VLOOKUP($A290,[1]Hugst!$R$5:$W$9,MATCH(ROUNDUP((L$1)/10,0)*10,[1]Hugst!$R$4:$W$4,0))))</f>
        <v>682.79726317011557</v>
      </c>
      <c r="M290" s="168">
        <f ca="1">IF($C290-M$1&lt;År1,0,L289*(1-VLOOKUP($A290,[1]Hugst!$R$5:$W$9,MATCH(ROUNDUP((M$1)/10,0)*10,[1]Hugst!$R$4:$W$4,0))))</f>
        <v>684.37320326049996</v>
      </c>
      <c r="N290" s="168">
        <f ca="1">IF($C290-N$1&lt;År1,0,M289*(1-VLOOKUP($A290,[1]Hugst!$R$5:$W$9,MATCH(ROUNDUP((N$1)/10,0)*10,[1]Hugst!$R$4:$W$4,0))))</f>
        <v>685.95706264781222</v>
      </c>
      <c r="O290" s="168">
        <f ca="1">IF($C290-O$1&lt;År1,0,N289*(1-VLOOKUP($A290,[1]Hugst!$R$5:$W$9,MATCH(ROUNDUP((O$1)/10,0)*10,[1]Hugst!$R$4:$W$4,0))))</f>
        <v>687.54888112752417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*VLOOKUP(A291,Skovbrug!$A$13:$D$17,IF('Skovbrug-alder'!C291&lt;=År2,3,4),FALSE)-IF(C291&gt;2020,SUM(INDEX($C$1:$D$311,MATCH(1,(2020=$C$1:$C$311)*(B291=$B$1:$B$311)*(A291=$A$1:$A$311),0),2):D290),0))</f>
        <v>302.7989363832894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671.98412156847519</v>
      </c>
      <c r="G291" s="168">
        <f ca="1">IF($C291-G$1&lt;År1,0,F290*(1-VLOOKUP($A291,[1]Hugst!$R$5:$W$9,MATCH(ROUNDUP((G$1)/10,0)*10,[1]Hugst!$R$4:$W$4,0))))</f>
        <v>673.505724263861</v>
      </c>
      <c r="H291" s="168">
        <f ca="1">IF($C291-H$1&lt;År1,0,G290*(1-VLOOKUP($A291,[1]Hugst!$R$5:$W$9,MATCH(ROUNDUP((H$1)/10,0)*10,[1]Hugst!$R$4:$W$4,0))))</f>
        <v>675.03497320395729</v>
      </c>
      <c r="I291" s="168">
        <f ca="1">IF($C291-I$1&lt;År1,0,H290*(1-VLOOKUP($A291,[1]Hugst!$R$5:$W$9,MATCH(ROUNDUP((I$1)/10,0)*10,[1]Hugst!$R$4:$W$4,0))))</f>
        <v>676.57190681208488</v>
      </c>
      <c r="J291" s="168">
        <f ca="1">IF($C291-J$1&lt;År1,0,I290*(1-VLOOKUP($A291,[1]Hugst!$R$5:$W$9,MATCH(ROUNDUP((J$1)/10,0)*10,[1]Hugst!$R$4:$W$4,0))))</f>
        <v>678.11656370469757</v>
      </c>
      <c r="K291" s="168">
        <f ca="1">IF($C291-K$1&lt;År1,0,J290*(1-VLOOKUP($A291,[1]Hugst!$R$5:$W$9,MATCH(ROUNDUP((K$1)/10,0)*10,[1]Hugst!$R$4:$W$4,0))))</f>
        <v>679.66898269221895</v>
      </c>
      <c r="L291" s="168">
        <f ca="1">IF($C291-L$1&lt;År1,0,K290*(1-VLOOKUP($A291,[1]Hugst!$R$5:$W$9,MATCH(ROUNDUP((L$1)/10,0)*10,[1]Hugst!$R$4:$W$4,0))))</f>
        <v>681.22920278019922</v>
      </c>
      <c r="M291" s="168">
        <f ca="1">IF($C291-M$1&lt;År1,0,L290*(1-VLOOKUP($A291,[1]Hugst!$R$5:$W$9,MATCH(ROUNDUP((M$1)/10,0)*10,[1]Hugst!$R$4:$W$4,0))))</f>
        <v>682.79726317011557</v>
      </c>
      <c r="N291" s="168">
        <f ca="1">IF($C291-N$1&lt;År1,0,M290*(1-VLOOKUP($A291,[1]Hugst!$R$5:$W$9,MATCH(ROUNDUP((N$1)/10,0)*10,[1]Hugst!$R$4:$W$4,0))))</f>
        <v>684.37320326049996</v>
      </c>
      <c r="O291" s="168">
        <f ca="1">IF($C291-O$1&lt;År1,0,N290*(1-VLOOKUP($A291,[1]Hugst!$R$5:$W$9,MATCH(ROUNDUP((O$1)/10,0)*10,[1]Hugst!$R$4:$W$4,0))))</f>
        <v>685.95706264781222</v>
      </c>
      <c r="P291" s="168">
        <f ca="1">IF($C291-P$1&lt;År1,0,O290*(1-VLOOKUP($A291,[1]Hugst!$R$5:$W$9,MATCH(ROUNDUP((P$1)/10,0)*10,[1]Hugst!$R$4:$W$4,0))))</f>
        <v>687.54888112752417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*VLOOKUP(A292,Skovbrug!$A$13:$D$17,IF('Skovbrug-alder'!C292&lt;=År2,3,4),FALSE)-IF(C292&gt;2020,SUM(INDEX($C$1:$D$311,MATCH(1,(2020=$C$1:$C$311)*(B292=$B$1:$B$311)*(A292=$A$1:$A$311),0),2):D291),0))</f>
        <v>301.28494170135673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670.47012688654138</v>
      </c>
      <c r="G292" s="168">
        <f ca="1">IF($C292-G$1&lt;År1,0,F291*(1-VLOOKUP($A292,[1]Hugst!$R$5:$W$9,MATCH(ROUNDUP((G$1)/10,0)*10,[1]Hugst!$R$4:$W$4,0))))</f>
        <v>671.98412156847519</v>
      </c>
      <c r="H292" s="168">
        <f ca="1">IF($C292-H$1&lt;År1,0,G291*(1-VLOOKUP($A292,[1]Hugst!$R$5:$W$9,MATCH(ROUNDUP((H$1)/10,0)*10,[1]Hugst!$R$4:$W$4,0))))</f>
        <v>673.505724263861</v>
      </c>
      <c r="I292" s="168">
        <f ca="1">IF($C292-I$1&lt;År1,0,H291*(1-VLOOKUP($A292,[1]Hugst!$R$5:$W$9,MATCH(ROUNDUP((I$1)/10,0)*10,[1]Hugst!$R$4:$W$4,0))))</f>
        <v>675.03497320395729</v>
      </c>
      <c r="J292" s="168">
        <f ca="1">IF($C292-J$1&lt;År1,0,I291*(1-VLOOKUP($A292,[1]Hugst!$R$5:$W$9,MATCH(ROUNDUP((J$1)/10,0)*10,[1]Hugst!$R$4:$W$4,0))))</f>
        <v>676.57190681208488</v>
      </c>
      <c r="K292" s="168">
        <f ca="1">IF($C292-K$1&lt;År1,0,J291*(1-VLOOKUP($A292,[1]Hugst!$R$5:$W$9,MATCH(ROUNDUP((K$1)/10,0)*10,[1]Hugst!$R$4:$W$4,0))))</f>
        <v>678.11656370469757</v>
      </c>
      <c r="L292" s="168">
        <f ca="1">IF($C292-L$1&lt;År1,0,K291*(1-VLOOKUP($A292,[1]Hugst!$R$5:$W$9,MATCH(ROUNDUP((L$1)/10,0)*10,[1]Hugst!$R$4:$W$4,0))))</f>
        <v>679.66898269221895</v>
      </c>
      <c r="M292" s="168">
        <f ca="1">IF($C292-M$1&lt;År1,0,L291*(1-VLOOKUP($A292,[1]Hugst!$R$5:$W$9,MATCH(ROUNDUP((M$1)/10,0)*10,[1]Hugst!$R$4:$W$4,0))))</f>
        <v>681.22920278019922</v>
      </c>
      <c r="N292" s="168">
        <f ca="1">IF($C292-N$1&lt;År1,0,M291*(1-VLOOKUP($A292,[1]Hugst!$R$5:$W$9,MATCH(ROUNDUP((N$1)/10,0)*10,[1]Hugst!$R$4:$W$4,0))))</f>
        <v>682.79726317011557</v>
      </c>
      <c r="O292" s="168">
        <f ca="1">IF($C292-O$1&lt;År1,0,N291*(1-VLOOKUP($A292,[1]Hugst!$R$5:$W$9,MATCH(ROUNDUP((O$1)/10,0)*10,[1]Hugst!$R$4:$W$4,0))))</f>
        <v>684.37320326049996</v>
      </c>
      <c r="P292" s="168">
        <f ca="1">IF($C292-P$1&lt;År1,0,O291*(1-VLOOKUP($A292,[1]Hugst!$R$5:$W$9,MATCH(ROUNDUP((P$1)/10,0)*10,[1]Hugst!$R$4:$W$4,0))))</f>
        <v>685.95706264781222</v>
      </c>
      <c r="Q292" s="168">
        <f ca="1">IF($C292-Q$1&lt;År1,0,P291*(1-VLOOKUP($A292,[1]Hugst!$R$5:$W$9,MATCH(ROUNDUP((Q$1)/10,0)*10,[1]Hugst!$R$4:$W$4,0))))</f>
        <v>687.54888112752417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*VLOOKUP(A293,Skovbrug!$A$13:$D$17,IF('Skovbrug-alder'!C293&lt;=År2,3,4),FALSE)-IF(C293&gt;2020,SUM(INDEX($C$1:$D$311,MATCH(1,(2020=$C$1:$C$311)*(B293=$B$1:$B$311)*(A293=$A$1:$A$311),0),2):D292),0))</f>
        <v>299.77851699286111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668.96370217804576</v>
      </c>
      <c r="G293" s="168">
        <f ca="1">IF($C293-G$1&lt;År1,0,F292*(1-VLOOKUP($A293,[1]Hugst!$R$5:$W$9,MATCH(ROUNDUP((G$1)/10,0)*10,[1]Hugst!$R$4:$W$4,0))))</f>
        <v>670.47012688654138</v>
      </c>
      <c r="H293" s="168">
        <f ca="1">IF($C293-H$1&lt;År1,0,G292*(1-VLOOKUP($A293,[1]Hugst!$R$5:$W$9,MATCH(ROUNDUP((H$1)/10,0)*10,[1]Hugst!$R$4:$W$4,0))))</f>
        <v>671.98412156847519</v>
      </c>
      <c r="I293" s="168">
        <f ca="1">IF($C293-I$1&lt;År1,0,H292*(1-VLOOKUP($A293,[1]Hugst!$R$5:$W$9,MATCH(ROUNDUP((I$1)/10,0)*10,[1]Hugst!$R$4:$W$4,0))))</f>
        <v>673.505724263861</v>
      </c>
      <c r="J293" s="168">
        <f ca="1">IF($C293-J$1&lt;År1,0,I292*(1-VLOOKUP($A293,[1]Hugst!$R$5:$W$9,MATCH(ROUNDUP((J$1)/10,0)*10,[1]Hugst!$R$4:$W$4,0))))</f>
        <v>675.03497320395729</v>
      </c>
      <c r="K293" s="168">
        <f ca="1">IF($C293-K$1&lt;År1,0,J292*(1-VLOOKUP($A293,[1]Hugst!$R$5:$W$9,MATCH(ROUNDUP((K$1)/10,0)*10,[1]Hugst!$R$4:$W$4,0))))</f>
        <v>676.57190681208488</v>
      </c>
      <c r="L293" s="168">
        <f ca="1">IF($C293-L$1&lt;År1,0,K292*(1-VLOOKUP($A293,[1]Hugst!$R$5:$W$9,MATCH(ROUNDUP((L$1)/10,0)*10,[1]Hugst!$R$4:$W$4,0))))</f>
        <v>678.11656370469757</v>
      </c>
      <c r="M293" s="168">
        <f ca="1">IF($C293-M$1&lt;År1,0,L292*(1-VLOOKUP($A293,[1]Hugst!$R$5:$W$9,MATCH(ROUNDUP((M$1)/10,0)*10,[1]Hugst!$R$4:$W$4,0))))</f>
        <v>679.66898269221895</v>
      </c>
      <c r="N293" s="168">
        <f ca="1">IF($C293-N$1&lt;År1,0,M292*(1-VLOOKUP($A293,[1]Hugst!$R$5:$W$9,MATCH(ROUNDUP((N$1)/10,0)*10,[1]Hugst!$R$4:$W$4,0))))</f>
        <v>681.22920278019922</v>
      </c>
      <c r="O293" s="168">
        <f ca="1">IF($C293-O$1&lt;År1,0,N292*(1-VLOOKUP($A293,[1]Hugst!$R$5:$W$9,MATCH(ROUNDUP((O$1)/10,0)*10,[1]Hugst!$R$4:$W$4,0))))</f>
        <v>682.79726317011557</v>
      </c>
      <c r="P293" s="168">
        <f ca="1">IF($C293-P$1&lt;År1,0,O292*(1-VLOOKUP($A293,[1]Hugst!$R$5:$W$9,MATCH(ROUNDUP((P$1)/10,0)*10,[1]Hugst!$R$4:$W$4,0))))</f>
        <v>684.37320326049996</v>
      </c>
      <c r="Q293" s="168">
        <f ca="1">IF($C293-Q$1&lt;År1,0,P292*(1-VLOOKUP($A293,[1]Hugst!$R$5:$W$9,MATCH(ROUNDUP((Q$1)/10,0)*10,[1]Hugst!$R$4:$W$4,0))))</f>
        <v>685.95706264781222</v>
      </c>
      <c r="R293" s="168">
        <f ca="1">IF($C293-R$1&lt;År1,0,Q292*(1-VLOOKUP($A293,[1]Hugst!$R$5:$W$9,MATCH(ROUNDUP((R$1)/10,0)*10,[1]Hugst!$R$4:$W$4,0))))</f>
        <v>687.54888112752417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*VLOOKUP(A294,Skovbrug!$A$13:$D$17,IF('Skovbrug-alder'!C294&lt;=År2,3,4),FALSE)-IF(C294&gt;2020,SUM(INDEX($C$1:$D$311,MATCH(1,(2020=$C$1:$C$311)*(B294=$B$1:$B$311)*(A294=$A$1:$A$311),0),2):D293),0))</f>
        <v>298.2796244078927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667.46480959307735</v>
      </c>
      <c r="G294" s="168">
        <f ca="1">IF($C294-G$1&lt;År1,0,F293*(1-VLOOKUP($A294,[1]Hugst!$R$5:$W$9,MATCH(ROUNDUP((G$1)/10,0)*10,[1]Hugst!$R$4:$W$4,0))))</f>
        <v>668.96370217804576</v>
      </c>
      <c r="H294" s="168">
        <f ca="1">IF($C294-H$1&lt;År1,0,G293*(1-VLOOKUP($A294,[1]Hugst!$R$5:$W$9,MATCH(ROUNDUP((H$1)/10,0)*10,[1]Hugst!$R$4:$W$4,0))))</f>
        <v>670.47012688654138</v>
      </c>
      <c r="I294" s="168">
        <f ca="1">IF($C294-I$1&lt;År1,0,H293*(1-VLOOKUP($A294,[1]Hugst!$R$5:$W$9,MATCH(ROUNDUP((I$1)/10,0)*10,[1]Hugst!$R$4:$W$4,0))))</f>
        <v>671.98412156847519</v>
      </c>
      <c r="J294" s="168">
        <f ca="1">IF($C294-J$1&lt;År1,0,I293*(1-VLOOKUP($A294,[1]Hugst!$R$5:$W$9,MATCH(ROUNDUP((J$1)/10,0)*10,[1]Hugst!$R$4:$W$4,0))))</f>
        <v>673.505724263861</v>
      </c>
      <c r="K294" s="168">
        <f ca="1">IF($C294-K$1&lt;År1,0,J293*(1-VLOOKUP($A294,[1]Hugst!$R$5:$W$9,MATCH(ROUNDUP((K$1)/10,0)*10,[1]Hugst!$R$4:$W$4,0))))</f>
        <v>675.03497320395729</v>
      </c>
      <c r="L294" s="168">
        <f ca="1">IF($C294-L$1&lt;År1,0,K293*(1-VLOOKUP($A294,[1]Hugst!$R$5:$W$9,MATCH(ROUNDUP((L$1)/10,0)*10,[1]Hugst!$R$4:$W$4,0))))</f>
        <v>676.57190681208488</v>
      </c>
      <c r="M294" s="168">
        <f ca="1">IF($C294-M$1&lt;År1,0,L293*(1-VLOOKUP($A294,[1]Hugst!$R$5:$W$9,MATCH(ROUNDUP((M$1)/10,0)*10,[1]Hugst!$R$4:$W$4,0))))</f>
        <v>678.11656370469757</v>
      </c>
      <c r="N294" s="168">
        <f ca="1">IF($C294-N$1&lt;År1,0,M293*(1-VLOOKUP($A294,[1]Hugst!$R$5:$W$9,MATCH(ROUNDUP((N$1)/10,0)*10,[1]Hugst!$R$4:$W$4,0))))</f>
        <v>679.66898269221895</v>
      </c>
      <c r="O294" s="168">
        <f ca="1">IF($C294-O$1&lt;År1,0,N293*(1-VLOOKUP($A294,[1]Hugst!$R$5:$W$9,MATCH(ROUNDUP((O$1)/10,0)*10,[1]Hugst!$R$4:$W$4,0))))</f>
        <v>681.22920278019922</v>
      </c>
      <c r="P294" s="168">
        <f ca="1">IF($C294-P$1&lt;År1,0,O293*(1-VLOOKUP($A294,[1]Hugst!$R$5:$W$9,MATCH(ROUNDUP((P$1)/10,0)*10,[1]Hugst!$R$4:$W$4,0))))</f>
        <v>682.79726317011557</v>
      </c>
      <c r="Q294" s="168">
        <f ca="1">IF($C294-Q$1&lt;År1,0,P293*(1-VLOOKUP($A294,[1]Hugst!$R$5:$W$9,MATCH(ROUNDUP((Q$1)/10,0)*10,[1]Hugst!$R$4:$W$4,0))))</f>
        <v>684.37320326049996</v>
      </c>
      <c r="R294" s="168">
        <f ca="1">IF($C294-R$1&lt;År1,0,Q293*(1-VLOOKUP($A294,[1]Hugst!$R$5:$W$9,MATCH(ROUNDUP((R$1)/10,0)*10,[1]Hugst!$R$4:$W$4,0))))</f>
        <v>685.95706264781222</v>
      </c>
      <c r="S294" s="168">
        <f ca="1">IF($C294-S$1&lt;År1,0,R293*(1-VLOOKUP($A294,[1]Hugst!$R$5:$W$9,MATCH(ROUNDUP((S$1)/10,0)*10,[1]Hugst!$R$4:$W$4,0))))</f>
        <v>687.54888112752417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*VLOOKUP(A295,Skovbrug!$A$13:$D$17,IF('Skovbrug-alder'!C295&lt;=År2,3,4),FALSE)-IF(C295&gt;2020,SUM(INDEX($C$1:$D$311,MATCH(1,(2020=$C$1:$C$311)*(B295=$B$1:$B$311)*(A295=$A$1:$A$311),0),2):D294),0))</f>
        <v>296.78822628585476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665.97341147103941</v>
      </c>
      <c r="G295" s="168">
        <f ca="1">IF($C295-G$1&lt;År1,0,F294*(1-VLOOKUP($A295,[1]Hugst!$R$5:$W$9,MATCH(ROUNDUP((G$1)/10,0)*10,[1]Hugst!$R$4:$W$4,0))))</f>
        <v>667.46480959307735</v>
      </c>
      <c r="H295" s="168">
        <f ca="1">IF($C295-H$1&lt;År1,0,G294*(1-VLOOKUP($A295,[1]Hugst!$R$5:$W$9,MATCH(ROUNDUP((H$1)/10,0)*10,[1]Hugst!$R$4:$W$4,0))))</f>
        <v>668.96370217804576</v>
      </c>
      <c r="I295" s="168">
        <f ca="1">IF($C295-I$1&lt;År1,0,H294*(1-VLOOKUP($A295,[1]Hugst!$R$5:$W$9,MATCH(ROUNDUP((I$1)/10,0)*10,[1]Hugst!$R$4:$W$4,0))))</f>
        <v>670.47012688654138</v>
      </c>
      <c r="J295" s="168">
        <f ca="1">IF($C295-J$1&lt;År1,0,I294*(1-VLOOKUP($A295,[1]Hugst!$R$5:$W$9,MATCH(ROUNDUP((J$1)/10,0)*10,[1]Hugst!$R$4:$W$4,0))))</f>
        <v>671.98412156847519</v>
      </c>
      <c r="K295" s="168">
        <f ca="1">IF($C295-K$1&lt;År1,0,J294*(1-VLOOKUP($A295,[1]Hugst!$R$5:$W$9,MATCH(ROUNDUP((K$1)/10,0)*10,[1]Hugst!$R$4:$W$4,0))))</f>
        <v>673.505724263861</v>
      </c>
      <c r="L295" s="168">
        <f ca="1">IF($C295-L$1&lt;År1,0,K294*(1-VLOOKUP($A295,[1]Hugst!$R$5:$W$9,MATCH(ROUNDUP((L$1)/10,0)*10,[1]Hugst!$R$4:$W$4,0))))</f>
        <v>675.03497320395729</v>
      </c>
      <c r="M295" s="168">
        <f ca="1">IF($C295-M$1&lt;År1,0,L294*(1-VLOOKUP($A295,[1]Hugst!$R$5:$W$9,MATCH(ROUNDUP((M$1)/10,0)*10,[1]Hugst!$R$4:$W$4,0))))</f>
        <v>676.57190681208488</v>
      </c>
      <c r="N295" s="168">
        <f ca="1">IF($C295-N$1&lt;År1,0,M294*(1-VLOOKUP($A295,[1]Hugst!$R$5:$W$9,MATCH(ROUNDUP((N$1)/10,0)*10,[1]Hugst!$R$4:$W$4,0))))</f>
        <v>678.11656370469757</v>
      </c>
      <c r="O295" s="168">
        <f ca="1">IF($C295-O$1&lt;År1,0,N294*(1-VLOOKUP($A295,[1]Hugst!$R$5:$W$9,MATCH(ROUNDUP((O$1)/10,0)*10,[1]Hugst!$R$4:$W$4,0))))</f>
        <v>679.66898269221895</v>
      </c>
      <c r="P295" s="168">
        <f ca="1">IF($C295-P$1&lt;År1,0,O294*(1-VLOOKUP($A295,[1]Hugst!$R$5:$W$9,MATCH(ROUNDUP((P$1)/10,0)*10,[1]Hugst!$R$4:$W$4,0))))</f>
        <v>681.22920278019922</v>
      </c>
      <c r="Q295" s="168">
        <f ca="1">IF($C295-Q$1&lt;År1,0,P294*(1-VLOOKUP($A295,[1]Hugst!$R$5:$W$9,MATCH(ROUNDUP((Q$1)/10,0)*10,[1]Hugst!$R$4:$W$4,0))))</f>
        <v>682.79726317011557</v>
      </c>
      <c r="R295" s="168">
        <f ca="1">IF($C295-R$1&lt;År1,0,Q294*(1-VLOOKUP($A295,[1]Hugst!$R$5:$W$9,MATCH(ROUNDUP((R$1)/10,0)*10,[1]Hugst!$R$4:$W$4,0))))</f>
        <v>684.37320326049996</v>
      </c>
      <c r="S295" s="168">
        <f ca="1">IF($C295-S$1&lt;År1,0,R294*(1-VLOOKUP($A295,[1]Hugst!$R$5:$W$9,MATCH(ROUNDUP((S$1)/10,0)*10,[1]Hugst!$R$4:$W$4,0))))</f>
        <v>685.95706264781222</v>
      </c>
      <c r="T295" s="168">
        <f ca="1">IF($C295-T$1&lt;År1,0,S294*(1-VLOOKUP($A295,[1]Hugst!$R$5:$W$9,MATCH(ROUNDUP((T$1)/10,0)*10,[1]Hugst!$R$4:$W$4,0))))</f>
        <v>687.54888112752417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*VLOOKUP(A296,Skovbrug!$A$13:$D$17,IF('Skovbrug-alder'!C296&lt;=År2,3,4),FALSE)-IF(C296&gt;2020,SUM(INDEX($C$1:$D$311,MATCH(1,(2020=$C$1:$C$311)*(B296=$B$1:$B$311)*(A296=$A$1:$A$311),0),2):D295),0))</f>
        <v>295.30428515443054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664.4894703396152</v>
      </c>
      <c r="G296" s="168">
        <f ca="1">IF($C296-G$1&lt;År1,0,F295*(1-VLOOKUP($A296,[1]Hugst!$R$5:$W$9,MATCH(ROUNDUP((G$1)/10,0)*10,[1]Hugst!$R$4:$W$4,0))))</f>
        <v>665.97341147103941</v>
      </c>
      <c r="H296" s="168">
        <f ca="1">IF($C296-H$1&lt;År1,0,G295*(1-VLOOKUP($A296,[1]Hugst!$R$5:$W$9,MATCH(ROUNDUP((H$1)/10,0)*10,[1]Hugst!$R$4:$W$4,0))))</f>
        <v>667.46480959307735</v>
      </c>
      <c r="I296" s="168">
        <f ca="1">IF($C296-I$1&lt;År1,0,H295*(1-VLOOKUP($A296,[1]Hugst!$R$5:$W$9,MATCH(ROUNDUP((I$1)/10,0)*10,[1]Hugst!$R$4:$W$4,0))))</f>
        <v>668.96370217804576</v>
      </c>
      <c r="J296" s="168">
        <f ca="1">IF($C296-J$1&lt;År1,0,I295*(1-VLOOKUP($A296,[1]Hugst!$R$5:$W$9,MATCH(ROUNDUP((J$1)/10,0)*10,[1]Hugst!$R$4:$W$4,0))))</f>
        <v>670.47012688654138</v>
      </c>
      <c r="K296" s="168">
        <f ca="1">IF($C296-K$1&lt;År1,0,J295*(1-VLOOKUP($A296,[1]Hugst!$R$5:$W$9,MATCH(ROUNDUP((K$1)/10,0)*10,[1]Hugst!$R$4:$W$4,0))))</f>
        <v>671.98412156847519</v>
      </c>
      <c r="L296" s="168">
        <f ca="1">IF($C296-L$1&lt;År1,0,K295*(1-VLOOKUP($A296,[1]Hugst!$R$5:$W$9,MATCH(ROUNDUP((L$1)/10,0)*10,[1]Hugst!$R$4:$W$4,0))))</f>
        <v>673.505724263861</v>
      </c>
      <c r="M296" s="168">
        <f ca="1">IF($C296-M$1&lt;År1,0,L295*(1-VLOOKUP($A296,[1]Hugst!$R$5:$W$9,MATCH(ROUNDUP((M$1)/10,0)*10,[1]Hugst!$R$4:$W$4,0))))</f>
        <v>675.03497320395729</v>
      </c>
      <c r="N296" s="168">
        <f ca="1">IF($C296-N$1&lt;År1,0,M295*(1-VLOOKUP($A296,[1]Hugst!$R$5:$W$9,MATCH(ROUNDUP((N$1)/10,0)*10,[1]Hugst!$R$4:$W$4,0))))</f>
        <v>676.57190681208488</v>
      </c>
      <c r="O296" s="168">
        <f ca="1">IF($C296-O$1&lt;År1,0,N295*(1-VLOOKUP($A296,[1]Hugst!$R$5:$W$9,MATCH(ROUNDUP((O$1)/10,0)*10,[1]Hugst!$R$4:$W$4,0))))</f>
        <v>678.11656370469757</v>
      </c>
      <c r="P296" s="168">
        <f ca="1">IF($C296-P$1&lt;År1,0,O295*(1-VLOOKUP($A296,[1]Hugst!$R$5:$W$9,MATCH(ROUNDUP((P$1)/10,0)*10,[1]Hugst!$R$4:$W$4,0))))</f>
        <v>679.66898269221895</v>
      </c>
      <c r="Q296" s="168">
        <f ca="1">IF($C296-Q$1&lt;År1,0,P295*(1-VLOOKUP($A296,[1]Hugst!$R$5:$W$9,MATCH(ROUNDUP((Q$1)/10,0)*10,[1]Hugst!$R$4:$W$4,0))))</f>
        <v>681.22920278019922</v>
      </c>
      <c r="R296" s="168">
        <f ca="1">IF($C296-R$1&lt;År1,0,Q295*(1-VLOOKUP($A296,[1]Hugst!$R$5:$W$9,MATCH(ROUNDUP((R$1)/10,0)*10,[1]Hugst!$R$4:$W$4,0))))</f>
        <v>682.79726317011557</v>
      </c>
      <c r="S296" s="168">
        <f ca="1">IF($C296-S$1&lt;År1,0,R295*(1-VLOOKUP($A296,[1]Hugst!$R$5:$W$9,MATCH(ROUNDUP((S$1)/10,0)*10,[1]Hugst!$R$4:$W$4,0))))</f>
        <v>684.37320326049996</v>
      </c>
      <c r="T296" s="168">
        <f ca="1">IF($C296-T$1&lt;År1,0,S295*(1-VLOOKUP($A296,[1]Hugst!$R$5:$W$9,MATCH(ROUNDUP((T$1)/10,0)*10,[1]Hugst!$R$4:$W$4,0))))</f>
        <v>685.95706264781222</v>
      </c>
      <c r="U296" s="168">
        <f ca="1">IF($C296-U$1&lt;År1,0,T295*(1-VLOOKUP($A296,[1]Hugst!$R$5:$W$9,MATCH(ROUNDUP((U$1)/10,0)*10,[1]Hugst!$R$4:$W$4,0))))</f>
        <v>687.54888112752417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*VLOOKUP(A297,Skovbrug!$A$13:$D$17,IF('Skovbrug-alder'!C297&lt;=År2,3,4),FALSE)-IF(C297&gt;2020,SUM(INDEX($C$1:$D$311,MATCH(1,(2020=$C$1:$C$311)*(B297=$B$1:$B$311)*(A297=$A$1:$A$311),0),2):D296),0))</f>
        <v>293.82776372865192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663.01294891383657</v>
      </c>
      <c r="G297" s="168">
        <f ca="1">IF($C297-G$1&lt;År1,0,F296*(1-VLOOKUP($A297,[1]Hugst!$R$5:$W$9,MATCH(ROUNDUP((G$1)/10,0)*10,[1]Hugst!$R$4:$W$4,0))))</f>
        <v>664.4894703396152</v>
      </c>
      <c r="H297" s="168">
        <f ca="1">IF($C297-H$1&lt;År1,0,G296*(1-VLOOKUP($A297,[1]Hugst!$R$5:$W$9,MATCH(ROUNDUP((H$1)/10,0)*10,[1]Hugst!$R$4:$W$4,0))))</f>
        <v>665.97341147103941</v>
      </c>
      <c r="I297" s="168">
        <f ca="1">IF($C297-I$1&lt;År1,0,H296*(1-VLOOKUP($A297,[1]Hugst!$R$5:$W$9,MATCH(ROUNDUP((I$1)/10,0)*10,[1]Hugst!$R$4:$W$4,0))))</f>
        <v>667.46480959307735</v>
      </c>
      <c r="J297" s="168">
        <f ca="1">IF($C297-J$1&lt;År1,0,I296*(1-VLOOKUP($A297,[1]Hugst!$R$5:$W$9,MATCH(ROUNDUP((J$1)/10,0)*10,[1]Hugst!$R$4:$W$4,0))))</f>
        <v>668.96370217804576</v>
      </c>
      <c r="K297" s="168">
        <f ca="1">IF($C297-K$1&lt;År1,0,J296*(1-VLOOKUP($A297,[1]Hugst!$R$5:$W$9,MATCH(ROUNDUP((K$1)/10,0)*10,[1]Hugst!$R$4:$W$4,0))))</f>
        <v>670.47012688654138</v>
      </c>
      <c r="L297" s="168">
        <f ca="1">IF($C297-L$1&lt;År1,0,K296*(1-VLOOKUP($A297,[1]Hugst!$R$5:$W$9,MATCH(ROUNDUP((L$1)/10,0)*10,[1]Hugst!$R$4:$W$4,0))))</f>
        <v>671.98412156847519</v>
      </c>
      <c r="M297" s="168">
        <f ca="1">IF($C297-M$1&lt;År1,0,L296*(1-VLOOKUP($A297,[1]Hugst!$R$5:$W$9,MATCH(ROUNDUP((M$1)/10,0)*10,[1]Hugst!$R$4:$W$4,0))))</f>
        <v>673.505724263861</v>
      </c>
      <c r="N297" s="168">
        <f ca="1">IF($C297-N$1&lt;År1,0,M296*(1-VLOOKUP($A297,[1]Hugst!$R$5:$W$9,MATCH(ROUNDUP((N$1)/10,0)*10,[1]Hugst!$R$4:$W$4,0))))</f>
        <v>675.03497320395729</v>
      </c>
      <c r="O297" s="168">
        <f ca="1">IF($C297-O$1&lt;År1,0,N296*(1-VLOOKUP($A297,[1]Hugst!$R$5:$W$9,MATCH(ROUNDUP((O$1)/10,0)*10,[1]Hugst!$R$4:$W$4,0))))</f>
        <v>676.57190681208488</v>
      </c>
      <c r="P297" s="168">
        <f ca="1">IF($C297-P$1&lt;År1,0,O296*(1-VLOOKUP($A297,[1]Hugst!$R$5:$W$9,MATCH(ROUNDUP((P$1)/10,0)*10,[1]Hugst!$R$4:$W$4,0))))</f>
        <v>678.11656370469757</v>
      </c>
      <c r="Q297" s="168">
        <f ca="1">IF($C297-Q$1&lt;År1,0,P296*(1-VLOOKUP($A297,[1]Hugst!$R$5:$W$9,MATCH(ROUNDUP((Q$1)/10,0)*10,[1]Hugst!$R$4:$W$4,0))))</f>
        <v>679.66898269221895</v>
      </c>
      <c r="R297" s="168">
        <f ca="1">IF($C297-R$1&lt;År1,0,Q296*(1-VLOOKUP($A297,[1]Hugst!$R$5:$W$9,MATCH(ROUNDUP((R$1)/10,0)*10,[1]Hugst!$R$4:$W$4,0))))</f>
        <v>681.22920278019922</v>
      </c>
      <c r="S297" s="168">
        <f ca="1">IF($C297-S$1&lt;År1,0,R296*(1-VLOOKUP($A297,[1]Hugst!$R$5:$W$9,MATCH(ROUNDUP((S$1)/10,0)*10,[1]Hugst!$R$4:$W$4,0))))</f>
        <v>682.79726317011557</v>
      </c>
      <c r="T297" s="168">
        <f ca="1">IF($C297-T$1&lt;År1,0,S296*(1-VLOOKUP($A297,[1]Hugst!$R$5:$W$9,MATCH(ROUNDUP((T$1)/10,0)*10,[1]Hugst!$R$4:$W$4,0))))</f>
        <v>684.37320326049996</v>
      </c>
      <c r="U297" s="168">
        <f ca="1">IF($C297-U$1&lt;År1,0,T296*(1-VLOOKUP($A297,[1]Hugst!$R$5:$W$9,MATCH(ROUNDUP((U$1)/10,0)*10,[1]Hugst!$R$4:$W$4,0))))</f>
        <v>685.95706264781222</v>
      </c>
      <c r="V297" s="168">
        <f ca="1">IF($C297-V$1&lt;År1,0,U296*(1-VLOOKUP($A297,[1]Hugst!$R$5:$W$9,MATCH(ROUNDUP((V$1)/10,0)*10,[1]Hugst!$R$4:$W$4,0))))</f>
        <v>687.54888112752417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*VLOOKUP(A298,Skovbrug!$A$13:$D$17,IF('Skovbrug-alder'!C298&lt;=År2,3,4),FALSE)-IF(C298&gt;2020,SUM(INDEX($C$1:$D$311,MATCH(1,(2020=$C$1:$C$311)*(B298=$B$1:$B$311)*(A298=$A$1:$A$311),0),2):D297),0))</f>
        <v>292.35862491001171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661.54381009519636</v>
      </c>
      <c r="G298" s="168">
        <f ca="1">IF($C298-G$1&lt;År1,0,F297*(1-VLOOKUP($A298,[1]Hugst!$R$5:$W$9,MATCH(ROUNDUP((G$1)/10,0)*10,[1]Hugst!$R$4:$W$4,0))))</f>
        <v>663.01294891383657</v>
      </c>
      <c r="H298" s="168">
        <f ca="1">IF($C298-H$1&lt;År1,0,G297*(1-VLOOKUP($A298,[1]Hugst!$R$5:$W$9,MATCH(ROUNDUP((H$1)/10,0)*10,[1]Hugst!$R$4:$W$4,0))))</f>
        <v>664.4894703396152</v>
      </c>
      <c r="I298" s="168">
        <f ca="1">IF($C298-I$1&lt;År1,0,H297*(1-VLOOKUP($A298,[1]Hugst!$R$5:$W$9,MATCH(ROUNDUP((I$1)/10,0)*10,[1]Hugst!$R$4:$W$4,0))))</f>
        <v>665.97341147103941</v>
      </c>
      <c r="J298" s="168">
        <f ca="1">IF($C298-J$1&lt;År1,0,I297*(1-VLOOKUP($A298,[1]Hugst!$R$5:$W$9,MATCH(ROUNDUP((J$1)/10,0)*10,[1]Hugst!$R$4:$W$4,0))))</f>
        <v>667.46480959307735</v>
      </c>
      <c r="K298" s="168">
        <f ca="1">IF($C298-K$1&lt;År1,0,J297*(1-VLOOKUP($A298,[1]Hugst!$R$5:$W$9,MATCH(ROUNDUP((K$1)/10,0)*10,[1]Hugst!$R$4:$W$4,0))))</f>
        <v>668.96370217804576</v>
      </c>
      <c r="L298" s="168">
        <f ca="1">IF($C298-L$1&lt;År1,0,K297*(1-VLOOKUP($A298,[1]Hugst!$R$5:$W$9,MATCH(ROUNDUP((L$1)/10,0)*10,[1]Hugst!$R$4:$W$4,0))))</f>
        <v>670.47012688654138</v>
      </c>
      <c r="M298" s="168">
        <f ca="1">IF($C298-M$1&lt;År1,0,L297*(1-VLOOKUP($A298,[1]Hugst!$R$5:$W$9,MATCH(ROUNDUP((M$1)/10,0)*10,[1]Hugst!$R$4:$W$4,0))))</f>
        <v>671.98412156847519</v>
      </c>
      <c r="N298" s="168">
        <f ca="1">IF($C298-N$1&lt;År1,0,M297*(1-VLOOKUP($A298,[1]Hugst!$R$5:$W$9,MATCH(ROUNDUP((N$1)/10,0)*10,[1]Hugst!$R$4:$W$4,0))))</f>
        <v>673.505724263861</v>
      </c>
      <c r="O298" s="168">
        <f ca="1">IF($C298-O$1&lt;År1,0,N297*(1-VLOOKUP($A298,[1]Hugst!$R$5:$W$9,MATCH(ROUNDUP((O$1)/10,0)*10,[1]Hugst!$R$4:$W$4,0))))</f>
        <v>675.03497320395729</v>
      </c>
      <c r="P298" s="168">
        <f ca="1">IF($C298-P$1&lt;År1,0,O297*(1-VLOOKUP($A298,[1]Hugst!$R$5:$W$9,MATCH(ROUNDUP((P$1)/10,0)*10,[1]Hugst!$R$4:$W$4,0))))</f>
        <v>676.57190681208488</v>
      </c>
      <c r="Q298" s="168">
        <f ca="1">IF($C298-Q$1&lt;År1,0,P297*(1-VLOOKUP($A298,[1]Hugst!$R$5:$W$9,MATCH(ROUNDUP((Q$1)/10,0)*10,[1]Hugst!$R$4:$W$4,0))))</f>
        <v>678.11656370469757</v>
      </c>
      <c r="R298" s="168">
        <f ca="1">IF($C298-R$1&lt;År1,0,Q297*(1-VLOOKUP($A298,[1]Hugst!$R$5:$W$9,MATCH(ROUNDUP((R$1)/10,0)*10,[1]Hugst!$R$4:$W$4,0))))</f>
        <v>679.66898269221895</v>
      </c>
      <c r="S298" s="168">
        <f ca="1">IF($C298-S$1&lt;År1,0,R297*(1-VLOOKUP($A298,[1]Hugst!$R$5:$W$9,MATCH(ROUNDUP((S$1)/10,0)*10,[1]Hugst!$R$4:$W$4,0))))</f>
        <v>681.22920278019922</v>
      </c>
      <c r="T298" s="168">
        <f ca="1">IF($C298-T$1&lt;År1,0,S297*(1-VLOOKUP($A298,[1]Hugst!$R$5:$W$9,MATCH(ROUNDUP((T$1)/10,0)*10,[1]Hugst!$R$4:$W$4,0))))</f>
        <v>682.79726317011557</v>
      </c>
      <c r="U298" s="168">
        <f ca="1">IF($C298-U$1&lt;År1,0,T297*(1-VLOOKUP($A298,[1]Hugst!$R$5:$W$9,MATCH(ROUNDUP((U$1)/10,0)*10,[1]Hugst!$R$4:$W$4,0))))</f>
        <v>684.37320326049996</v>
      </c>
      <c r="V298" s="168">
        <f ca="1">IF($C298-V$1&lt;År1,0,U297*(1-VLOOKUP($A298,[1]Hugst!$R$5:$W$9,MATCH(ROUNDUP((V$1)/10,0)*10,[1]Hugst!$R$4:$W$4,0))))</f>
        <v>685.95706264781222</v>
      </c>
      <c r="W298" s="168">
        <f ca="1">IF($C298-W$1&lt;År1,0,V297*(1-VLOOKUP($A298,[1]Hugst!$R$5:$W$9,MATCH(ROUNDUP((W$1)/10,0)*10,[1]Hugst!$R$4:$W$4,0))))</f>
        <v>687.54888112752417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*VLOOKUP(A299,Skovbrug!$A$13:$D$17,IF('Skovbrug-alder'!C299&lt;=År2,3,4),FALSE)-IF(C299&gt;2020,SUM(INDEX($C$1:$D$311,MATCH(1,(2020=$C$1:$C$311)*(B299=$B$1:$B$311)*(A299=$A$1:$A$311),0),2):D298),0))</f>
        <v>290.89683178546693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660.08201697065158</v>
      </c>
      <c r="G299" s="168">
        <f ca="1">IF($C299-G$1&lt;År1,0,F298*(1-VLOOKUP($A299,[1]Hugst!$R$5:$W$9,MATCH(ROUNDUP((G$1)/10,0)*10,[1]Hugst!$R$4:$W$4,0))))</f>
        <v>661.54381009519636</v>
      </c>
      <c r="H299" s="168">
        <f ca="1">IF($C299-H$1&lt;År1,0,G298*(1-VLOOKUP($A299,[1]Hugst!$R$5:$W$9,MATCH(ROUNDUP((H$1)/10,0)*10,[1]Hugst!$R$4:$W$4,0))))</f>
        <v>663.01294891383657</v>
      </c>
      <c r="I299" s="168">
        <f ca="1">IF($C299-I$1&lt;År1,0,H298*(1-VLOOKUP($A299,[1]Hugst!$R$5:$W$9,MATCH(ROUNDUP((I$1)/10,0)*10,[1]Hugst!$R$4:$W$4,0))))</f>
        <v>664.4894703396152</v>
      </c>
      <c r="J299" s="168">
        <f ca="1">IF($C299-J$1&lt;År1,0,I298*(1-VLOOKUP($A299,[1]Hugst!$R$5:$W$9,MATCH(ROUNDUP((J$1)/10,0)*10,[1]Hugst!$R$4:$W$4,0))))</f>
        <v>665.97341147103941</v>
      </c>
      <c r="K299" s="168">
        <f ca="1">IF($C299-K$1&lt;År1,0,J298*(1-VLOOKUP($A299,[1]Hugst!$R$5:$W$9,MATCH(ROUNDUP((K$1)/10,0)*10,[1]Hugst!$R$4:$W$4,0))))</f>
        <v>667.46480959307735</v>
      </c>
      <c r="L299" s="168">
        <f ca="1">IF($C299-L$1&lt;År1,0,K298*(1-VLOOKUP($A299,[1]Hugst!$R$5:$W$9,MATCH(ROUNDUP((L$1)/10,0)*10,[1]Hugst!$R$4:$W$4,0))))</f>
        <v>668.96370217804576</v>
      </c>
      <c r="M299" s="168">
        <f ca="1">IF($C299-M$1&lt;År1,0,L298*(1-VLOOKUP($A299,[1]Hugst!$R$5:$W$9,MATCH(ROUNDUP((M$1)/10,0)*10,[1]Hugst!$R$4:$W$4,0))))</f>
        <v>670.47012688654138</v>
      </c>
      <c r="N299" s="168">
        <f ca="1">IF($C299-N$1&lt;År1,0,M298*(1-VLOOKUP($A299,[1]Hugst!$R$5:$W$9,MATCH(ROUNDUP((N$1)/10,0)*10,[1]Hugst!$R$4:$W$4,0))))</f>
        <v>671.98412156847519</v>
      </c>
      <c r="O299" s="168">
        <f ca="1">IF($C299-O$1&lt;År1,0,N298*(1-VLOOKUP($A299,[1]Hugst!$R$5:$W$9,MATCH(ROUNDUP((O$1)/10,0)*10,[1]Hugst!$R$4:$W$4,0))))</f>
        <v>673.505724263861</v>
      </c>
      <c r="P299" s="168">
        <f ca="1">IF($C299-P$1&lt;År1,0,O298*(1-VLOOKUP($A299,[1]Hugst!$R$5:$W$9,MATCH(ROUNDUP((P$1)/10,0)*10,[1]Hugst!$R$4:$W$4,0))))</f>
        <v>675.03497320395729</v>
      </c>
      <c r="Q299" s="168">
        <f ca="1">IF($C299-Q$1&lt;År1,0,P298*(1-VLOOKUP($A299,[1]Hugst!$R$5:$W$9,MATCH(ROUNDUP((Q$1)/10,0)*10,[1]Hugst!$R$4:$W$4,0))))</f>
        <v>676.57190681208488</v>
      </c>
      <c r="R299" s="168">
        <f ca="1">IF($C299-R$1&lt;År1,0,Q298*(1-VLOOKUP($A299,[1]Hugst!$R$5:$W$9,MATCH(ROUNDUP((R$1)/10,0)*10,[1]Hugst!$R$4:$W$4,0))))</f>
        <v>678.11656370469757</v>
      </c>
      <c r="S299" s="168">
        <f ca="1">IF($C299-S$1&lt;År1,0,R298*(1-VLOOKUP($A299,[1]Hugst!$R$5:$W$9,MATCH(ROUNDUP((S$1)/10,0)*10,[1]Hugst!$R$4:$W$4,0))))</f>
        <v>679.66898269221895</v>
      </c>
      <c r="T299" s="168">
        <f ca="1">IF($C299-T$1&lt;År1,0,S298*(1-VLOOKUP($A299,[1]Hugst!$R$5:$W$9,MATCH(ROUNDUP((T$1)/10,0)*10,[1]Hugst!$R$4:$W$4,0))))</f>
        <v>681.22920278019922</v>
      </c>
      <c r="U299" s="168">
        <f ca="1">IF($C299-U$1&lt;År1,0,T298*(1-VLOOKUP($A299,[1]Hugst!$R$5:$W$9,MATCH(ROUNDUP((U$1)/10,0)*10,[1]Hugst!$R$4:$W$4,0))))</f>
        <v>682.79726317011557</v>
      </c>
      <c r="V299" s="168">
        <f ca="1">IF($C299-V$1&lt;År1,0,U298*(1-VLOOKUP($A299,[1]Hugst!$R$5:$W$9,MATCH(ROUNDUP((V$1)/10,0)*10,[1]Hugst!$R$4:$W$4,0))))</f>
        <v>684.37320326049996</v>
      </c>
      <c r="W299" s="168">
        <f ca="1">IF($C299-W$1&lt;År1,0,V298*(1-VLOOKUP($A299,[1]Hugst!$R$5:$W$9,MATCH(ROUNDUP((W$1)/10,0)*10,[1]Hugst!$R$4:$W$4,0))))</f>
        <v>685.95706264781222</v>
      </c>
      <c r="X299" s="168">
        <f ca="1">IF($C299-X$1&lt;År1,0,W298*(1-VLOOKUP($A299,[1]Hugst!$R$5:$W$9,MATCH(ROUNDUP((X$1)/10,0)*10,[1]Hugst!$R$4:$W$4,0))))</f>
        <v>687.54888112752417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*VLOOKUP(A300,Skovbrug!$A$13:$D$17,IF('Skovbrug-alder'!C300&lt;=År2,3,4),FALSE)-IF(C300&gt;2020,SUM(INDEX($C$1:$D$311,MATCH(1,(2020=$C$1:$C$311)*(B300=$B$1:$B$311)*(A300=$A$1:$A$311),0),2):D299),0))</f>
        <v>289.44234762652923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658.62753281171388</v>
      </c>
      <c r="G300" s="168">
        <f ca="1">IF($C300-G$1&lt;År1,0,F299*(1-VLOOKUP($A300,[1]Hugst!$R$5:$W$9,MATCH(ROUNDUP((G$1)/10,0)*10,[1]Hugst!$R$4:$W$4,0))))</f>
        <v>660.08201697065158</v>
      </c>
      <c r="H300" s="168">
        <f ca="1">IF($C300-H$1&lt;År1,0,G299*(1-VLOOKUP($A300,[1]Hugst!$R$5:$W$9,MATCH(ROUNDUP((H$1)/10,0)*10,[1]Hugst!$R$4:$W$4,0))))</f>
        <v>661.54381009519636</v>
      </c>
      <c r="I300" s="168">
        <f ca="1">IF($C300-I$1&lt;År1,0,H299*(1-VLOOKUP($A300,[1]Hugst!$R$5:$W$9,MATCH(ROUNDUP((I$1)/10,0)*10,[1]Hugst!$R$4:$W$4,0))))</f>
        <v>663.01294891383657</v>
      </c>
      <c r="J300" s="168">
        <f ca="1">IF($C300-J$1&lt;År1,0,I299*(1-VLOOKUP($A300,[1]Hugst!$R$5:$W$9,MATCH(ROUNDUP((J$1)/10,0)*10,[1]Hugst!$R$4:$W$4,0))))</f>
        <v>664.4894703396152</v>
      </c>
      <c r="K300" s="168">
        <f ca="1">IF($C300-K$1&lt;År1,0,J299*(1-VLOOKUP($A300,[1]Hugst!$R$5:$W$9,MATCH(ROUNDUP((K$1)/10,0)*10,[1]Hugst!$R$4:$W$4,0))))</f>
        <v>665.97341147103941</v>
      </c>
      <c r="L300" s="168">
        <f ca="1">IF($C300-L$1&lt;År1,0,K299*(1-VLOOKUP($A300,[1]Hugst!$R$5:$W$9,MATCH(ROUNDUP((L$1)/10,0)*10,[1]Hugst!$R$4:$W$4,0))))</f>
        <v>667.46480959307735</v>
      </c>
      <c r="M300" s="168">
        <f ca="1">IF($C300-M$1&lt;År1,0,L299*(1-VLOOKUP($A300,[1]Hugst!$R$5:$W$9,MATCH(ROUNDUP((M$1)/10,0)*10,[1]Hugst!$R$4:$W$4,0))))</f>
        <v>668.96370217804576</v>
      </c>
      <c r="N300" s="168">
        <f ca="1">IF($C300-N$1&lt;År1,0,M299*(1-VLOOKUP($A300,[1]Hugst!$R$5:$W$9,MATCH(ROUNDUP((N$1)/10,0)*10,[1]Hugst!$R$4:$W$4,0))))</f>
        <v>670.47012688654138</v>
      </c>
      <c r="O300" s="168">
        <f ca="1">IF($C300-O$1&lt;År1,0,N299*(1-VLOOKUP($A300,[1]Hugst!$R$5:$W$9,MATCH(ROUNDUP((O$1)/10,0)*10,[1]Hugst!$R$4:$W$4,0))))</f>
        <v>671.98412156847519</v>
      </c>
      <c r="P300" s="168">
        <f ca="1">IF($C300-P$1&lt;År1,0,O299*(1-VLOOKUP($A300,[1]Hugst!$R$5:$W$9,MATCH(ROUNDUP((P$1)/10,0)*10,[1]Hugst!$R$4:$W$4,0))))</f>
        <v>673.505724263861</v>
      </c>
      <c r="Q300" s="168">
        <f ca="1">IF($C300-Q$1&lt;År1,0,P299*(1-VLOOKUP($A300,[1]Hugst!$R$5:$W$9,MATCH(ROUNDUP((Q$1)/10,0)*10,[1]Hugst!$R$4:$W$4,0))))</f>
        <v>675.03497320395729</v>
      </c>
      <c r="R300" s="168">
        <f ca="1">IF($C300-R$1&lt;År1,0,Q299*(1-VLOOKUP($A300,[1]Hugst!$R$5:$W$9,MATCH(ROUNDUP((R$1)/10,0)*10,[1]Hugst!$R$4:$W$4,0))))</f>
        <v>676.57190681208488</v>
      </c>
      <c r="S300" s="168">
        <f ca="1">IF($C300-S$1&lt;År1,0,R299*(1-VLOOKUP($A300,[1]Hugst!$R$5:$W$9,MATCH(ROUNDUP((S$1)/10,0)*10,[1]Hugst!$R$4:$W$4,0))))</f>
        <v>678.11656370469757</v>
      </c>
      <c r="T300" s="168">
        <f ca="1">IF($C300-T$1&lt;År1,0,S299*(1-VLOOKUP($A300,[1]Hugst!$R$5:$W$9,MATCH(ROUNDUP((T$1)/10,0)*10,[1]Hugst!$R$4:$W$4,0))))</f>
        <v>679.66898269221895</v>
      </c>
      <c r="U300" s="168">
        <f ca="1">IF($C300-U$1&lt;År1,0,T299*(1-VLOOKUP($A300,[1]Hugst!$R$5:$W$9,MATCH(ROUNDUP((U$1)/10,0)*10,[1]Hugst!$R$4:$W$4,0))))</f>
        <v>681.22920278019922</v>
      </c>
      <c r="V300" s="168">
        <f ca="1">IF($C300-V$1&lt;År1,0,U299*(1-VLOOKUP($A300,[1]Hugst!$R$5:$W$9,MATCH(ROUNDUP((V$1)/10,0)*10,[1]Hugst!$R$4:$W$4,0))))</f>
        <v>682.79726317011557</v>
      </c>
      <c r="W300" s="168">
        <f ca="1">IF($C300-W$1&lt;År1,0,V299*(1-VLOOKUP($A300,[1]Hugst!$R$5:$W$9,MATCH(ROUNDUP((W$1)/10,0)*10,[1]Hugst!$R$4:$W$4,0))))</f>
        <v>684.37320326049996</v>
      </c>
      <c r="X300" s="168">
        <f ca="1">IF($C300-X$1&lt;År1,0,W299*(1-VLOOKUP($A300,[1]Hugst!$R$5:$W$9,MATCH(ROUNDUP((X$1)/10,0)*10,[1]Hugst!$R$4:$W$4,0))))</f>
        <v>685.95706264781222</v>
      </c>
      <c r="Y300" s="168">
        <f ca="1">IF($C300-Y$1&lt;År1,0,X299*(1-VLOOKUP($A300,[1]Hugst!$R$5:$W$9,MATCH(ROUNDUP((Y$1)/10,0)*10,[1]Hugst!$R$4:$W$4,0))))</f>
        <v>687.54888112752417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*VLOOKUP(A301,Skovbrug!$A$13:$D$17,IF('Skovbrug-alder'!C301&lt;=År2,3,4),FALSE)-IF(C301&gt;2020,SUM(INDEX($C$1:$D$311,MATCH(1,(2020=$C$1:$C$311)*(B301=$B$1:$B$311)*(A301=$A$1:$A$311),0),2):D300),0))</f>
        <v>287.99513588839909</v>
      </c>
      <c r="E301" s="168">
        <f t="shared" ca="1" si="7"/>
        <v>0.22918296037641994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657.40950403396016</v>
      </c>
      <c r="G301" s="168">
        <f ca="1">IF($C301-G$1&lt;År1,0,F300*(1-VLOOKUP($A301,[1]Hugst!$R$5:$W$9,MATCH(ROUNDUP((G$1)/10,0)*10,[1]Hugst!$R$4:$W$4,0))))</f>
        <v>658.62753281171388</v>
      </c>
      <c r="H301" s="168">
        <f ca="1">IF($C301-H$1&lt;År1,0,G300*(1-VLOOKUP($A301,[1]Hugst!$R$5:$W$9,MATCH(ROUNDUP((H$1)/10,0)*10,[1]Hugst!$R$4:$W$4,0))))</f>
        <v>660.08201697065158</v>
      </c>
      <c r="I301" s="168">
        <f ca="1">IF($C301-I$1&lt;År1,0,H300*(1-VLOOKUP($A301,[1]Hugst!$R$5:$W$9,MATCH(ROUNDUP((I$1)/10,0)*10,[1]Hugst!$R$4:$W$4,0))))</f>
        <v>661.54381009519636</v>
      </c>
      <c r="J301" s="168">
        <f ca="1">IF($C301-J$1&lt;År1,0,I300*(1-VLOOKUP($A301,[1]Hugst!$R$5:$W$9,MATCH(ROUNDUP((J$1)/10,0)*10,[1]Hugst!$R$4:$W$4,0))))</f>
        <v>663.01294891383657</v>
      </c>
      <c r="K301" s="168">
        <f ca="1">IF($C301-K$1&lt;År1,0,J300*(1-VLOOKUP($A301,[1]Hugst!$R$5:$W$9,MATCH(ROUNDUP((K$1)/10,0)*10,[1]Hugst!$R$4:$W$4,0))))</f>
        <v>664.4894703396152</v>
      </c>
      <c r="L301" s="168">
        <f ca="1">IF($C301-L$1&lt;År1,0,K300*(1-VLOOKUP($A301,[1]Hugst!$R$5:$W$9,MATCH(ROUNDUP((L$1)/10,0)*10,[1]Hugst!$R$4:$W$4,0))))</f>
        <v>665.97341147103941</v>
      </c>
      <c r="M301" s="168">
        <f ca="1">IF($C301-M$1&lt;År1,0,L300*(1-VLOOKUP($A301,[1]Hugst!$R$5:$W$9,MATCH(ROUNDUP((M$1)/10,0)*10,[1]Hugst!$R$4:$W$4,0))))</f>
        <v>667.46480959307735</v>
      </c>
      <c r="N301" s="168">
        <f ca="1">IF($C301-N$1&lt;År1,0,M300*(1-VLOOKUP($A301,[1]Hugst!$R$5:$W$9,MATCH(ROUNDUP((N$1)/10,0)*10,[1]Hugst!$R$4:$W$4,0))))</f>
        <v>668.96370217804576</v>
      </c>
      <c r="O301" s="168">
        <f ca="1">IF($C301-O$1&lt;År1,0,N300*(1-VLOOKUP($A301,[1]Hugst!$R$5:$W$9,MATCH(ROUNDUP((O$1)/10,0)*10,[1]Hugst!$R$4:$W$4,0))))</f>
        <v>670.47012688654138</v>
      </c>
      <c r="P301" s="168">
        <f ca="1">IF($C301-P$1&lt;År1,0,O300*(1-VLOOKUP($A301,[1]Hugst!$R$5:$W$9,MATCH(ROUNDUP((P$1)/10,0)*10,[1]Hugst!$R$4:$W$4,0))))</f>
        <v>671.98412156847519</v>
      </c>
      <c r="Q301" s="168">
        <f ca="1">IF($C301-Q$1&lt;År1,0,P300*(1-VLOOKUP($A301,[1]Hugst!$R$5:$W$9,MATCH(ROUNDUP((Q$1)/10,0)*10,[1]Hugst!$R$4:$W$4,0))))</f>
        <v>673.505724263861</v>
      </c>
      <c r="R301" s="168">
        <f ca="1">IF($C301-R$1&lt;År1,0,Q300*(1-VLOOKUP($A301,[1]Hugst!$R$5:$W$9,MATCH(ROUNDUP((R$1)/10,0)*10,[1]Hugst!$R$4:$W$4,0))))</f>
        <v>675.03497320395729</v>
      </c>
      <c r="S301" s="168">
        <f ca="1">IF($C301-S$1&lt;År1,0,R300*(1-VLOOKUP($A301,[1]Hugst!$R$5:$W$9,MATCH(ROUNDUP((S$1)/10,0)*10,[1]Hugst!$R$4:$W$4,0))))</f>
        <v>676.57190681208488</v>
      </c>
      <c r="T301" s="168">
        <f ca="1">IF($C301-T$1&lt;År1,0,S300*(1-VLOOKUP($A301,[1]Hugst!$R$5:$W$9,MATCH(ROUNDUP((T$1)/10,0)*10,[1]Hugst!$R$4:$W$4,0))))</f>
        <v>678.11656370469757</v>
      </c>
      <c r="U301" s="168">
        <f ca="1">IF($C301-U$1&lt;År1,0,T300*(1-VLOOKUP($A301,[1]Hugst!$R$5:$W$9,MATCH(ROUNDUP((U$1)/10,0)*10,[1]Hugst!$R$4:$W$4,0))))</f>
        <v>679.66898269221895</v>
      </c>
      <c r="V301" s="168">
        <f ca="1">IF($C301-V$1&lt;År1,0,U300*(1-VLOOKUP($A301,[1]Hugst!$R$5:$W$9,MATCH(ROUNDUP((V$1)/10,0)*10,[1]Hugst!$R$4:$W$4,0))))</f>
        <v>681.22920278019922</v>
      </c>
      <c r="W301" s="168">
        <f ca="1">IF($C301-W$1&lt;År1,0,V300*(1-VLOOKUP($A301,[1]Hugst!$R$5:$W$9,MATCH(ROUNDUP((W$1)/10,0)*10,[1]Hugst!$R$4:$W$4,0))))</f>
        <v>682.79726317011557</v>
      </c>
      <c r="X301" s="168">
        <f ca="1">IF($C301-X$1&lt;År1,0,W300*(1-VLOOKUP($A301,[1]Hugst!$R$5:$W$9,MATCH(ROUNDUP((X$1)/10,0)*10,[1]Hugst!$R$4:$W$4,0))))</f>
        <v>684.37320326049996</v>
      </c>
      <c r="Y301" s="168">
        <f ca="1">IF($C301-Y$1&lt;År1,0,X300*(1-VLOOKUP($A301,[1]Hugst!$R$5:$W$9,MATCH(ROUNDUP((Y$1)/10,0)*10,[1]Hugst!$R$4:$W$4,0))))</f>
        <v>685.95706264781222</v>
      </c>
      <c r="Z301" s="168">
        <f ca="1">IF($C301-Z$1&lt;År1,0,Y300*(1-VLOOKUP($A301,[1]Hugst!$R$5:$W$9,MATCH(ROUNDUP((Z$1)/10,0)*10,[1]Hugst!$R$4:$W$4,0))))</f>
        <v>687.31969816714832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*VLOOKUP(A302,Skovbrug!$A$13:$D$17,IF('Skovbrug-alder'!C302&lt;=År2,3,4),FALSE)-IF(C302&gt;2020,SUM(INDEX($C$1:$D$311,MATCH(1,(2020=$C$1:$C$311)*(B302=$B$1:$B$311)*(A302=$A$1:$A$311),0),2):D301),0))</f>
        <v>286.55516020896175</v>
      </c>
      <c r="E302" s="168">
        <f t="shared" ca="1" si="7"/>
        <v>0.45775892027268128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656.19810431441908</v>
      </c>
      <c r="G302" s="168">
        <f ca="1">IF($C302-G$1&lt;År1,0,F301*(1-VLOOKUP($A302,[1]Hugst!$R$5:$W$9,MATCH(ROUNDUP((G$1)/10,0)*10,[1]Hugst!$R$4:$W$4,0))))</f>
        <v>657.40950403396016</v>
      </c>
      <c r="H302" s="168">
        <f ca="1">IF($C302-H$1&lt;År1,0,G301*(1-VLOOKUP($A302,[1]Hugst!$R$5:$W$9,MATCH(ROUNDUP((H$1)/10,0)*10,[1]Hugst!$R$4:$W$4,0))))</f>
        <v>658.62753281171388</v>
      </c>
      <c r="I302" s="168">
        <f ca="1">IF($C302-I$1&lt;År1,0,H301*(1-VLOOKUP($A302,[1]Hugst!$R$5:$W$9,MATCH(ROUNDUP((I$1)/10,0)*10,[1]Hugst!$R$4:$W$4,0))))</f>
        <v>660.08201697065158</v>
      </c>
      <c r="J302" s="168">
        <f ca="1">IF($C302-J$1&lt;År1,0,I301*(1-VLOOKUP($A302,[1]Hugst!$R$5:$W$9,MATCH(ROUNDUP((J$1)/10,0)*10,[1]Hugst!$R$4:$W$4,0))))</f>
        <v>661.54381009519636</v>
      </c>
      <c r="K302" s="168">
        <f ca="1">IF($C302-K$1&lt;År1,0,J301*(1-VLOOKUP($A302,[1]Hugst!$R$5:$W$9,MATCH(ROUNDUP((K$1)/10,0)*10,[1]Hugst!$R$4:$W$4,0))))</f>
        <v>663.01294891383657</v>
      </c>
      <c r="L302" s="168">
        <f ca="1">IF($C302-L$1&lt;År1,0,K301*(1-VLOOKUP($A302,[1]Hugst!$R$5:$W$9,MATCH(ROUNDUP((L$1)/10,0)*10,[1]Hugst!$R$4:$W$4,0))))</f>
        <v>664.4894703396152</v>
      </c>
      <c r="M302" s="168">
        <f ca="1">IF($C302-M$1&lt;År1,0,L301*(1-VLOOKUP($A302,[1]Hugst!$R$5:$W$9,MATCH(ROUNDUP((M$1)/10,0)*10,[1]Hugst!$R$4:$W$4,0))))</f>
        <v>665.97341147103941</v>
      </c>
      <c r="N302" s="168">
        <f ca="1">IF($C302-N$1&lt;År1,0,M301*(1-VLOOKUP($A302,[1]Hugst!$R$5:$W$9,MATCH(ROUNDUP((N$1)/10,0)*10,[1]Hugst!$R$4:$W$4,0))))</f>
        <v>667.46480959307735</v>
      </c>
      <c r="O302" s="168">
        <f ca="1">IF($C302-O$1&lt;År1,0,N301*(1-VLOOKUP($A302,[1]Hugst!$R$5:$W$9,MATCH(ROUNDUP((O$1)/10,0)*10,[1]Hugst!$R$4:$W$4,0))))</f>
        <v>668.96370217804576</v>
      </c>
      <c r="P302" s="168">
        <f ca="1">IF($C302-P$1&lt;År1,0,O301*(1-VLOOKUP($A302,[1]Hugst!$R$5:$W$9,MATCH(ROUNDUP((P$1)/10,0)*10,[1]Hugst!$R$4:$W$4,0))))</f>
        <v>670.47012688654138</v>
      </c>
      <c r="Q302" s="168">
        <f ca="1">IF($C302-Q$1&lt;År1,0,P301*(1-VLOOKUP($A302,[1]Hugst!$R$5:$W$9,MATCH(ROUNDUP((Q$1)/10,0)*10,[1]Hugst!$R$4:$W$4,0))))</f>
        <v>671.98412156847519</v>
      </c>
      <c r="R302" s="168">
        <f ca="1">IF($C302-R$1&lt;År1,0,Q301*(1-VLOOKUP($A302,[1]Hugst!$R$5:$W$9,MATCH(ROUNDUP((R$1)/10,0)*10,[1]Hugst!$R$4:$W$4,0))))</f>
        <v>673.505724263861</v>
      </c>
      <c r="S302" s="168">
        <f ca="1">IF($C302-S$1&lt;År1,0,R301*(1-VLOOKUP($A302,[1]Hugst!$R$5:$W$9,MATCH(ROUNDUP((S$1)/10,0)*10,[1]Hugst!$R$4:$W$4,0))))</f>
        <v>675.03497320395729</v>
      </c>
      <c r="T302" s="168">
        <f ca="1">IF($C302-T$1&lt;År1,0,S301*(1-VLOOKUP($A302,[1]Hugst!$R$5:$W$9,MATCH(ROUNDUP((T$1)/10,0)*10,[1]Hugst!$R$4:$W$4,0))))</f>
        <v>676.57190681208488</v>
      </c>
      <c r="U302" s="168">
        <f ca="1">IF($C302-U$1&lt;År1,0,T301*(1-VLOOKUP($A302,[1]Hugst!$R$5:$W$9,MATCH(ROUNDUP((U$1)/10,0)*10,[1]Hugst!$R$4:$W$4,0))))</f>
        <v>678.11656370469757</v>
      </c>
      <c r="V302" s="168">
        <f ca="1">IF($C302-V$1&lt;År1,0,U301*(1-VLOOKUP($A302,[1]Hugst!$R$5:$W$9,MATCH(ROUNDUP((V$1)/10,0)*10,[1]Hugst!$R$4:$W$4,0))))</f>
        <v>679.66898269221895</v>
      </c>
      <c r="W302" s="168">
        <f ca="1">IF($C302-W$1&lt;År1,0,V301*(1-VLOOKUP($A302,[1]Hugst!$R$5:$W$9,MATCH(ROUNDUP((W$1)/10,0)*10,[1]Hugst!$R$4:$W$4,0))))</f>
        <v>681.22920278019922</v>
      </c>
      <c r="X302" s="168">
        <f ca="1">IF($C302-X$1&lt;År1,0,W301*(1-VLOOKUP($A302,[1]Hugst!$R$5:$W$9,MATCH(ROUNDUP((X$1)/10,0)*10,[1]Hugst!$R$4:$W$4,0))))</f>
        <v>682.79726317011557</v>
      </c>
      <c r="Y302" s="168">
        <f ca="1">IF($C302-Y$1&lt;År1,0,X301*(1-VLOOKUP($A302,[1]Hugst!$R$5:$W$9,MATCH(ROUNDUP((Y$1)/10,0)*10,[1]Hugst!$R$4:$W$4,0))))</f>
        <v>684.37320326049996</v>
      </c>
      <c r="Z302" s="168">
        <f ca="1">IF($C302-Z$1&lt;År1,0,Y301*(1-VLOOKUP($A302,[1]Hugst!$R$5:$W$9,MATCH(ROUNDUP((Z$1)/10,0)*10,[1]Hugst!$R$4:$W$4,0))))</f>
        <v>685.72841029359631</v>
      </c>
      <c r="AA302" s="168">
        <f ca="1">IF($C302-AA$1&lt;År1,0,Z301*(1-VLOOKUP($A302,[1]Hugst!$R$5:$W$9,MATCH(ROUNDUP((AA$1)/10,0)*10,[1]Hugst!$R$4:$W$4,0))))</f>
        <v>687.09059160109268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*VLOOKUP(A303,Skovbrug!$A$13:$D$17,IF('Skovbrug-alder'!C303&lt;=År2,3,4),FALSE)-IF(C303&gt;2020,SUM(INDEX($C$1:$D$311,MATCH(1,(2020=$C$1:$C$311)*(B303=$B$1:$B$311)*(A303=$A$1:$A$311),0),2):D302),0))</f>
        <v>285.12238440791407</v>
      </c>
      <c r="E303" s="168">
        <f t="shared" ca="1" si="7"/>
        <v>0.68573073505103821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654.99330032814976</v>
      </c>
      <c r="G303" s="168">
        <f ca="1">IF($C303-G$1&lt;År1,0,F302*(1-VLOOKUP($A303,[1]Hugst!$R$5:$W$9,MATCH(ROUNDUP((G$1)/10,0)*10,[1]Hugst!$R$4:$W$4,0))))</f>
        <v>656.19810431441908</v>
      </c>
      <c r="H303" s="168">
        <f ca="1">IF($C303-H$1&lt;År1,0,G302*(1-VLOOKUP($A303,[1]Hugst!$R$5:$W$9,MATCH(ROUNDUP((H$1)/10,0)*10,[1]Hugst!$R$4:$W$4,0))))</f>
        <v>657.40950403396016</v>
      </c>
      <c r="I303" s="168">
        <f ca="1">IF($C303-I$1&lt;År1,0,H302*(1-VLOOKUP($A303,[1]Hugst!$R$5:$W$9,MATCH(ROUNDUP((I$1)/10,0)*10,[1]Hugst!$R$4:$W$4,0))))</f>
        <v>658.62753281171388</v>
      </c>
      <c r="J303" s="168">
        <f ca="1">IF($C303-J$1&lt;År1,0,I302*(1-VLOOKUP($A303,[1]Hugst!$R$5:$W$9,MATCH(ROUNDUP((J$1)/10,0)*10,[1]Hugst!$R$4:$W$4,0))))</f>
        <v>660.08201697065158</v>
      </c>
      <c r="K303" s="168">
        <f ca="1">IF($C303-K$1&lt;År1,0,J302*(1-VLOOKUP($A303,[1]Hugst!$R$5:$W$9,MATCH(ROUNDUP((K$1)/10,0)*10,[1]Hugst!$R$4:$W$4,0))))</f>
        <v>661.54381009519636</v>
      </c>
      <c r="L303" s="168">
        <f ca="1">IF($C303-L$1&lt;År1,0,K302*(1-VLOOKUP($A303,[1]Hugst!$R$5:$W$9,MATCH(ROUNDUP((L$1)/10,0)*10,[1]Hugst!$R$4:$W$4,0))))</f>
        <v>663.01294891383657</v>
      </c>
      <c r="M303" s="168">
        <f ca="1">IF($C303-M$1&lt;År1,0,L302*(1-VLOOKUP($A303,[1]Hugst!$R$5:$W$9,MATCH(ROUNDUP((M$1)/10,0)*10,[1]Hugst!$R$4:$W$4,0))))</f>
        <v>664.4894703396152</v>
      </c>
      <c r="N303" s="168">
        <f ca="1">IF($C303-N$1&lt;År1,0,M302*(1-VLOOKUP($A303,[1]Hugst!$R$5:$W$9,MATCH(ROUNDUP((N$1)/10,0)*10,[1]Hugst!$R$4:$W$4,0))))</f>
        <v>665.97341147103941</v>
      </c>
      <c r="O303" s="168">
        <f ca="1">IF($C303-O$1&lt;År1,0,N302*(1-VLOOKUP($A303,[1]Hugst!$R$5:$W$9,MATCH(ROUNDUP((O$1)/10,0)*10,[1]Hugst!$R$4:$W$4,0))))</f>
        <v>667.46480959307735</v>
      </c>
      <c r="P303" s="168">
        <f ca="1">IF($C303-P$1&lt;År1,0,O302*(1-VLOOKUP($A303,[1]Hugst!$R$5:$W$9,MATCH(ROUNDUP((P$1)/10,0)*10,[1]Hugst!$R$4:$W$4,0))))</f>
        <v>668.96370217804576</v>
      </c>
      <c r="Q303" s="168">
        <f ca="1">IF($C303-Q$1&lt;År1,0,P302*(1-VLOOKUP($A303,[1]Hugst!$R$5:$W$9,MATCH(ROUNDUP((Q$1)/10,0)*10,[1]Hugst!$R$4:$W$4,0))))</f>
        <v>670.47012688654138</v>
      </c>
      <c r="R303" s="168">
        <f ca="1">IF($C303-R$1&lt;År1,0,Q302*(1-VLOOKUP($A303,[1]Hugst!$R$5:$W$9,MATCH(ROUNDUP((R$1)/10,0)*10,[1]Hugst!$R$4:$W$4,0))))</f>
        <v>671.98412156847519</v>
      </c>
      <c r="S303" s="168">
        <f ca="1">IF($C303-S$1&lt;År1,0,R302*(1-VLOOKUP($A303,[1]Hugst!$R$5:$W$9,MATCH(ROUNDUP((S$1)/10,0)*10,[1]Hugst!$R$4:$W$4,0))))</f>
        <v>673.505724263861</v>
      </c>
      <c r="T303" s="168">
        <f ca="1">IF($C303-T$1&lt;År1,0,S302*(1-VLOOKUP($A303,[1]Hugst!$R$5:$W$9,MATCH(ROUNDUP((T$1)/10,0)*10,[1]Hugst!$R$4:$W$4,0))))</f>
        <v>675.03497320395729</v>
      </c>
      <c r="U303" s="168">
        <f ca="1">IF($C303-U$1&lt;År1,0,T302*(1-VLOOKUP($A303,[1]Hugst!$R$5:$W$9,MATCH(ROUNDUP((U$1)/10,0)*10,[1]Hugst!$R$4:$W$4,0))))</f>
        <v>676.57190681208488</v>
      </c>
      <c r="V303" s="168">
        <f ca="1">IF($C303-V$1&lt;År1,0,U302*(1-VLOOKUP($A303,[1]Hugst!$R$5:$W$9,MATCH(ROUNDUP((V$1)/10,0)*10,[1]Hugst!$R$4:$W$4,0))))</f>
        <v>678.11656370469757</v>
      </c>
      <c r="W303" s="168">
        <f ca="1">IF($C303-W$1&lt;År1,0,V302*(1-VLOOKUP($A303,[1]Hugst!$R$5:$W$9,MATCH(ROUNDUP((W$1)/10,0)*10,[1]Hugst!$R$4:$W$4,0))))</f>
        <v>679.66898269221895</v>
      </c>
      <c r="X303" s="168">
        <f ca="1">IF($C303-X$1&lt;År1,0,W302*(1-VLOOKUP($A303,[1]Hugst!$R$5:$W$9,MATCH(ROUNDUP((X$1)/10,0)*10,[1]Hugst!$R$4:$W$4,0))))</f>
        <v>681.22920278019922</v>
      </c>
      <c r="Y303" s="168">
        <f ca="1">IF($C303-Y$1&lt;År1,0,X302*(1-VLOOKUP($A303,[1]Hugst!$R$5:$W$9,MATCH(ROUNDUP((Y$1)/10,0)*10,[1]Hugst!$R$4:$W$4,0))))</f>
        <v>682.79726317011557</v>
      </c>
      <c r="Z303" s="168">
        <f ca="1">IF($C303-Z$1&lt;År1,0,Y302*(1-VLOOKUP($A303,[1]Hugst!$R$5:$W$9,MATCH(ROUNDUP((Z$1)/10,0)*10,[1]Hugst!$R$4:$W$4,0))))</f>
        <v>684.14507885941316</v>
      </c>
      <c r="AA303" s="168">
        <f ca="1">IF($C303-AA$1&lt;År1,0,Z302*(1-VLOOKUP($A303,[1]Hugst!$R$5:$W$9,MATCH(ROUNDUP((AA$1)/10,0)*10,[1]Hugst!$R$4:$W$4,0))))</f>
        <v>685.49983415683175</v>
      </c>
      <c r="AB303" s="168">
        <f ca="1">IF($C303-AB$1&lt;År1,0,AA302*(1-VLOOKUP($A303,[1]Hugst!$R$5:$W$9,MATCH(ROUNDUP((AB$1)/10,0)*10,[1]Hugst!$R$4:$W$4,0))))</f>
        <v>686.86156140389232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*VLOOKUP(A304,Skovbrug!$A$13:$D$17,IF('Skovbrug-alder'!C304&lt;=År2,3,4),FALSE)-IF(C304&gt;2020,SUM(INDEX($C$1:$D$311,MATCH(1,(2020=$C$1:$C$311)*(B304=$B$1:$B$311)*(A304=$A$1:$A$311),0),2):D303),0))</f>
        <v>283.69677248587686</v>
      </c>
      <c r="E304" s="168">
        <f t="shared" ca="1" si="7"/>
        <v>0.9131012458637997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653.79505891692531</v>
      </c>
      <c r="G304" s="168">
        <f ca="1">IF($C304-G$1&lt;År1,0,F303*(1-VLOOKUP($A304,[1]Hugst!$R$5:$W$9,MATCH(ROUNDUP((G$1)/10,0)*10,[1]Hugst!$R$4:$W$4,0))))</f>
        <v>654.99330032814976</v>
      </c>
      <c r="H304" s="168">
        <f ca="1">IF($C304-H$1&lt;År1,0,G303*(1-VLOOKUP($A304,[1]Hugst!$R$5:$W$9,MATCH(ROUNDUP((H$1)/10,0)*10,[1]Hugst!$R$4:$W$4,0))))</f>
        <v>656.19810431441908</v>
      </c>
      <c r="I304" s="168">
        <f ca="1">IF($C304-I$1&lt;År1,0,H303*(1-VLOOKUP($A304,[1]Hugst!$R$5:$W$9,MATCH(ROUNDUP((I$1)/10,0)*10,[1]Hugst!$R$4:$W$4,0))))</f>
        <v>657.40950403396016</v>
      </c>
      <c r="J304" s="168">
        <f ca="1">IF($C304-J$1&lt;År1,0,I303*(1-VLOOKUP($A304,[1]Hugst!$R$5:$W$9,MATCH(ROUNDUP((J$1)/10,0)*10,[1]Hugst!$R$4:$W$4,0))))</f>
        <v>658.62753281171388</v>
      </c>
      <c r="K304" s="168">
        <f ca="1">IF($C304-K$1&lt;År1,0,J303*(1-VLOOKUP($A304,[1]Hugst!$R$5:$W$9,MATCH(ROUNDUP((K$1)/10,0)*10,[1]Hugst!$R$4:$W$4,0))))</f>
        <v>660.08201697065158</v>
      </c>
      <c r="L304" s="168">
        <f ca="1">IF($C304-L$1&lt;År1,0,K303*(1-VLOOKUP($A304,[1]Hugst!$R$5:$W$9,MATCH(ROUNDUP((L$1)/10,0)*10,[1]Hugst!$R$4:$W$4,0))))</f>
        <v>661.54381009519636</v>
      </c>
      <c r="M304" s="168">
        <f ca="1">IF($C304-M$1&lt;År1,0,L303*(1-VLOOKUP($A304,[1]Hugst!$R$5:$W$9,MATCH(ROUNDUP((M$1)/10,0)*10,[1]Hugst!$R$4:$W$4,0))))</f>
        <v>663.01294891383657</v>
      </c>
      <c r="N304" s="168">
        <f ca="1">IF($C304-N$1&lt;År1,0,M303*(1-VLOOKUP($A304,[1]Hugst!$R$5:$W$9,MATCH(ROUNDUP((N$1)/10,0)*10,[1]Hugst!$R$4:$W$4,0))))</f>
        <v>664.4894703396152</v>
      </c>
      <c r="O304" s="168">
        <f ca="1">IF($C304-O$1&lt;År1,0,N303*(1-VLOOKUP($A304,[1]Hugst!$R$5:$W$9,MATCH(ROUNDUP((O$1)/10,0)*10,[1]Hugst!$R$4:$W$4,0))))</f>
        <v>665.97341147103941</v>
      </c>
      <c r="P304" s="168">
        <f ca="1">IF($C304-P$1&lt;År1,0,O303*(1-VLOOKUP($A304,[1]Hugst!$R$5:$W$9,MATCH(ROUNDUP((P$1)/10,0)*10,[1]Hugst!$R$4:$W$4,0))))</f>
        <v>667.46480959307735</v>
      </c>
      <c r="Q304" s="168">
        <f ca="1">IF($C304-Q$1&lt;År1,0,P303*(1-VLOOKUP($A304,[1]Hugst!$R$5:$W$9,MATCH(ROUNDUP((Q$1)/10,0)*10,[1]Hugst!$R$4:$W$4,0))))</f>
        <v>668.96370217804576</v>
      </c>
      <c r="R304" s="168">
        <f ca="1">IF($C304-R$1&lt;År1,0,Q303*(1-VLOOKUP($A304,[1]Hugst!$R$5:$W$9,MATCH(ROUNDUP((R$1)/10,0)*10,[1]Hugst!$R$4:$W$4,0))))</f>
        <v>670.47012688654138</v>
      </c>
      <c r="S304" s="168">
        <f ca="1">IF($C304-S$1&lt;År1,0,R303*(1-VLOOKUP($A304,[1]Hugst!$R$5:$W$9,MATCH(ROUNDUP((S$1)/10,0)*10,[1]Hugst!$R$4:$W$4,0))))</f>
        <v>671.98412156847519</v>
      </c>
      <c r="T304" s="168">
        <f ca="1">IF($C304-T$1&lt;År1,0,S303*(1-VLOOKUP($A304,[1]Hugst!$R$5:$W$9,MATCH(ROUNDUP((T$1)/10,0)*10,[1]Hugst!$R$4:$W$4,0))))</f>
        <v>673.505724263861</v>
      </c>
      <c r="U304" s="168">
        <f ca="1">IF($C304-U$1&lt;År1,0,T303*(1-VLOOKUP($A304,[1]Hugst!$R$5:$W$9,MATCH(ROUNDUP((U$1)/10,0)*10,[1]Hugst!$R$4:$W$4,0))))</f>
        <v>675.03497320395729</v>
      </c>
      <c r="V304" s="168">
        <f ca="1">IF($C304-V$1&lt;År1,0,U303*(1-VLOOKUP($A304,[1]Hugst!$R$5:$W$9,MATCH(ROUNDUP((V$1)/10,0)*10,[1]Hugst!$R$4:$W$4,0))))</f>
        <v>676.57190681208488</v>
      </c>
      <c r="W304" s="168">
        <f ca="1">IF($C304-W$1&lt;År1,0,V303*(1-VLOOKUP($A304,[1]Hugst!$R$5:$W$9,MATCH(ROUNDUP((W$1)/10,0)*10,[1]Hugst!$R$4:$W$4,0))))</f>
        <v>678.11656370469757</v>
      </c>
      <c r="X304" s="168">
        <f ca="1">IF($C304-X$1&lt;År1,0,W303*(1-VLOOKUP($A304,[1]Hugst!$R$5:$W$9,MATCH(ROUNDUP((X$1)/10,0)*10,[1]Hugst!$R$4:$W$4,0))))</f>
        <v>679.66898269221895</v>
      </c>
      <c r="Y304" s="168">
        <f ca="1">IF($C304-Y$1&lt;År1,0,X303*(1-VLOOKUP($A304,[1]Hugst!$R$5:$W$9,MATCH(ROUNDUP((Y$1)/10,0)*10,[1]Hugst!$R$4:$W$4,0))))</f>
        <v>681.22920278019922</v>
      </c>
      <c r="Z304" s="168">
        <f ca="1">IF($C304-Z$1&lt;År1,0,Y303*(1-VLOOKUP($A304,[1]Hugst!$R$5:$W$9,MATCH(ROUNDUP((Z$1)/10,0)*10,[1]Hugst!$R$4:$W$4,0))))</f>
        <v>682.56966408239225</v>
      </c>
      <c r="AA304" s="168">
        <f ca="1">IF($C304-AA$1&lt;År1,0,Z303*(1-VLOOKUP($A304,[1]Hugst!$R$5:$W$9,MATCH(ROUNDUP((AA$1)/10,0)*10,[1]Hugst!$R$4:$W$4,0))))</f>
        <v>683.91703049979333</v>
      </c>
      <c r="AB304" s="168">
        <f ca="1">IF($C304-AB$1&lt;År1,0,AA303*(1-VLOOKUP($A304,[1]Hugst!$R$5:$W$9,MATCH(ROUNDUP((AB$1)/10,0)*10,[1]Hugst!$R$4:$W$4,0))))</f>
        <v>685.27133421211283</v>
      </c>
      <c r="AC304" s="168">
        <f ca="1">IF($C304-AC$1&lt;År1,0,AB303*(1-VLOOKUP($A304,[1]Hugst!$R$5:$W$9,MATCH(ROUNDUP((AC$1)/10,0)*10,[1]Hugst!$R$4:$W$4,0))))</f>
        <v>686.63260755009105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*VLOOKUP(A305,Skovbrug!$A$13:$D$17,IF('Skovbrug-alder'!C305&lt;=År2,3,4),FALSE)-IF(C305&gt;2020,SUM(INDEX($C$1:$D$311,MATCH(1,(2020=$C$1:$C$311)*(B305=$B$1:$B$311)*(A305=$A$1:$A$311),0),2):D304),0))</f>
        <v>282.27828862344177</v>
      </c>
      <c r="E305" s="168">
        <f t="shared" ca="1" si="7"/>
        <v>1.1398732797078992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652.60334708833432</v>
      </c>
      <c r="G305" s="168">
        <f ca="1">IF($C305-G$1&lt;År1,0,F304*(1-VLOOKUP($A305,[1]Hugst!$R$5:$W$9,MATCH(ROUNDUP((G$1)/10,0)*10,[1]Hugst!$R$4:$W$4,0))))</f>
        <v>653.79505891692531</v>
      </c>
      <c r="H305" s="168">
        <f ca="1">IF($C305-H$1&lt;År1,0,G304*(1-VLOOKUP($A305,[1]Hugst!$R$5:$W$9,MATCH(ROUNDUP((H$1)/10,0)*10,[1]Hugst!$R$4:$W$4,0))))</f>
        <v>654.99330032814976</v>
      </c>
      <c r="I305" s="168">
        <f ca="1">IF($C305-I$1&lt;År1,0,H304*(1-VLOOKUP($A305,[1]Hugst!$R$5:$W$9,MATCH(ROUNDUP((I$1)/10,0)*10,[1]Hugst!$R$4:$W$4,0))))</f>
        <v>656.19810431441908</v>
      </c>
      <c r="J305" s="168">
        <f ca="1">IF($C305-J$1&lt;År1,0,I304*(1-VLOOKUP($A305,[1]Hugst!$R$5:$W$9,MATCH(ROUNDUP((J$1)/10,0)*10,[1]Hugst!$R$4:$W$4,0))))</f>
        <v>657.40950403396016</v>
      </c>
      <c r="K305" s="168">
        <f ca="1">IF($C305-K$1&lt;År1,0,J304*(1-VLOOKUP($A305,[1]Hugst!$R$5:$W$9,MATCH(ROUNDUP((K$1)/10,0)*10,[1]Hugst!$R$4:$W$4,0))))</f>
        <v>658.62753281171388</v>
      </c>
      <c r="L305" s="168">
        <f ca="1">IF($C305-L$1&lt;År1,0,K304*(1-VLOOKUP($A305,[1]Hugst!$R$5:$W$9,MATCH(ROUNDUP((L$1)/10,0)*10,[1]Hugst!$R$4:$W$4,0))))</f>
        <v>660.08201697065158</v>
      </c>
      <c r="M305" s="168">
        <f ca="1">IF($C305-M$1&lt;År1,0,L304*(1-VLOOKUP($A305,[1]Hugst!$R$5:$W$9,MATCH(ROUNDUP((M$1)/10,0)*10,[1]Hugst!$R$4:$W$4,0))))</f>
        <v>661.54381009519636</v>
      </c>
      <c r="N305" s="168">
        <f ca="1">IF($C305-N$1&lt;År1,0,M304*(1-VLOOKUP($A305,[1]Hugst!$R$5:$W$9,MATCH(ROUNDUP((N$1)/10,0)*10,[1]Hugst!$R$4:$W$4,0))))</f>
        <v>663.01294891383657</v>
      </c>
      <c r="O305" s="168">
        <f ca="1">IF($C305-O$1&lt;År1,0,N304*(1-VLOOKUP($A305,[1]Hugst!$R$5:$W$9,MATCH(ROUNDUP((O$1)/10,0)*10,[1]Hugst!$R$4:$W$4,0))))</f>
        <v>664.4894703396152</v>
      </c>
      <c r="P305" s="168">
        <f ca="1">IF($C305-P$1&lt;År1,0,O304*(1-VLOOKUP($A305,[1]Hugst!$R$5:$W$9,MATCH(ROUNDUP((P$1)/10,0)*10,[1]Hugst!$R$4:$W$4,0))))</f>
        <v>665.97341147103941</v>
      </c>
      <c r="Q305" s="168">
        <f ca="1">IF($C305-Q$1&lt;År1,0,P304*(1-VLOOKUP($A305,[1]Hugst!$R$5:$W$9,MATCH(ROUNDUP((Q$1)/10,0)*10,[1]Hugst!$R$4:$W$4,0))))</f>
        <v>667.46480959307735</v>
      </c>
      <c r="R305" s="168">
        <f ca="1">IF($C305-R$1&lt;År1,0,Q304*(1-VLOOKUP($A305,[1]Hugst!$R$5:$W$9,MATCH(ROUNDUP((R$1)/10,0)*10,[1]Hugst!$R$4:$W$4,0))))</f>
        <v>668.96370217804576</v>
      </c>
      <c r="S305" s="168">
        <f ca="1">IF($C305-S$1&lt;År1,0,R304*(1-VLOOKUP($A305,[1]Hugst!$R$5:$W$9,MATCH(ROUNDUP((S$1)/10,0)*10,[1]Hugst!$R$4:$W$4,0))))</f>
        <v>670.47012688654138</v>
      </c>
      <c r="T305" s="168">
        <f ca="1">IF($C305-T$1&lt;År1,0,S304*(1-VLOOKUP($A305,[1]Hugst!$R$5:$W$9,MATCH(ROUNDUP((T$1)/10,0)*10,[1]Hugst!$R$4:$W$4,0))))</f>
        <v>671.98412156847519</v>
      </c>
      <c r="U305" s="168">
        <f ca="1">IF($C305-U$1&lt;År1,0,T304*(1-VLOOKUP($A305,[1]Hugst!$R$5:$W$9,MATCH(ROUNDUP((U$1)/10,0)*10,[1]Hugst!$R$4:$W$4,0))))</f>
        <v>673.505724263861</v>
      </c>
      <c r="V305" s="168">
        <f ca="1">IF($C305-V$1&lt;År1,0,U304*(1-VLOOKUP($A305,[1]Hugst!$R$5:$W$9,MATCH(ROUNDUP((V$1)/10,0)*10,[1]Hugst!$R$4:$W$4,0))))</f>
        <v>675.03497320395729</v>
      </c>
      <c r="W305" s="168">
        <f ca="1">IF($C305-W$1&lt;År1,0,V304*(1-VLOOKUP($A305,[1]Hugst!$R$5:$W$9,MATCH(ROUNDUP((W$1)/10,0)*10,[1]Hugst!$R$4:$W$4,0))))</f>
        <v>676.57190681208488</v>
      </c>
      <c r="X305" s="168">
        <f ca="1">IF($C305-X$1&lt;År1,0,W304*(1-VLOOKUP($A305,[1]Hugst!$R$5:$W$9,MATCH(ROUNDUP((X$1)/10,0)*10,[1]Hugst!$R$4:$W$4,0))))</f>
        <v>678.11656370469757</v>
      </c>
      <c r="Y305" s="168">
        <f ca="1">IF($C305-Y$1&lt;År1,0,X304*(1-VLOOKUP($A305,[1]Hugst!$R$5:$W$9,MATCH(ROUNDUP((Y$1)/10,0)*10,[1]Hugst!$R$4:$W$4,0))))</f>
        <v>679.66898269221895</v>
      </c>
      <c r="Z305" s="168">
        <f ca="1">IF($C305-Z$1&lt;År1,0,Y304*(1-VLOOKUP($A305,[1]Hugst!$R$5:$W$9,MATCH(ROUNDUP((Z$1)/10,0)*10,[1]Hugst!$R$4:$W$4,0))))</f>
        <v>681.00212637927245</v>
      </c>
      <c r="AA305" s="168">
        <f ca="1">IF($C305-AA$1&lt;År1,0,Z304*(1-VLOOKUP($A305,[1]Hugst!$R$5:$W$9,MATCH(ROUNDUP((AA$1)/10,0)*10,[1]Hugst!$R$4:$W$4,0))))</f>
        <v>682.34214086103145</v>
      </c>
      <c r="AB305" s="168">
        <f ca="1">IF($C305-AB$1&lt;År1,0,AA304*(1-VLOOKUP($A305,[1]Hugst!$R$5:$W$9,MATCH(ROUNDUP((AB$1)/10,0)*10,[1]Hugst!$R$4:$W$4,0))))</f>
        <v>683.68905815629341</v>
      </c>
      <c r="AC305" s="168">
        <f ca="1">IF($C305-AC$1&lt;År1,0,AB304*(1-VLOOKUP($A305,[1]Hugst!$R$5:$W$9,MATCH(ROUNDUP((AC$1)/10,0)*10,[1]Hugst!$R$4:$W$4,0))))</f>
        <v>685.04291043404214</v>
      </c>
      <c r="AD305" s="168">
        <f ca="1">IF($C305-AD$1&lt;År1,0,AC304*(1-VLOOKUP($A305,[1]Hugst!$R$5:$W$9,MATCH(ROUNDUP((AD$1)/10,0)*10,[1]Hugst!$R$4:$W$4,0))))</f>
        <v>686.40373001424109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*VLOOKUP(A306,Skovbrug!$A$13:$D$17,IF('Skovbrug-alder'!C306&lt;=År2,3,4),FALSE)-IF(C306&gt;2020,SUM(INDEX($C$1:$D$311,MATCH(1,(2020=$C$1:$C$311)*(B306=$B$1:$B$311)*(A306=$A$1:$A$311),0),2):D305),0))</f>
        <v>280.86689718032721</v>
      </c>
      <c r="E306" s="168">
        <f t="shared" ca="1" si="7"/>
        <v>1.3660496495140251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651.41813201502589</v>
      </c>
      <c r="G306" s="168">
        <f ca="1">IF($C306-G$1&lt;År1,0,F305*(1-VLOOKUP($A306,[1]Hugst!$R$5:$W$9,MATCH(ROUNDUP((G$1)/10,0)*10,[1]Hugst!$R$4:$W$4,0))))</f>
        <v>652.60334708833432</v>
      </c>
      <c r="H306" s="168">
        <f ca="1">IF($C306-H$1&lt;År1,0,G305*(1-VLOOKUP($A306,[1]Hugst!$R$5:$W$9,MATCH(ROUNDUP((H$1)/10,0)*10,[1]Hugst!$R$4:$W$4,0))))</f>
        <v>653.79505891692531</v>
      </c>
      <c r="I306" s="168">
        <f ca="1">IF($C306-I$1&lt;År1,0,H305*(1-VLOOKUP($A306,[1]Hugst!$R$5:$W$9,MATCH(ROUNDUP((I$1)/10,0)*10,[1]Hugst!$R$4:$W$4,0))))</f>
        <v>654.99330032814976</v>
      </c>
      <c r="J306" s="168">
        <f ca="1">IF($C306-J$1&lt;År1,0,I305*(1-VLOOKUP($A306,[1]Hugst!$R$5:$W$9,MATCH(ROUNDUP((J$1)/10,0)*10,[1]Hugst!$R$4:$W$4,0))))</f>
        <v>656.19810431441908</v>
      </c>
      <c r="K306" s="168">
        <f ca="1">IF($C306-K$1&lt;År1,0,J305*(1-VLOOKUP($A306,[1]Hugst!$R$5:$W$9,MATCH(ROUNDUP((K$1)/10,0)*10,[1]Hugst!$R$4:$W$4,0))))</f>
        <v>657.40950403396016</v>
      </c>
      <c r="L306" s="168">
        <f ca="1">IF($C306-L$1&lt;År1,0,K305*(1-VLOOKUP($A306,[1]Hugst!$R$5:$W$9,MATCH(ROUNDUP((L$1)/10,0)*10,[1]Hugst!$R$4:$W$4,0))))</f>
        <v>658.62753281171388</v>
      </c>
      <c r="M306" s="168">
        <f ca="1">IF($C306-M$1&lt;År1,0,L305*(1-VLOOKUP($A306,[1]Hugst!$R$5:$W$9,MATCH(ROUNDUP((M$1)/10,0)*10,[1]Hugst!$R$4:$W$4,0))))</f>
        <v>660.08201697065158</v>
      </c>
      <c r="N306" s="168">
        <f ca="1">IF($C306-N$1&lt;År1,0,M305*(1-VLOOKUP($A306,[1]Hugst!$R$5:$W$9,MATCH(ROUNDUP((N$1)/10,0)*10,[1]Hugst!$R$4:$W$4,0))))</f>
        <v>661.54381009519636</v>
      </c>
      <c r="O306" s="168">
        <f ca="1">IF($C306-O$1&lt;År1,0,N305*(1-VLOOKUP($A306,[1]Hugst!$R$5:$W$9,MATCH(ROUNDUP((O$1)/10,0)*10,[1]Hugst!$R$4:$W$4,0))))</f>
        <v>663.01294891383657</v>
      </c>
      <c r="P306" s="168">
        <f ca="1">IF($C306-P$1&lt;År1,0,O305*(1-VLOOKUP($A306,[1]Hugst!$R$5:$W$9,MATCH(ROUNDUP((P$1)/10,0)*10,[1]Hugst!$R$4:$W$4,0))))</f>
        <v>664.4894703396152</v>
      </c>
      <c r="Q306" s="168">
        <f ca="1">IF($C306-Q$1&lt;År1,0,P305*(1-VLOOKUP($A306,[1]Hugst!$R$5:$W$9,MATCH(ROUNDUP((Q$1)/10,0)*10,[1]Hugst!$R$4:$W$4,0))))</f>
        <v>665.97341147103941</v>
      </c>
      <c r="R306" s="168">
        <f ca="1">IF($C306-R$1&lt;År1,0,Q305*(1-VLOOKUP($A306,[1]Hugst!$R$5:$W$9,MATCH(ROUNDUP((R$1)/10,0)*10,[1]Hugst!$R$4:$W$4,0))))</f>
        <v>667.46480959307735</v>
      </c>
      <c r="S306" s="168">
        <f ca="1">IF($C306-S$1&lt;År1,0,R305*(1-VLOOKUP($A306,[1]Hugst!$R$5:$W$9,MATCH(ROUNDUP((S$1)/10,0)*10,[1]Hugst!$R$4:$W$4,0))))</f>
        <v>668.96370217804576</v>
      </c>
      <c r="T306" s="168">
        <f ca="1">IF($C306-T$1&lt;År1,0,S305*(1-VLOOKUP($A306,[1]Hugst!$R$5:$W$9,MATCH(ROUNDUP((T$1)/10,0)*10,[1]Hugst!$R$4:$W$4,0))))</f>
        <v>670.47012688654138</v>
      </c>
      <c r="U306" s="168">
        <f ca="1">IF($C306-U$1&lt;År1,0,T305*(1-VLOOKUP($A306,[1]Hugst!$R$5:$W$9,MATCH(ROUNDUP((U$1)/10,0)*10,[1]Hugst!$R$4:$W$4,0))))</f>
        <v>671.98412156847519</v>
      </c>
      <c r="V306" s="168">
        <f ca="1">IF($C306-V$1&lt;År1,0,U305*(1-VLOOKUP($A306,[1]Hugst!$R$5:$W$9,MATCH(ROUNDUP((V$1)/10,0)*10,[1]Hugst!$R$4:$W$4,0))))</f>
        <v>673.505724263861</v>
      </c>
      <c r="W306" s="168">
        <f ca="1">IF($C306-W$1&lt;År1,0,V305*(1-VLOOKUP($A306,[1]Hugst!$R$5:$W$9,MATCH(ROUNDUP((W$1)/10,0)*10,[1]Hugst!$R$4:$W$4,0))))</f>
        <v>675.03497320395729</v>
      </c>
      <c r="X306" s="168">
        <f ca="1">IF($C306-X$1&lt;År1,0,W305*(1-VLOOKUP($A306,[1]Hugst!$R$5:$W$9,MATCH(ROUNDUP((X$1)/10,0)*10,[1]Hugst!$R$4:$W$4,0))))</f>
        <v>676.57190681208488</v>
      </c>
      <c r="Y306" s="168">
        <f ca="1">IF($C306-Y$1&lt;År1,0,X305*(1-VLOOKUP($A306,[1]Hugst!$R$5:$W$9,MATCH(ROUNDUP((Y$1)/10,0)*10,[1]Hugst!$R$4:$W$4,0))))</f>
        <v>678.11656370469757</v>
      </c>
      <c r="Z306" s="168">
        <f ca="1">IF($C306-Z$1&lt;År1,0,Y305*(1-VLOOKUP($A306,[1]Hugst!$R$5:$W$9,MATCH(ROUNDUP((Z$1)/10,0)*10,[1]Hugst!$R$4:$W$4,0))))</f>
        <v>679.44242636465492</v>
      </c>
      <c r="AA306" s="168">
        <f ca="1">IF($C306-AA$1&lt;År1,0,Z305*(1-VLOOKUP($A306,[1]Hugst!$R$5:$W$9,MATCH(ROUNDUP((AA$1)/10,0)*10,[1]Hugst!$R$4:$W$4,0))))</f>
        <v>680.77512567047938</v>
      </c>
      <c r="AB306" s="168">
        <f ca="1">IF($C306-AB$1&lt;År1,0,AA305*(1-VLOOKUP($A306,[1]Hugst!$R$5:$W$9,MATCH(ROUNDUP((AB$1)/10,0)*10,[1]Hugst!$R$4:$W$4,0))))</f>
        <v>682.11469348074445</v>
      </c>
      <c r="AC306" s="168">
        <f ca="1">IF($C306-AC$1&lt;År1,0,AB305*(1-VLOOKUP($A306,[1]Hugst!$R$5:$W$9,MATCH(ROUNDUP((AC$1)/10,0)*10,[1]Hugst!$R$4:$W$4,0))))</f>
        <v>683.46116180357467</v>
      </c>
      <c r="AD306" s="168">
        <f ca="1">IF($C306-AD$1&lt;År1,0,AC305*(1-VLOOKUP($A306,[1]Hugst!$R$5:$W$9,MATCH(ROUNDUP((AD$1)/10,0)*10,[1]Hugst!$R$4:$W$4,0))))</f>
        <v>684.81456279723079</v>
      </c>
      <c r="AE306" s="168">
        <f ca="1">IF($C306-AE$1&lt;År1,0,AD305*(1-VLOOKUP($A306,[1]Hugst!$R$5:$W$9,MATCH(ROUNDUP((AE$1)/10,0)*10,[1]Hugst!$R$4:$W$4,0))))</f>
        <v>686.17492877090308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*VLOOKUP(A307,Skovbrug!$A$13:$D$17,IF('Skovbrug-alder'!C307&lt;=År2,3,4),FALSE)-IF(C307&gt;2020,SUM(INDEX($C$1:$D$311,MATCH(1,(2020=$C$1:$C$311)*(B307=$B$1:$B$311)*(A307=$A$1:$A$311),0),2):D306),0))</f>
        <v>279.46256269443256</v>
      </c>
      <c r="E307" s="168">
        <f t="shared" ca="1" si="7"/>
        <v>1.5916331541957334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650.23938103381295</v>
      </c>
      <c r="G307" s="168">
        <f ca="1">IF($C307-G$1&lt;År1,0,F306*(1-VLOOKUP($A307,[1]Hugst!$R$5:$W$9,MATCH(ROUNDUP((G$1)/10,0)*10,[1]Hugst!$R$4:$W$4,0))))</f>
        <v>651.41813201502589</v>
      </c>
      <c r="H307" s="168">
        <f ca="1">IF($C307-H$1&lt;År1,0,G306*(1-VLOOKUP($A307,[1]Hugst!$R$5:$W$9,MATCH(ROUNDUP((H$1)/10,0)*10,[1]Hugst!$R$4:$W$4,0))))</f>
        <v>652.60334708833432</v>
      </c>
      <c r="I307" s="168">
        <f ca="1">IF($C307-I$1&lt;År1,0,H306*(1-VLOOKUP($A307,[1]Hugst!$R$5:$W$9,MATCH(ROUNDUP((I$1)/10,0)*10,[1]Hugst!$R$4:$W$4,0))))</f>
        <v>653.79505891692531</v>
      </c>
      <c r="J307" s="168">
        <f ca="1">IF($C307-J$1&lt;År1,0,I306*(1-VLOOKUP($A307,[1]Hugst!$R$5:$W$9,MATCH(ROUNDUP((J$1)/10,0)*10,[1]Hugst!$R$4:$W$4,0))))</f>
        <v>654.99330032814976</v>
      </c>
      <c r="K307" s="168">
        <f ca="1">IF($C307-K$1&lt;År1,0,J306*(1-VLOOKUP($A307,[1]Hugst!$R$5:$W$9,MATCH(ROUNDUP((K$1)/10,0)*10,[1]Hugst!$R$4:$W$4,0))))</f>
        <v>656.19810431441908</v>
      </c>
      <c r="L307" s="168">
        <f ca="1">IF($C307-L$1&lt;År1,0,K306*(1-VLOOKUP($A307,[1]Hugst!$R$5:$W$9,MATCH(ROUNDUP((L$1)/10,0)*10,[1]Hugst!$R$4:$W$4,0))))</f>
        <v>657.40950403396016</v>
      </c>
      <c r="M307" s="168">
        <f ca="1">IF($C307-M$1&lt;År1,0,L306*(1-VLOOKUP($A307,[1]Hugst!$R$5:$W$9,MATCH(ROUNDUP((M$1)/10,0)*10,[1]Hugst!$R$4:$W$4,0))))</f>
        <v>658.62753281171388</v>
      </c>
      <c r="N307" s="168">
        <f ca="1">IF($C307-N$1&lt;År1,0,M306*(1-VLOOKUP($A307,[1]Hugst!$R$5:$W$9,MATCH(ROUNDUP((N$1)/10,0)*10,[1]Hugst!$R$4:$W$4,0))))</f>
        <v>660.08201697065158</v>
      </c>
      <c r="O307" s="168">
        <f ca="1">IF($C307-O$1&lt;År1,0,N306*(1-VLOOKUP($A307,[1]Hugst!$R$5:$W$9,MATCH(ROUNDUP((O$1)/10,0)*10,[1]Hugst!$R$4:$W$4,0))))</f>
        <v>661.54381009519636</v>
      </c>
      <c r="P307" s="168">
        <f ca="1">IF($C307-P$1&lt;År1,0,O306*(1-VLOOKUP($A307,[1]Hugst!$R$5:$W$9,MATCH(ROUNDUP((P$1)/10,0)*10,[1]Hugst!$R$4:$W$4,0))))</f>
        <v>663.01294891383657</v>
      </c>
      <c r="Q307" s="168">
        <f ca="1">IF($C307-Q$1&lt;År1,0,P306*(1-VLOOKUP($A307,[1]Hugst!$R$5:$W$9,MATCH(ROUNDUP((Q$1)/10,0)*10,[1]Hugst!$R$4:$W$4,0))))</f>
        <v>664.4894703396152</v>
      </c>
      <c r="R307" s="168">
        <f ca="1">IF($C307-R$1&lt;År1,0,Q306*(1-VLOOKUP($A307,[1]Hugst!$R$5:$W$9,MATCH(ROUNDUP((R$1)/10,0)*10,[1]Hugst!$R$4:$W$4,0))))</f>
        <v>665.97341147103941</v>
      </c>
      <c r="S307" s="168">
        <f ca="1">IF($C307-S$1&lt;År1,0,R306*(1-VLOOKUP($A307,[1]Hugst!$R$5:$W$9,MATCH(ROUNDUP((S$1)/10,0)*10,[1]Hugst!$R$4:$W$4,0))))</f>
        <v>667.46480959307735</v>
      </c>
      <c r="T307" s="168">
        <f ca="1">IF($C307-T$1&lt;År1,0,S306*(1-VLOOKUP($A307,[1]Hugst!$R$5:$W$9,MATCH(ROUNDUP((T$1)/10,0)*10,[1]Hugst!$R$4:$W$4,0))))</f>
        <v>668.96370217804576</v>
      </c>
      <c r="U307" s="168">
        <f ca="1">IF($C307-U$1&lt;År1,0,T306*(1-VLOOKUP($A307,[1]Hugst!$R$5:$W$9,MATCH(ROUNDUP((U$1)/10,0)*10,[1]Hugst!$R$4:$W$4,0))))</f>
        <v>670.47012688654138</v>
      </c>
      <c r="V307" s="168">
        <f ca="1">IF($C307-V$1&lt;År1,0,U306*(1-VLOOKUP($A307,[1]Hugst!$R$5:$W$9,MATCH(ROUNDUP((V$1)/10,0)*10,[1]Hugst!$R$4:$W$4,0))))</f>
        <v>671.98412156847519</v>
      </c>
      <c r="W307" s="168">
        <f ca="1">IF($C307-W$1&lt;År1,0,V306*(1-VLOOKUP($A307,[1]Hugst!$R$5:$W$9,MATCH(ROUNDUP((W$1)/10,0)*10,[1]Hugst!$R$4:$W$4,0))))</f>
        <v>673.505724263861</v>
      </c>
      <c r="X307" s="168">
        <f ca="1">IF($C307-X$1&lt;År1,0,W306*(1-VLOOKUP($A307,[1]Hugst!$R$5:$W$9,MATCH(ROUNDUP((X$1)/10,0)*10,[1]Hugst!$R$4:$W$4,0))))</f>
        <v>675.03497320395729</v>
      </c>
      <c r="Y307" s="168">
        <f ca="1">IF($C307-Y$1&lt;År1,0,X306*(1-VLOOKUP($A307,[1]Hugst!$R$5:$W$9,MATCH(ROUNDUP((Y$1)/10,0)*10,[1]Hugst!$R$4:$W$4,0))))</f>
        <v>676.57190681208488</v>
      </c>
      <c r="Z307" s="168">
        <f ca="1">IF($C307-Z$1&lt;År1,0,Y306*(1-VLOOKUP($A307,[1]Hugst!$R$5:$W$9,MATCH(ROUNDUP((Z$1)/10,0)*10,[1]Hugst!$R$4:$W$4,0))))</f>
        <v>677.8905248501294</v>
      </c>
      <c r="AA307" s="168">
        <f ca="1">IF($C307-AA$1&lt;År1,0,Z306*(1-VLOOKUP($A307,[1]Hugst!$R$5:$W$9,MATCH(ROUNDUP((AA$1)/10,0)*10,[1]Hugst!$R$4:$W$4,0))))</f>
        <v>679.21594555586671</v>
      </c>
      <c r="AB307" s="168">
        <f ca="1">IF($C307-AB$1&lt;År1,0,AA306*(1-VLOOKUP($A307,[1]Hugst!$R$5:$W$9,MATCH(ROUNDUP((AB$1)/10,0)*10,[1]Hugst!$R$4:$W$4,0))))</f>
        <v>680.54820062858926</v>
      </c>
      <c r="AC307" s="168">
        <f ca="1">IF($C307-AC$1&lt;År1,0,AB306*(1-VLOOKUP($A307,[1]Hugst!$R$5:$W$9,MATCH(ROUNDUP((AC$1)/10,0)*10,[1]Hugst!$R$4:$W$4,0))))</f>
        <v>681.88732191625093</v>
      </c>
      <c r="AD307" s="168">
        <f ca="1">IF($C307-AD$1&lt;År1,0,AC306*(1-VLOOKUP($A307,[1]Hugst!$R$5:$W$9,MATCH(ROUNDUP((AD$1)/10,0)*10,[1]Hugst!$R$4:$W$4,0))))</f>
        <v>683.23334141630687</v>
      </c>
      <c r="AE307" s="168">
        <f ca="1">IF($C307-AE$1&lt;År1,0,AD306*(1-VLOOKUP($A307,[1]Hugst!$R$5:$W$9,MATCH(ROUNDUP((AE$1)/10,0)*10,[1]Hugst!$R$4:$W$4,0))))</f>
        <v>684.58629127629843</v>
      </c>
      <c r="AF307" s="168">
        <f ca="1">IF($C307-AF$1&lt;År1,0,AE306*(1-VLOOKUP($A307,[1]Hugst!$R$5:$W$9,MATCH(ROUNDUP((AF$1)/10,0)*10,[1]Hugst!$R$4:$W$4,0))))</f>
        <v>685.94620379464618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*VLOOKUP(A308,Skovbrug!$A$13:$D$17,IF('Skovbrug-alder'!C308&lt;=År2,3,4),FALSE)-IF(C308&gt;2020,SUM(INDEX($C$1:$D$311,MATCH(1,(2020=$C$1:$C$311)*(B308=$B$1:$B$311)*(A308=$A$1:$A$311),0),2):D307),0))</f>
        <v>278.06524988094316</v>
      </c>
      <c r="E308" s="168">
        <f t="shared" ca="1" si="7"/>
        <v>1.8166265787476732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649.06706164487548</v>
      </c>
      <c r="G308" s="168">
        <f ca="1">IF($C308-G$1&lt;År1,0,F307*(1-VLOOKUP($A308,[1]Hugst!$R$5:$W$9,MATCH(ROUNDUP((G$1)/10,0)*10,[1]Hugst!$R$4:$W$4,0))))</f>
        <v>650.23938103381295</v>
      </c>
      <c r="H308" s="168">
        <f ca="1">IF($C308-H$1&lt;År1,0,G307*(1-VLOOKUP($A308,[1]Hugst!$R$5:$W$9,MATCH(ROUNDUP((H$1)/10,0)*10,[1]Hugst!$R$4:$W$4,0))))</f>
        <v>651.41813201502589</v>
      </c>
      <c r="I308" s="168">
        <f ca="1">IF($C308-I$1&lt;År1,0,H307*(1-VLOOKUP($A308,[1]Hugst!$R$5:$W$9,MATCH(ROUNDUP((I$1)/10,0)*10,[1]Hugst!$R$4:$W$4,0))))</f>
        <v>652.60334708833432</v>
      </c>
      <c r="J308" s="168">
        <f ca="1">IF($C308-J$1&lt;År1,0,I307*(1-VLOOKUP($A308,[1]Hugst!$R$5:$W$9,MATCH(ROUNDUP((J$1)/10,0)*10,[1]Hugst!$R$4:$W$4,0))))</f>
        <v>653.79505891692531</v>
      </c>
      <c r="K308" s="168">
        <f ca="1">IF($C308-K$1&lt;År1,0,J307*(1-VLOOKUP($A308,[1]Hugst!$R$5:$W$9,MATCH(ROUNDUP((K$1)/10,0)*10,[1]Hugst!$R$4:$W$4,0))))</f>
        <v>654.99330032814976</v>
      </c>
      <c r="L308" s="168">
        <f ca="1">IF($C308-L$1&lt;År1,0,K307*(1-VLOOKUP($A308,[1]Hugst!$R$5:$W$9,MATCH(ROUNDUP((L$1)/10,0)*10,[1]Hugst!$R$4:$W$4,0))))</f>
        <v>656.19810431441908</v>
      </c>
      <c r="M308" s="168">
        <f ca="1">IF($C308-M$1&lt;År1,0,L307*(1-VLOOKUP($A308,[1]Hugst!$R$5:$W$9,MATCH(ROUNDUP((M$1)/10,0)*10,[1]Hugst!$R$4:$W$4,0))))</f>
        <v>657.40950403396016</v>
      </c>
      <c r="N308" s="168">
        <f ca="1">IF($C308-N$1&lt;År1,0,M307*(1-VLOOKUP($A308,[1]Hugst!$R$5:$W$9,MATCH(ROUNDUP((N$1)/10,0)*10,[1]Hugst!$R$4:$W$4,0))))</f>
        <v>658.62753281171388</v>
      </c>
      <c r="O308" s="168">
        <f ca="1">IF($C308-O$1&lt;År1,0,N307*(1-VLOOKUP($A308,[1]Hugst!$R$5:$W$9,MATCH(ROUNDUP((O$1)/10,0)*10,[1]Hugst!$R$4:$W$4,0))))</f>
        <v>660.08201697065158</v>
      </c>
      <c r="P308" s="168">
        <f ca="1">IF($C308-P$1&lt;År1,0,O307*(1-VLOOKUP($A308,[1]Hugst!$R$5:$W$9,MATCH(ROUNDUP((P$1)/10,0)*10,[1]Hugst!$R$4:$W$4,0))))</f>
        <v>661.54381009519636</v>
      </c>
      <c r="Q308" s="168">
        <f ca="1">IF($C308-Q$1&lt;År1,0,P307*(1-VLOOKUP($A308,[1]Hugst!$R$5:$W$9,MATCH(ROUNDUP((Q$1)/10,0)*10,[1]Hugst!$R$4:$W$4,0))))</f>
        <v>663.01294891383657</v>
      </c>
      <c r="R308" s="168">
        <f ca="1">IF($C308-R$1&lt;År1,0,Q307*(1-VLOOKUP($A308,[1]Hugst!$R$5:$W$9,MATCH(ROUNDUP((R$1)/10,0)*10,[1]Hugst!$R$4:$W$4,0))))</f>
        <v>664.4894703396152</v>
      </c>
      <c r="S308" s="168">
        <f ca="1">IF($C308-S$1&lt;År1,0,R307*(1-VLOOKUP($A308,[1]Hugst!$R$5:$W$9,MATCH(ROUNDUP((S$1)/10,0)*10,[1]Hugst!$R$4:$W$4,0))))</f>
        <v>665.97341147103941</v>
      </c>
      <c r="T308" s="168">
        <f ca="1">IF($C308-T$1&lt;År1,0,S307*(1-VLOOKUP($A308,[1]Hugst!$R$5:$W$9,MATCH(ROUNDUP((T$1)/10,0)*10,[1]Hugst!$R$4:$W$4,0))))</f>
        <v>667.46480959307735</v>
      </c>
      <c r="U308" s="168">
        <f ca="1">IF($C308-U$1&lt;År1,0,T307*(1-VLOOKUP($A308,[1]Hugst!$R$5:$W$9,MATCH(ROUNDUP((U$1)/10,0)*10,[1]Hugst!$R$4:$W$4,0))))</f>
        <v>668.96370217804576</v>
      </c>
      <c r="V308" s="168">
        <f ca="1">IF($C308-V$1&lt;År1,0,U307*(1-VLOOKUP($A308,[1]Hugst!$R$5:$W$9,MATCH(ROUNDUP((V$1)/10,0)*10,[1]Hugst!$R$4:$W$4,0))))</f>
        <v>670.47012688654138</v>
      </c>
      <c r="W308" s="168">
        <f ca="1">IF($C308-W$1&lt;År1,0,V307*(1-VLOOKUP($A308,[1]Hugst!$R$5:$W$9,MATCH(ROUNDUP((W$1)/10,0)*10,[1]Hugst!$R$4:$W$4,0))))</f>
        <v>671.98412156847519</v>
      </c>
      <c r="X308" s="168">
        <f ca="1">IF($C308-X$1&lt;År1,0,W307*(1-VLOOKUP($A308,[1]Hugst!$R$5:$W$9,MATCH(ROUNDUP((X$1)/10,0)*10,[1]Hugst!$R$4:$W$4,0))))</f>
        <v>673.505724263861</v>
      </c>
      <c r="Y308" s="168">
        <f ca="1">IF($C308-Y$1&lt;År1,0,X307*(1-VLOOKUP($A308,[1]Hugst!$R$5:$W$9,MATCH(ROUNDUP((Y$1)/10,0)*10,[1]Hugst!$R$4:$W$4,0))))</f>
        <v>675.03497320395729</v>
      </c>
      <c r="Z308" s="168">
        <f ca="1">IF($C308-Z$1&lt;År1,0,Y307*(1-VLOOKUP($A308,[1]Hugst!$R$5:$W$9,MATCH(ROUNDUP((Z$1)/10,0)*10,[1]Hugst!$R$4:$W$4,0))))</f>
        <v>676.34638284314758</v>
      </c>
      <c r="AA308" s="168">
        <f ca="1">IF($C308-AA$1&lt;År1,0,Z307*(1-VLOOKUP($A308,[1]Hugst!$R$5:$W$9,MATCH(ROUNDUP((AA$1)/10,0)*10,[1]Hugst!$R$4:$W$4,0))))</f>
        <v>677.66456134184602</v>
      </c>
      <c r="AB308" s="168">
        <f ca="1">IF($C308-AB$1&lt;År1,0,AA307*(1-VLOOKUP($A308,[1]Hugst!$R$5:$W$9,MATCH(ROUNDUP((AB$1)/10,0)*10,[1]Hugst!$R$4:$W$4,0))))</f>
        <v>678.98954024068144</v>
      </c>
      <c r="AC308" s="168">
        <f ca="1">IF($C308-AC$1&lt;År1,0,AB307*(1-VLOOKUP($A308,[1]Hugst!$R$5:$W$9,MATCH(ROUNDUP((AC$1)/10,0)*10,[1]Hugst!$R$4:$W$4,0))))</f>
        <v>680.32135122837974</v>
      </c>
      <c r="AD308" s="168">
        <f ca="1">IF($C308-AD$1&lt;År1,0,AC307*(1-VLOOKUP($A308,[1]Hugst!$R$5:$W$9,MATCH(ROUNDUP((AD$1)/10,0)*10,[1]Hugst!$R$4:$W$4,0))))</f>
        <v>681.66002614227887</v>
      </c>
      <c r="AE308" s="168">
        <f ca="1">IF($C308-AE$1&lt;År1,0,AD307*(1-VLOOKUP($A308,[1]Hugst!$R$5:$W$9,MATCH(ROUNDUP((AE$1)/10,0)*10,[1]Hugst!$R$4:$W$4,0))))</f>
        <v>683.0055969691681</v>
      </c>
      <c r="AF308" s="168">
        <f ca="1">IF($C308-AF$1&lt;År1,0,AE307*(1-VLOOKUP($A308,[1]Hugst!$R$5:$W$9,MATCH(ROUNDUP((AF$1)/10,0)*10,[1]Hugst!$R$4:$W$4,0))))</f>
        <v>684.35809584587298</v>
      </c>
      <c r="AG308" s="168">
        <f ca="1">IF($C308-AG$1&lt;År1,0,AF307*(1-VLOOKUP($A308,[1]Hugst!$R$5:$W$9,MATCH(ROUNDUP((AG$1)/10,0)*10,[1]Hugst!$R$4:$W$4,0))))</f>
        <v>685.71755506004797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*VLOOKUP(A309,Skovbrug!$A$13:$D$17,IF('Skovbrug-alder'!C309&lt;=År2,3,4),FALSE)-IF(C309&gt;2020,SUM(INDEX($C$1:$D$311,MATCH(1,(2020=$C$1:$C$311)*(B309=$B$1:$B$311)*(A309=$A$1:$A$311),0),2):D308),0))</f>
        <v>276.67492363154452</v>
      </c>
      <c r="E309" s="168">
        <f t="shared" ca="1" si="7"/>
        <v>2.0410326942910615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647.90114151102023</v>
      </c>
      <c r="G309" s="168">
        <f ca="1">IF($C309-G$1&lt;År1,0,F308*(1-VLOOKUP($A309,[1]Hugst!$R$5:$W$9,MATCH(ROUNDUP((G$1)/10,0)*10,[1]Hugst!$R$4:$W$4,0))))</f>
        <v>649.06706164487548</v>
      </c>
      <c r="H309" s="168">
        <f ca="1">IF($C309-H$1&lt;År1,0,G308*(1-VLOOKUP($A309,[1]Hugst!$R$5:$W$9,MATCH(ROUNDUP((H$1)/10,0)*10,[1]Hugst!$R$4:$W$4,0))))</f>
        <v>650.23938103381295</v>
      </c>
      <c r="I309" s="168">
        <f ca="1">IF($C309-I$1&lt;År1,0,H308*(1-VLOOKUP($A309,[1]Hugst!$R$5:$W$9,MATCH(ROUNDUP((I$1)/10,0)*10,[1]Hugst!$R$4:$W$4,0))))</f>
        <v>651.41813201502589</v>
      </c>
      <c r="J309" s="168">
        <f ca="1">IF($C309-J$1&lt;År1,0,I308*(1-VLOOKUP($A309,[1]Hugst!$R$5:$W$9,MATCH(ROUNDUP((J$1)/10,0)*10,[1]Hugst!$R$4:$W$4,0))))</f>
        <v>652.60334708833432</v>
      </c>
      <c r="K309" s="168">
        <f ca="1">IF($C309-K$1&lt;År1,0,J308*(1-VLOOKUP($A309,[1]Hugst!$R$5:$W$9,MATCH(ROUNDUP((K$1)/10,0)*10,[1]Hugst!$R$4:$W$4,0))))</f>
        <v>653.79505891692531</v>
      </c>
      <c r="L309" s="168">
        <f ca="1">IF($C309-L$1&lt;År1,0,K308*(1-VLOOKUP($A309,[1]Hugst!$R$5:$W$9,MATCH(ROUNDUP((L$1)/10,0)*10,[1]Hugst!$R$4:$W$4,0))))</f>
        <v>654.99330032814976</v>
      </c>
      <c r="M309" s="168">
        <f ca="1">IF($C309-M$1&lt;År1,0,L308*(1-VLOOKUP($A309,[1]Hugst!$R$5:$W$9,MATCH(ROUNDUP((M$1)/10,0)*10,[1]Hugst!$R$4:$W$4,0))))</f>
        <v>656.19810431441908</v>
      </c>
      <c r="N309" s="168">
        <f ca="1">IF($C309-N$1&lt;År1,0,M308*(1-VLOOKUP($A309,[1]Hugst!$R$5:$W$9,MATCH(ROUNDUP((N$1)/10,0)*10,[1]Hugst!$R$4:$W$4,0))))</f>
        <v>657.40950403396016</v>
      </c>
      <c r="O309" s="168">
        <f ca="1">IF($C309-O$1&lt;År1,0,N308*(1-VLOOKUP($A309,[1]Hugst!$R$5:$W$9,MATCH(ROUNDUP((O$1)/10,0)*10,[1]Hugst!$R$4:$W$4,0))))</f>
        <v>658.62753281171388</v>
      </c>
      <c r="P309" s="168">
        <f ca="1">IF($C309-P$1&lt;År1,0,O308*(1-VLOOKUP($A309,[1]Hugst!$R$5:$W$9,MATCH(ROUNDUP((P$1)/10,0)*10,[1]Hugst!$R$4:$W$4,0))))</f>
        <v>660.08201697065158</v>
      </c>
      <c r="Q309" s="168">
        <f ca="1">IF($C309-Q$1&lt;År1,0,P308*(1-VLOOKUP($A309,[1]Hugst!$R$5:$W$9,MATCH(ROUNDUP((Q$1)/10,0)*10,[1]Hugst!$R$4:$W$4,0))))</f>
        <v>661.54381009519636</v>
      </c>
      <c r="R309" s="168">
        <f ca="1">IF($C309-R$1&lt;År1,0,Q308*(1-VLOOKUP($A309,[1]Hugst!$R$5:$W$9,MATCH(ROUNDUP((R$1)/10,0)*10,[1]Hugst!$R$4:$W$4,0))))</f>
        <v>663.01294891383657</v>
      </c>
      <c r="S309" s="168">
        <f ca="1">IF($C309-S$1&lt;År1,0,R308*(1-VLOOKUP($A309,[1]Hugst!$R$5:$W$9,MATCH(ROUNDUP((S$1)/10,0)*10,[1]Hugst!$R$4:$W$4,0))))</f>
        <v>664.4894703396152</v>
      </c>
      <c r="T309" s="168">
        <f ca="1">IF($C309-T$1&lt;År1,0,S308*(1-VLOOKUP($A309,[1]Hugst!$R$5:$W$9,MATCH(ROUNDUP((T$1)/10,0)*10,[1]Hugst!$R$4:$W$4,0))))</f>
        <v>665.97341147103941</v>
      </c>
      <c r="U309" s="168">
        <f ca="1">IF($C309-U$1&lt;År1,0,T308*(1-VLOOKUP($A309,[1]Hugst!$R$5:$W$9,MATCH(ROUNDUP((U$1)/10,0)*10,[1]Hugst!$R$4:$W$4,0))))</f>
        <v>667.46480959307735</v>
      </c>
      <c r="V309" s="168">
        <f ca="1">IF($C309-V$1&lt;År1,0,U308*(1-VLOOKUP($A309,[1]Hugst!$R$5:$W$9,MATCH(ROUNDUP((V$1)/10,0)*10,[1]Hugst!$R$4:$W$4,0))))</f>
        <v>668.96370217804576</v>
      </c>
      <c r="W309" s="168">
        <f ca="1">IF($C309-W$1&lt;År1,0,V308*(1-VLOOKUP($A309,[1]Hugst!$R$5:$W$9,MATCH(ROUNDUP((W$1)/10,0)*10,[1]Hugst!$R$4:$W$4,0))))</f>
        <v>670.47012688654138</v>
      </c>
      <c r="X309" s="168">
        <f ca="1">IF($C309-X$1&lt;År1,0,W308*(1-VLOOKUP($A309,[1]Hugst!$R$5:$W$9,MATCH(ROUNDUP((X$1)/10,0)*10,[1]Hugst!$R$4:$W$4,0))))</f>
        <v>671.98412156847519</v>
      </c>
      <c r="Y309" s="168">
        <f ca="1">IF($C309-Y$1&lt;År1,0,X308*(1-VLOOKUP($A309,[1]Hugst!$R$5:$W$9,MATCH(ROUNDUP((Y$1)/10,0)*10,[1]Hugst!$R$4:$W$4,0))))</f>
        <v>673.505724263861</v>
      </c>
      <c r="Z309" s="168">
        <f ca="1">IF($C309-Z$1&lt;År1,0,Y308*(1-VLOOKUP($A309,[1]Hugst!$R$5:$W$9,MATCH(ROUNDUP((Z$1)/10,0)*10,[1]Hugst!$R$4:$W$4,0))))</f>
        <v>674.80996154622267</v>
      </c>
      <c r="AA309" s="168">
        <f ca="1">IF($C309-AA$1&lt;År1,0,Z308*(1-VLOOKUP($A309,[1]Hugst!$R$5:$W$9,MATCH(ROUNDUP((AA$1)/10,0)*10,[1]Hugst!$R$4:$W$4,0))))</f>
        <v>676.1209340488665</v>
      </c>
      <c r="AB309" s="168">
        <f ca="1">IF($C309-AB$1&lt;År1,0,AA308*(1-VLOOKUP($A309,[1]Hugst!$R$5:$W$9,MATCH(ROUNDUP((AB$1)/10,0)*10,[1]Hugst!$R$4:$W$4,0))))</f>
        <v>677.4386731547321</v>
      </c>
      <c r="AC309" s="168">
        <f ca="1">IF($C309-AC$1&lt;År1,0,AB308*(1-VLOOKUP($A309,[1]Hugst!$R$5:$W$9,MATCH(ROUNDUP((AC$1)/10,0)*10,[1]Hugst!$R$4:$W$4,0))))</f>
        <v>678.76321039393451</v>
      </c>
      <c r="AD309" s="168">
        <f ca="1">IF($C309-AD$1&lt;År1,0,AC308*(1-VLOOKUP($A309,[1]Hugst!$R$5:$W$9,MATCH(ROUNDUP((AD$1)/10,0)*10,[1]Hugst!$R$4:$W$4,0))))</f>
        <v>680.09457744463703</v>
      </c>
      <c r="AE309" s="168">
        <f ca="1">IF($C309-AE$1&lt;År1,0,AD308*(1-VLOOKUP($A309,[1]Hugst!$R$5:$W$9,MATCH(ROUNDUP((AE$1)/10,0)*10,[1]Hugst!$R$4:$W$4,0))))</f>
        <v>681.43280613356478</v>
      </c>
      <c r="AF309" s="168">
        <f ca="1">IF($C309-AF$1&lt;År1,0,AE308*(1-VLOOKUP($A309,[1]Hugst!$R$5:$W$9,MATCH(ROUNDUP((AF$1)/10,0)*10,[1]Hugst!$R$4:$W$4,0))))</f>
        <v>682.77792843684506</v>
      </c>
      <c r="AG309" s="168">
        <f ca="1">IF($C309-AG$1&lt;År1,0,AF308*(1-VLOOKUP($A309,[1]Hugst!$R$5:$W$9,MATCH(ROUNDUP((AG$1)/10,0)*10,[1]Hugst!$R$4:$W$4,0))))</f>
        <v>684.12997648059104</v>
      </c>
      <c r="AH309" s="168">
        <f ca="1">IF($C309-AH$1&lt;År1,0,AG308*(1-VLOOKUP($A309,[1]Hugst!$R$5:$W$9,MATCH(ROUNDUP((AH$1)/10,0)*10,[1]Hugst!$R$4:$W$4,0))))</f>
        <v>685.48898254169467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*VLOOKUP(A310,Skovbrug!$A$13:$D$17,IF('Skovbrug-alder'!C310&lt;=År2,3,4),FALSE)-IF(C310&gt;2020,SUM(INDEX($C$1:$D$311,MATCH(1,(2020=$C$1:$C$311)*(B310=$B$1:$B$311)*(A310=$A$1:$A$311),0),2):D309),0))</f>
        <v>275.29154901339643</v>
      </c>
      <c r="E310" s="168">
        <f t="shared" ca="1" si="7"/>
        <v>2.2648542581482616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646.74158845672935</v>
      </c>
      <c r="G310" s="168">
        <f ca="1">IF($C310-G$1&lt;År1,0,F309*(1-VLOOKUP($A310,[1]Hugst!$R$5:$W$9,MATCH(ROUNDUP((G$1)/10,0)*10,[1]Hugst!$R$4:$W$4,0))))</f>
        <v>647.90114151102023</v>
      </c>
      <c r="H310" s="168">
        <f ca="1">IF($C310-H$1&lt;År1,0,G309*(1-VLOOKUP($A310,[1]Hugst!$R$5:$W$9,MATCH(ROUNDUP((H$1)/10,0)*10,[1]Hugst!$R$4:$W$4,0))))</f>
        <v>649.06706164487548</v>
      </c>
      <c r="I310" s="168">
        <f ca="1">IF($C310-I$1&lt;År1,0,H309*(1-VLOOKUP($A310,[1]Hugst!$R$5:$W$9,MATCH(ROUNDUP((I$1)/10,0)*10,[1]Hugst!$R$4:$W$4,0))))</f>
        <v>650.23938103381295</v>
      </c>
      <c r="J310" s="168">
        <f ca="1">IF($C310-J$1&lt;År1,0,I309*(1-VLOOKUP($A310,[1]Hugst!$R$5:$W$9,MATCH(ROUNDUP((J$1)/10,0)*10,[1]Hugst!$R$4:$W$4,0))))</f>
        <v>651.41813201502589</v>
      </c>
      <c r="K310" s="168">
        <f ca="1">IF($C310-K$1&lt;År1,0,J309*(1-VLOOKUP($A310,[1]Hugst!$R$5:$W$9,MATCH(ROUNDUP((K$1)/10,0)*10,[1]Hugst!$R$4:$W$4,0))))</f>
        <v>652.60334708833432</v>
      </c>
      <c r="L310" s="168">
        <f ca="1">IF($C310-L$1&lt;År1,0,K309*(1-VLOOKUP($A310,[1]Hugst!$R$5:$W$9,MATCH(ROUNDUP((L$1)/10,0)*10,[1]Hugst!$R$4:$W$4,0))))</f>
        <v>653.79505891692531</v>
      </c>
      <c r="M310" s="168">
        <f ca="1">IF($C310-M$1&lt;År1,0,L309*(1-VLOOKUP($A310,[1]Hugst!$R$5:$W$9,MATCH(ROUNDUP((M$1)/10,0)*10,[1]Hugst!$R$4:$W$4,0))))</f>
        <v>654.99330032814976</v>
      </c>
      <c r="N310" s="168">
        <f ca="1">IF($C310-N$1&lt;År1,0,M309*(1-VLOOKUP($A310,[1]Hugst!$R$5:$W$9,MATCH(ROUNDUP((N$1)/10,0)*10,[1]Hugst!$R$4:$W$4,0))))</f>
        <v>656.19810431441908</v>
      </c>
      <c r="O310" s="168">
        <f ca="1">IF($C310-O$1&lt;År1,0,N309*(1-VLOOKUP($A310,[1]Hugst!$R$5:$W$9,MATCH(ROUNDUP((O$1)/10,0)*10,[1]Hugst!$R$4:$W$4,0))))</f>
        <v>657.40950403396016</v>
      </c>
      <c r="P310" s="168">
        <f ca="1">IF($C310-P$1&lt;År1,0,O309*(1-VLOOKUP($A310,[1]Hugst!$R$5:$W$9,MATCH(ROUNDUP((P$1)/10,0)*10,[1]Hugst!$R$4:$W$4,0))))</f>
        <v>658.62753281171388</v>
      </c>
      <c r="Q310" s="168">
        <f ca="1">IF($C310-Q$1&lt;År1,0,P309*(1-VLOOKUP($A310,[1]Hugst!$R$5:$W$9,MATCH(ROUNDUP((Q$1)/10,0)*10,[1]Hugst!$R$4:$W$4,0))))</f>
        <v>660.08201697065158</v>
      </c>
      <c r="R310" s="168">
        <f ca="1">IF($C310-R$1&lt;År1,0,Q309*(1-VLOOKUP($A310,[1]Hugst!$R$5:$W$9,MATCH(ROUNDUP((R$1)/10,0)*10,[1]Hugst!$R$4:$W$4,0))))</f>
        <v>661.54381009519636</v>
      </c>
      <c r="S310" s="168">
        <f ca="1">IF($C310-S$1&lt;År1,0,R309*(1-VLOOKUP($A310,[1]Hugst!$R$5:$W$9,MATCH(ROUNDUP((S$1)/10,0)*10,[1]Hugst!$R$4:$W$4,0))))</f>
        <v>663.01294891383657</v>
      </c>
      <c r="T310" s="168">
        <f ca="1">IF($C310-T$1&lt;År1,0,S309*(1-VLOOKUP($A310,[1]Hugst!$R$5:$W$9,MATCH(ROUNDUP((T$1)/10,0)*10,[1]Hugst!$R$4:$W$4,0))))</f>
        <v>664.4894703396152</v>
      </c>
      <c r="U310" s="168">
        <f ca="1">IF($C310-U$1&lt;År1,0,T309*(1-VLOOKUP($A310,[1]Hugst!$R$5:$W$9,MATCH(ROUNDUP((U$1)/10,0)*10,[1]Hugst!$R$4:$W$4,0))))</f>
        <v>665.97341147103941</v>
      </c>
      <c r="V310" s="168">
        <f ca="1">IF($C310-V$1&lt;År1,0,U309*(1-VLOOKUP($A310,[1]Hugst!$R$5:$W$9,MATCH(ROUNDUP((V$1)/10,0)*10,[1]Hugst!$R$4:$W$4,0))))</f>
        <v>667.46480959307735</v>
      </c>
      <c r="W310" s="168">
        <f ca="1">IF($C310-W$1&lt;År1,0,V309*(1-VLOOKUP($A310,[1]Hugst!$R$5:$W$9,MATCH(ROUNDUP((W$1)/10,0)*10,[1]Hugst!$R$4:$W$4,0))))</f>
        <v>668.96370217804576</v>
      </c>
      <c r="X310" s="168">
        <f ca="1">IF($C310-X$1&lt;År1,0,W309*(1-VLOOKUP($A310,[1]Hugst!$R$5:$W$9,MATCH(ROUNDUP((X$1)/10,0)*10,[1]Hugst!$R$4:$W$4,0))))</f>
        <v>670.47012688654138</v>
      </c>
      <c r="Y310" s="168">
        <f ca="1">IF($C310-Y$1&lt;År1,0,X309*(1-VLOOKUP($A310,[1]Hugst!$R$5:$W$9,MATCH(ROUNDUP((Y$1)/10,0)*10,[1]Hugst!$R$4:$W$4,0))))</f>
        <v>671.98412156847519</v>
      </c>
      <c r="Z310" s="168">
        <f ca="1">IF($C310-Z$1&lt;År1,0,Y309*(1-VLOOKUP($A310,[1]Hugst!$R$5:$W$9,MATCH(ROUNDUP((Z$1)/10,0)*10,[1]Hugst!$R$4:$W$4,0))))</f>
        <v>673.28122235577302</v>
      </c>
      <c r="AA310" s="168">
        <f ca="1">IF($C310-AA$1&lt;År1,0,Z309*(1-VLOOKUP($A310,[1]Hugst!$R$5:$W$9,MATCH(ROUNDUP((AA$1)/10,0)*10,[1]Hugst!$R$4:$W$4,0))))</f>
        <v>674.58502489237389</v>
      </c>
      <c r="AB310" s="168">
        <f ca="1">IF($C310-AB$1&lt;År1,0,AA309*(1-VLOOKUP($A310,[1]Hugst!$R$5:$W$9,MATCH(ROUNDUP((AB$1)/10,0)*10,[1]Hugst!$R$4:$W$4,0))))</f>
        <v>675.89556040418358</v>
      </c>
      <c r="AC310" s="168">
        <f ca="1">IF($C310-AC$1&lt;År1,0,AB309*(1-VLOOKUP($A310,[1]Hugst!$R$5:$W$9,MATCH(ROUNDUP((AC$1)/10,0)*10,[1]Hugst!$R$4:$W$4,0))))</f>
        <v>677.21286026368057</v>
      </c>
      <c r="AD310" s="168">
        <f ca="1">IF($C310-AD$1&lt;År1,0,AC309*(1-VLOOKUP($A310,[1]Hugst!$R$5:$W$9,MATCH(ROUNDUP((AD$1)/10,0)*10,[1]Hugst!$R$4:$W$4,0))))</f>
        <v>678.53695599046989</v>
      </c>
      <c r="AE310" s="168">
        <f ca="1">IF($C310-AE$1&lt;År1,0,AD309*(1-VLOOKUP($A310,[1]Hugst!$R$5:$W$9,MATCH(ROUNDUP((AE$1)/10,0)*10,[1]Hugst!$R$4:$W$4,0))))</f>
        <v>679.86787925215549</v>
      </c>
      <c r="AF310" s="168">
        <f ca="1">IF($C310-AF$1&lt;År1,0,AE309*(1-VLOOKUP($A310,[1]Hugst!$R$5:$W$9,MATCH(ROUNDUP((AF$1)/10,0)*10,[1]Hugst!$R$4:$W$4,0))))</f>
        <v>681.2056618648536</v>
      </c>
      <c r="AG310" s="168">
        <f ca="1">IF($C310-AG$1&lt;År1,0,AF309*(1-VLOOKUP($A310,[1]Hugst!$R$5:$W$9,MATCH(ROUNDUP((AG$1)/10,0)*10,[1]Hugst!$R$4:$W$4,0))))</f>
        <v>682.55033579403278</v>
      </c>
      <c r="AH310" s="168">
        <f ca="1">IF($C310-AH$1&lt;År1,0,AG309*(1-VLOOKUP($A310,[1]Hugst!$R$5:$W$9,MATCH(ROUNDUP((AH$1)/10,0)*10,[1]Hugst!$R$4:$W$4,0))))</f>
        <v>683.90193315509748</v>
      </c>
      <c r="AI310" s="168">
        <f ca="1">IF($C310-AI$1&lt;År1,0,AH309*(1-VLOOKUP($A310,[1]Hugst!$R$5:$W$9,MATCH(ROUNDUP((AI$1)/10,0)*10,[1]Hugst!$R$4:$W$4,0))))</f>
        <v>685.26048621418079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*VLOOKUP(A311,Skovbrug!$A$13:$D$17,IF('Skovbrug-alder'!C311&lt;=År2,3,4),FALSE)-IF(C311&gt;2020,SUM(INDEX($C$1:$D$311,MATCH(1,(2020=$C$1:$C$311)*(B311=$B$1:$B$311)*(A311=$A$1:$A$311),0),2):D310),0))</f>
        <v>273.91509126832534</v>
      </c>
      <c r="E311" s="168">
        <f ca="1">IF(C311=2020,SUM(G311:AJ311),SUM(F310:AJ310)-SUM(G311:AJ311))</f>
        <v>4.0870351484227285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647.18731160193272</v>
      </c>
      <c r="G311" s="168">
        <f ca="1">IF($C311-G$1&lt;År1,0,F310*(1-VLOOKUP($A311,[1]Hugst!$R$5:$W$9,MATCH(ROUNDUP((G$1)/10,0)*10,[1]Hugst!$R$4:$W$4,0))))</f>
        <v>646.74158845672935</v>
      </c>
      <c r="H311" s="168">
        <f ca="1">IF($C311-H$1&lt;År1,0,G310*(1-VLOOKUP($A311,[1]Hugst!$R$5:$W$9,MATCH(ROUNDUP((H$1)/10,0)*10,[1]Hugst!$R$4:$W$4,0))))</f>
        <v>647.90114151102023</v>
      </c>
      <c r="I311" s="168">
        <f ca="1">IF($C311-I$1&lt;År1,0,H310*(1-VLOOKUP($A311,[1]Hugst!$R$5:$W$9,MATCH(ROUNDUP((I$1)/10,0)*10,[1]Hugst!$R$4:$W$4,0))))</f>
        <v>649.06706164487548</v>
      </c>
      <c r="J311" s="168">
        <f ca="1">IF($C311-J$1&lt;År1,0,I310*(1-VLOOKUP($A311,[1]Hugst!$R$5:$W$9,MATCH(ROUNDUP((J$1)/10,0)*10,[1]Hugst!$R$4:$W$4,0))))</f>
        <v>650.23938103381295</v>
      </c>
      <c r="K311" s="168">
        <f ca="1">IF($C311-K$1&lt;År1,0,J310*(1-VLOOKUP($A311,[1]Hugst!$R$5:$W$9,MATCH(ROUNDUP((K$1)/10,0)*10,[1]Hugst!$R$4:$W$4,0))))</f>
        <v>651.41813201502589</v>
      </c>
      <c r="L311" s="168">
        <f ca="1">IF($C311-L$1&lt;År1,0,K310*(1-VLOOKUP($A311,[1]Hugst!$R$5:$W$9,MATCH(ROUNDUP((L$1)/10,0)*10,[1]Hugst!$R$4:$W$4,0))))</f>
        <v>652.60334708833432</v>
      </c>
      <c r="M311" s="168">
        <f ca="1">IF($C311-M$1&lt;År1,0,L310*(1-VLOOKUP($A311,[1]Hugst!$R$5:$W$9,MATCH(ROUNDUP((M$1)/10,0)*10,[1]Hugst!$R$4:$W$4,0))))</f>
        <v>653.79505891692531</v>
      </c>
      <c r="N311" s="168">
        <f ca="1">IF($C311-N$1&lt;År1,0,M310*(1-VLOOKUP($A311,[1]Hugst!$R$5:$W$9,MATCH(ROUNDUP((N$1)/10,0)*10,[1]Hugst!$R$4:$W$4,0))))</f>
        <v>654.99330032814976</v>
      </c>
      <c r="O311" s="168">
        <f ca="1">IF($C311-O$1&lt;År1,0,N310*(1-VLOOKUP($A311,[1]Hugst!$R$5:$W$9,MATCH(ROUNDUP((O$1)/10,0)*10,[1]Hugst!$R$4:$W$4,0))))</f>
        <v>656.19810431441908</v>
      </c>
      <c r="P311" s="168">
        <f ca="1">IF($C311-P$1&lt;År1,0,O310*(1-VLOOKUP($A311,[1]Hugst!$R$5:$W$9,MATCH(ROUNDUP((P$1)/10,0)*10,[1]Hugst!$R$4:$W$4,0))))</f>
        <v>657.40950403396016</v>
      </c>
      <c r="Q311" s="168">
        <f ca="1">IF($C311-Q$1&lt;År1,0,P310*(1-VLOOKUP($A311,[1]Hugst!$R$5:$W$9,MATCH(ROUNDUP((Q$1)/10,0)*10,[1]Hugst!$R$4:$W$4,0))))</f>
        <v>658.62753281171388</v>
      </c>
      <c r="R311" s="168">
        <f ca="1">IF($C311-R$1&lt;År1,0,Q310*(1-VLOOKUP($A311,[1]Hugst!$R$5:$W$9,MATCH(ROUNDUP((R$1)/10,0)*10,[1]Hugst!$R$4:$W$4,0))))</f>
        <v>660.08201697065158</v>
      </c>
      <c r="S311" s="168">
        <f ca="1">IF($C311-S$1&lt;År1,0,R310*(1-VLOOKUP($A311,[1]Hugst!$R$5:$W$9,MATCH(ROUNDUP((S$1)/10,0)*10,[1]Hugst!$R$4:$W$4,0))))</f>
        <v>661.54381009519636</v>
      </c>
      <c r="T311" s="168">
        <f ca="1">IF($C311-T$1&lt;År1,0,S310*(1-VLOOKUP($A311,[1]Hugst!$R$5:$W$9,MATCH(ROUNDUP((T$1)/10,0)*10,[1]Hugst!$R$4:$W$4,0))))</f>
        <v>663.01294891383657</v>
      </c>
      <c r="U311" s="168">
        <f ca="1">IF($C311-U$1&lt;År1,0,T310*(1-VLOOKUP($A311,[1]Hugst!$R$5:$W$9,MATCH(ROUNDUP((U$1)/10,0)*10,[1]Hugst!$R$4:$W$4,0))))</f>
        <v>664.4894703396152</v>
      </c>
      <c r="V311" s="168">
        <f ca="1">IF($C311-V$1&lt;År1,0,U310*(1-VLOOKUP($A311,[1]Hugst!$R$5:$W$9,MATCH(ROUNDUP((V$1)/10,0)*10,[1]Hugst!$R$4:$W$4,0))))</f>
        <v>665.97341147103941</v>
      </c>
      <c r="W311" s="168">
        <f ca="1">IF($C311-W$1&lt;År1,0,V310*(1-VLOOKUP($A311,[1]Hugst!$R$5:$W$9,MATCH(ROUNDUP((W$1)/10,0)*10,[1]Hugst!$R$4:$W$4,0))))</f>
        <v>667.46480959307735</v>
      </c>
      <c r="X311" s="168">
        <f ca="1">IF($C311-X$1&lt;År1,0,W310*(1-VLOOKUP($A311,[1]Hugst!$R$5:$W$9,MATCH(ROUNDUP((X$1)/10,0)*10,[1]Hugst!$R$4:$W$4,0))))</f>
        <v>668.96370217804576</v>
      </c>
      <c r="Y311" s="168">
        <f ca="1">IF($C311-Y$1&lt;År1,0,X310*(1-VLOOKUP($A311,[1]Hugst!$R$5:$W$9,MATCH(ROUNDUP((Y$1)/10,0)*10,[1]Hugst!$R$4:$W$4,0))))</f>
        <v>670.47012688654138</v>
      </c>
      <c r="Z311" s="168">
        <f ca="1">IF($C311-Z$1&lt;År1,0,Y310*(1-VLOOKUP($A311,[1]Hugst!$R$5:$W$9,MATCH(ROUNDUP((Z$1)/10,0)*10,[1]Hugst!$R$4:$W$4,0))))</f>
        <v>671.7601268612857</v>
      </c>
      <c r="AA311" s="168">
        <f ca="1">IF($C311-AA$1&lt;År1,0,Z310*(1-VLOOKUP($A311,[1]Hugst!$R$5:$W$9,MATCH(ROUNDUP((AA$1)/10,0)*10,[1]Hugst!$R$4:$W$4,0))))</f>
        <v>673.05679528165444</v>
      </c>
      <c r="AB311" s="168">
        <f ca="1">IF($C311-AB$1&lt;År1,0,AA310*(1-VLOOKUP($A311,[1]Hugst!$R$5:$W$9,MATCH(ROUNDUP((AB$1)/10,0)*10,[1]Hugst!$R$4:$W$4,0))))</f>
        <v>674.36016321740976</v>
      </c>
      <c r="AC311" s="168">
        <f ca="1">IF($C311-AC$1&lt;År1,0,AB310*(1-VLOOKUP($A311,[1]Hugst!$R$5:$W$9,MATCH(ROUNDUP((AC$1)/10,0)*10,[1]Hugst!$R$4:$W$4,0))))</f>
        <v>675.67026188404884</v>
      </c>
      <c r="AD311" s="168">
        <f ca="1">IF($C311-AD$1&lt;År1,0,AC310*(1-VLOOKUP($A311,[1]Hugst!$R$5:$W$9,MATCH(ROUNDUP((AD$1)/10,0)*10,[1]Hugst!$R$4:$W$4,0))))</f>
        <v>676.98712264359267</v>
      </c>
      <c r="AE311" s="168">
        <f ca="1">IF($C311-AE$1&lt;År1,0,AD310*(1-VLOOKUP($A311,[1]Hugst!$R$5:$W$9,MATCH(ROUNDUP((AE$1)/10,0)*10,[1]Hugst!$R$4:$W$4,0))))</f>
        <v>678.31077700513981</v>
      </c>
      <c r="AF311" s="168">
        <f ca="1">IF($C311-AF$1&lt;År1,0,AE310*(1-VLOOKUP($A311,[1]Hugst!$R$5:$W$9,MATCH(ROUNDUP((AF$1)/10,0)*10,[1]Hugst!$R$4:$W$4,0))))</f>
        <v>679.64125662573815</v>
      </c>
      <c r="AG311" s="168">
        <f ca="1">IF($C311-AG$1&lt;År1,0,AF310*(1-VLOOKUP($A311,[1]Hugst!$R$5:$W$9,MATCH(ROUNDUP((AG$1)/10,0)*10,[1]Hugst!$R$4:$W$4,0))))</f>
        <v>680.97859331089865</v>
      </c>
      <c r="AH311" s="168">
        <f ca="1">IF($C311-AH$1&lt;År1,0,AG310*(1-VLOOKUP($A311,[1]Hugst!$R$5:$W$9,MATCH(ROUNDUP((AH$1)/10,0)*10,[1]Hugst!$R$4:$W$4,0))))</f>
        <v>682.32281901543479</v>
      </c>
      <c r="AI311" s="168">
        <f ca="1">IF($C311-AI$1&lt;År1,0,AH310*(1-VLOOKUP($A311,[1]Hugst!$R$5:$W$9,MATCH(ROUNDUP((AI$1)/10,0)*10,[1]Hugst!$R$4:$W$4,0))))</f>
        <v>683.67396584404582</v>
      </c>
      <c r="AJ311" s="168">
        <f ca="1">IF($C311-AJ$1&lt;År1,0,AI310*(1-VLOOKUP($A311,[1]Hugst!$R$5:$W$9,MATCH(ROUNDUP((AJ$1)/10,0)*10,[1]Hugst!$R$4:$W$4,0))))</f>
        <v>683.43312491760958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272</v>
      </c>
      <c r="F1" s="75"/>
    </row>
    <row r="2" spans="1:7" s="320" customFormat="1" x14ac:dyDescent="0.25">
      <c r="A2" s="319"/>
      <c r="C2" s="430" t="s">
        <v>318</v>
      </c>
      <c r="D2" s="430"/>
      <c r="E2" s="430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319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31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31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32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32"/>
    </row>
    <row r="8" spans="1:7" s="12" customFormat="1" x14ac:dyDescent="0.25">
      <c r="A8" s="317"/>
      <c r="C8" s="12" t="s">
        <v>240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272</v>
      </c>
    </row>
    <row r="2" spans="1:10" ht="15.75" x14ac:dyDescent="0.25">
      <c r="A2" s="224" t="s">
        <v>25</v>
      </c>
    </row>
    <row r="3" spans="1:10" x14ac:dyDescent="0.25">
      <c r="A3" s="6" t="s">
        <v>302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322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212954.7645341866</v>
      </c>
      <c r="I5" s="10">
        <f>SUMIFS('Resultat-Produktion &amp; forbrug'!$N$3:$N$1000,'Resultat-Produktion &amp; forbrug'!$A$3:$A$1000,Adfærd!$G5,'Resultat-Produktion &amp; forbrug'!$D$3:$D$1000,Adfærd!I$4)</f>
        <v>194808.52997510659</v>
      </c>
      <c r="J5" s="10">
        <f>SUMIFS('Resultat-Produktion &amp; forbrug'!$N$3:$N$1000,'Resultat-Produktion &amp; forbrug'!$A$3:$A$1000,Adfærd!$G5,'Resultat-Produktion &amp; forbrug'!$D$3:$D$1000,Adfærd!J$4)</f>
        <v>177248.86428118241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320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321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314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D18" sqref="D18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710937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272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6" t="s">
        <v>325</v>
      </c>
      <c r="G2" s="437"/>
      <c r="M2" s="122"/>
      <c r="Z2" s="344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0.9</v>
      </c>
      <c r="D3" s="178">
        <f t="shared" ref="D3:D5" si="0">C3</f>
        <v>0.9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0.91910404278460756</v>
      </c>
      <c r="AC3" s="230">
        <f>SUM(E12:E14)/SUM(E12:E15)</f>
        <v>0.90263658812393643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0.9</v>
      </c>
      <c r="D4" s="178">
        <f t="shared" si="0"/>
        <v>0.9</v>
      </c>
      <c r="E4" s="155"/>
      <c r="F4" s="171"/>
      <c r="G4" s="172"/>
      <c r="N4" s="245"/>
      <c r="Z4" s="345" t="s">
        <v>202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0.9</v>
      </c>
      <c r="D5" s="178">
        <f t="shared" si="0"/>
        <v>0.9</v>
      </c>
      <c r="E5" s="155"/>
      <c r="F5" s="171"/>
      <c r="G5" s="172"/>
      <c r="H5" s="124"/>
      <c r="N5" s="245"/>
      <c r="Z5" s="177" t="s">
        <v>135</v>
      </c>
      <c r="AA5" s="346">
        <f t="shared" ref="AA5:AC6" si="1">C12/C$29</f>
        <v>0.22267199142680771</v>
      </c>
      <c r="AB5" s="346">
        <f t="shared" si="1"/>
        <v>0.44748349759045192</v>
      </c>
      <c r="AC5" s="346">
        <f t="shared" si="1"/>
        <v>0.40025577649498256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f t="shared" ref="C6" si="2">B6</f>
        <v>0.37924884410556858</v>
      </c>
      <c r="D6" s="178">
        <f>C6</f>
        <v>0.37924884410556858</v>
      </c>
      <c r="E6" s="155"/>
      <c r="F6" s="171"/>
      <c r="G6" s="172"/>
      <c r="H6" s="125"/>
      <c r="Z6" s="347" t="s">
        <v>136</v>
      </c>
      <c r="AA6" s="346">
        <f t="shared" si="1"/>
        <v>0.33257225498473725</v>
      </c>
      <c r="AB6" s="346">
        <f t="shared" si="1"/>
        <v>0.37802138604920854</v>
      </c>
      <c r="AC6" s="346">
        <f t="shared" si="1"/>
        <v>0.38811354542054333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f>C7</f>
        <v>0.5</v>
      </c>
      <c r="F7" s="171"/>
      <c r="G7" s="173"/>
      <c r="N7" s="156"/>
    </row>
    <row r="8" spans="1:29" ht="12.75" thickBot="1" x14ac:dyDescent="0.25">
      <c r="A8" s="177" t="s">
        <v>208</v>
      </c>
      <c r="B8" s="230">
        <v>0</v>
      </c>
      <c r="C8" s="178">
        <v>0.2</v>
      </c>
      <c r="D8" s="178">
        <v>0.2</v>
      </c>
      <c r="F8" s="174"/>
      <c r="G8" s="175"/>
      <c r="I8" s="156"/>
    </row>
    <row r="10" spans="1:29" ht="23.45" customHeight="1" x14ac:dyDescent="0.2">
      <c r="A10" s="126"/>
      <c r="B10" s="127"/>
      <c r="C10" s="434" t="s">
        <v>210</v>
      </c>
      <c r="D10" s="434"/>
      <c r="E10" s="434"/>
      <c r="F10" s="433" t="s">
        <v>326</v>
      </c>
      <c r="G10" s="433"/>
      <c r="J10" s="435" t="s">
        <v>211</v>
      </c>
      <c r="K10" s="435"/>
      <c r="L10" s="435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17135107.567292936</v>
      </c>
      <c r="E12" s="130">
        <f>SUMIFS('Resultater - Danmark'!J$3:J$504,'Resultater - Danmark'!$F$3:$F$504,$A12)*D3</f>
        <v>13617921.326007361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1903900.840810325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1513102.369556373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3">C12/C$29</f>
        <v>0.22267199142680771</v>
      </c>
      <c r="K12" s="131">
        <f t="shared" ref="K12:K28" si="4">D12/D$29</f>
        <v>0.44748349759045192</v>
      </c>
      <c r="L12" s="131">
        <f t="shared" ref="L12:L28" si="5">E12/E$29</f>
        <v>0.40025577649498256</v>
      </c>
      <c r="M12" s="123" t="s">
        <v>212</v>
      </c>
      <c r="N12" s="123">
        <f>S12+2/3*T12</f>
        <v>2914869.3333333335</v>
      </c>
      <c r="O12" s="149">
        <f t="shared" ref="O12:O16" si="6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14475253.607270831</v>
      </c>
      <c r="E13" s="133">
        <f>SUMIFS('Resultater - Danmark'!J$3:J$504,'Resultater - Danmark'!$F$3:$F$504,$A13)*D4</f>
        <v>13204805.620490521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1608361.5119189806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1467200.6244989466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3"/>
        <v>0.33257225498473725</v>
      </c>
      <c r="K13" s="134">
        <f t="shared" si="4"/>
        <v>0.37802138604920854</v>
      </c>
      <c r="L13" s="134">
        <f t="shared" si="5"/>
        <v>0.38811354542054333</v>
      </c>
      <c r="M13" s="123" t="s">
        <v>213</v>
      </c>
      <c r="N13" s="123">
        <f>S13+1/3*T13</f>
        <v>4353509.666666667</v>
      </c>
      <c r="O13" s="149">
        <f t="shared" si="6"/>
        <v>0</v>
      </c>
      <c r="P13" s="138">
        <f t="shared" ref="P13:P28" si="7">C13*I13</f>
        <v>61384486.300000004</v>
      </c>
      <c r="Q13" s="123">
        <f t="shared" ref="Q13:Q28" si="8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10371.21953512851</v>
      </c>
      <c r="E14" s="133">
        <f>SUMIFS('Resultater - Danmark'!J$3:J$504,'Resultater - Danmark'!$F$3:$F$504,$A14)*D5</f>
        <v>11785.000508089444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1152.3577261253886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1309.4445008988259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3"/>
        <v>3.3929399119623192E-4</v>
      </c>
      <c r="K14" s="134">
        <f t="shared" si="4"/>
        <v>2.7084449710232665E-4</v>
      </c>
      <c r="L14" s="134">
        <f t="shared" si="5"/>
        <v>3.4638285950078153E-4</v>
      </c>
      <c r="M14" s="126" t="s">
        <v>145</v>
      </c>
      <c r="N14" s="127">
        <v>11417</v>
      </c>
      <c r="O14" s="149">
        <f t="shared" si="6"/>
        <v>6975.5</v>
      </c>
      <c r="P14" s="138">
        <f t="shared" si="7"/>
        <v>58183.65</v>
      </c>
      <c r="Q14" s="123">
        <f t="shared" si="8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2783133.6777961073</v>
      </c>
      <c r="E15" s="133">
        <f>SUMIFS('Resultater - Danmark'!J$3:J$504,'Resultater - Danmark'!$F$3:$F$504,$A15)*D6</f>
        <v>2894519.9802057589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4555408.6040134262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4737724.7192666382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3"/>
        <v>0.20387691989197443</v>
      </c>
      <c r="K15" s="134">
        <f t="shared" si="4"/>
        <v>7.2681562547011996E-2</v>
      </c>
      <c r="L15" s="134">
        <f t="shared" si="5"/>
        <v>8.5075270632156932E-2</v>
      </c>
      <c r="M15" s="136" t="s">
        <v>292</v>
      </c>
      <c r="N15" s="137">
        <f>SUM(S15:Z15)</f>
        <v>2668834</v>
      </c>
      <c r="O15" s="149">
        <f t="shared" si="6"/>
        <v>0</v>
      </c>
      <c r="P15" s="138">
        <f>C15*I15</f>
        <v>37096792.600000001</v>
      </c>
      <c r="Q15" s="123">
        <f t="shared" si="8"/>
        <v>1.3317748543399999</v>
      </c>
      <c r="S15" s="164">
        <v>2666649</v>
      </c>
      <c r="T15" s="123">
        <v>2185</v>
      </c>
      <c r="U15" s="164" t="s">
        <v>294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1970290.5915271791</v>
      </c>
      <c r="E16" s="133">
        <f>SUMIFS('Resultater - Danmark'!J$3:J$504,'Resultater - Danmark'!$F$3:$F$504,$A16)*D7</f>
        <v>2352924.3943038695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1970290.5915271789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2352924.394303869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3"/>
        <v>5.7835206554718369E-2</v>
      </c>
      <c r="K16" s="134">
        <f t="shared" si="4"/>
        <v>5.1454157594496633E-2</v>
      </c>
      <c r="L16" s="134">
        <f t="shared" si="5"/>
        <v>6.9156779359379653E-2</v>
      </c>
      <c r="M16" s="243" t="s">
        <v>156</v>
      </c>
      <c r="N16" s="244">
        <v>757087</v>
      </c>
      <c r="O16" s="149">
        <f t="shared" si="6"/>
        <v>0</v>
      </c>
      <c r="P16" s="138">
        <f t="shared" si="7"/>
        <v>45425220</v>
      </c>
      <c r="Q16" s="123">
        <f t="shared" si="8"/>
        <v>1.6307653980000001</v>
      </c>
    </row>
    <row r="17" spans="1:23" x14ac:dyDescent="0.2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166708.59941929884</v>
      </c>
      <c r="E17" s="133">
        <f>SUMIFS('Resultater - Danmark'!J$3:J$504,'Resultater - Danmark'!$F$3:$F$504,$A17)*D8</f>
        <v>197019.25385917132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666834.39767719537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788077.01543668529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3"/>
        <v>0</v>
      </c>
      <c r="K17" s="134">
        <f t="shared" si="4"/>
        <v>4.353596664251282E-3</v>
      </c>
      <c r="L17" s="134">
        <f t="shared" si="5"/>
        <v>5.7907585563196319E-3</v>
      </c>
      <c r="M17" s="123" t="s">
        <v>149</v>
      </c>
      <c r="N17" s="138"/>
      <c r="O17" s="149"/>
      <c r="P17" s="138">
        <f t="shared" si="7"/>
        <v>0</v>
      </c>
      <c r="Q17" s="123">
        <f t="shared" si="8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9">N18</f>
        <v>729134</v>
      </c>
      <c r="D18" s="247">
        <v>363995</v>
      </c>
      <c r="E18" s="247">
        <v>369777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3"/>
        <v>5.5699827755684647E-2</v>
      </c>
      <c r="K18" s="134">
        <f t="shared" si="4"/>
        <v>9.5057328975477907E-3</v>
      </c>
      <c r="L18" s="134">
        <f t="shared" si="5"/>
        <v>1.0868426738692202E-2</v>
      </c>
      <c r="M18" s="158" t="s">
        <v>290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720407</v>
      </c>
      <c r="E19" s="247">
        <v>707407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73077.445733657805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70477.685835188255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3"/>
        <v>7.6059758980185313E-2</v>
      </c>
      <c r="K19" s="134">
        <f t="shared" si="4"/>
        <v>1.881343567775302E-2</v>
      </c>
      <c r="L19" s="134">
        <f t="shared" si="5"/>
        <v>2.07919939691707E-2</v>
      </c>
      <c r="M19" s="160" t="s">
        <v>291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1621441.1022628867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1225497.0374225536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3"/>
        <v>5.8007317184497744E-3</v>
      </c>
      <c r="K20" s="134">
        <f t="shared" si="4"/>
        <v>1.9830171344177639E-3</v>
      </c>
      <c r="L20" s="134">
        <f t="shared" si="5"/>
        <v>2.2318400440694084E-3</v>
      </c>
      <c r="M20" s="123" t="s">
        <v>146</v>
      </c>
      <c r="N20" s="138">
        <v>75934</v>
      </c>
      <c r="O20" s="149">
        <f t="shared" ref="O20:O28" si="10">N20-C20</f>
        <v>0</v>
      </c>
      <c r="P20" s="138">
        <f t="shared" si="7"/>
        <v>12195000.4</v>
      </c>
      <c r="Q20" s="123">
        <f t="shared" si="8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11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-967818.18551018054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-1074416.773665641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3"/>
        <v>2.8921919411661239E-4</v>
      </c>
      <c r="K21" s="134">
        <f t="shared" si="4"/>
        <v>9.8871426118809152E-5</v>
      </c>
      <c r="L21" s="134">
        <f t="shared" si="5"/>
        <v>1.1127750950623938E-4</v>
      </c>
      <c r="M21" s="123" t="s">
        <v>157</v>
      </c>
      <c r="N21" s="138">
        <v>3786</v>
      </c>
      <c r="O21" s="149">
        <f t="shared" si="10"/>
        <v>0</v>
      </c>
      <c r="P21" s="138">
        <f t="shared" si="7"/>
        <v>361184.4</v>
      </c>
      <c r="Q21" s="123">
        <f t="shared" si="8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11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16582830.867536297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15823745.96327755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3"/>
        <v>6.5450166123425784E-3</v>
      </c>
      <c r="K22" s="134">
        <f t="shared" si="4"/>
        <v>2.2374556723669336E-3</v>
      </c>
      <c r="L22" s="134">
        <f t="shared" si="5"/>
        <v>2.5182047495948415E-3</v>
      </c>
      <c r="M22" s="162" t="s">
        <v>293</v>
      </c>
      <c r="N22" s="163">
        <f>SUM(S22:Z22)</f>
        <v>85677</v>
      </c>
      <c r="O22" s="149">
        <f t="shared" si="10"/>
        <v>0</v>
      </c>
      <c r="P22" s="138">
        <f t="shared" si="7"/>
        <v>4390946.25</v>
      </c>
      <c r="Q22" s="123">
        <f t="shared" si="8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11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391798.11160085996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320177.72901047202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3"/>
        <v>2.5211266180012976E-2</v>
      </c>
      <c r="K23" s="134">
        <f t="shared" si="4"/>
        <v>8.6186321384802179E-3</v>
      </c>
      <c r="L23" s="134">
        <f t="shared" si="5"/>
        <v>9.7000716725584146E-3</v>
      </c>
      <c r="M23" s="123" t="s">
        <v>147</v>
      </c>
      <c r="N23" s="138">
        <v>330026</v>
      </c>
      <c r="O23" s="149">
        <f t="shared" si="10"/>
        <v>0</v>
      </c>
      <c r="P23" s="138">
        <f t="shared" si="7"/>
        <v>33002600</v>
      </c>
      <c r="Q23" s="123">
        <f t="shared" si="8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11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1295986.9268226949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1135982.3103729305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3"/>
        <v>2.1882418952642265E-3</v>
      </c>
      <c r="K24" s="134">
        <f t="shared" si="4"/>
        <v>7.48064448276093E-4</v>
      </c>
      <c r="L24" s="134">
        <f t="shared" si="5"/>
        <v>8.4192928151247408E-4</v>
      </c>
      <c r="M24" s="123" t="s">
        <v>148</v>
      </c>
      <c r="N24" s="138">
        <v>28645</v>
      </c>
      <c r="O24" s="149">
        <f t="shared" si="10"/>
        <v>0</v>
      </c>
      <c r="P24" s="138">
        <f t="shared" si="7"/>
        <v>2165562</v>
      </c>
      <c r="Q24" s="123">
        <f t="shared" si="8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11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3"/>
        <v>5.9585570895657067E-6</v>
      </c>
      <c r="K25" s="134">
        <f t="shared" si="4"/>
        <v>2.0369707441276054E-6</v>
      </c>
      <c r="L25" s="134">
        <f t="shared" si="5"/>
        <v>2.2925635872917779E-6</v>
      </c>
      <c r="M25" s="123" t="s">
        <v>163</v>
      </c>
      <c r="N25" s="138">
        <v>78</v>
      </c>
      <c r="O25" s="149">
        <f t="shared" si="10"/>
        <v>0</v>
      </c>
      <c r="P25" s="138">
        <f t="shared" si="7"/>
        <v>3689.3999999999996</v>
      </c>
      <c r="Q25" s="123">
        <f t="shared" si="8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11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3"/>
        <v>1.090431225742036E-2</v>
      </c>
      <c r="K26" s="134">
        <f t="shared" si="4"/>
        <v>3.7277086917725977E-3</v>
      </c>
      <c r="L26" s="134">
        <f t="shared" si="5"/>
        <v>4.1954501484256787E-3</v>
      </c>
      <c r="M26" s="123" t="s">
        <v>161</v>
      </c>
      <c r="N26" s="123">
        <v>142742</v>
      </c>
      <c r="O26" s="149">
        <f t="shared" si="10"/>
        <v>0</v>
      </c>
      <c r="P26" s="138">
        <f t="shared" si="7"/>
        <v>60431253.120000005</v>
      </c>
      <c r="Q26" s="123">
        <f t="shared" si="8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11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3"/>
        <v>0</v>
      </c>
      <c r="K27" s="134">
        <f t="shared" si="4"/>
        <v>0</v>
      </c>
      <c r="L27" s="134">
        <f t="shared" si="5"/>
        <v>0</v>
      </c>
      <c r="M27" s="123" t="s">
        <v>149</v>
      </c>
      <c r="O27" s="149">
        <f t="shared" si="10"/>
        <v>0</v>
      </c>
      <c r="P27" s="138">
        <f t="shared" si="7"/>
        <v>0</v>
      </c>
      <c r="Q27" s="123">
        <f t="shared" si="8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11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3"/>
        <v>0</v>
      </c>
      <c r="K28" s="140">
        <f t="shared" si="4"/>
        <v>0</v>
      </c>
      <c r="L28" s="140">
        <f t="shared" si="5"/>
        <v>0</v>
      </c>
      <c r="M28" s="123" t="s">
        <v>149</v>
      </c>
      <c r="O28" s="149">
        <f t="shared" si="10"/>
        <v>0</v>
      </c>
      <c r="P28" s="138">
        <f t="shared" si="7"/>
        <v>0</v>
      </c>
      <c r="Q28" s="123">
        <f t="shared" si="8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38292155.262841478</v>
      </c>
      <c r="E29" s="142">
        <f>SUM(E12:E28)</f>
        <v>34023047.575374767</v>
      </c>
      <c r="F29" s="142"/>
      <c r="G29" s="142"/>
      <c r="H29" s="143"/>
      <c r="I29" s="143"/>
      <c r="J29" s="144">
        <f>SUM(J12:J28)</f>
        <v>1</v>
      </c>
      <c r="K29" s="144">
        <f>SUM(K12:K28)</f>
        <v>1</v>
      </c>
      <c r="L29" s="144">
        <f>SUM(L12:L28)</f>
        <v>1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9.0100880930778421E-2</v>
      </c>
      <c r="E30" s="146">
        <f>SUMPRODUCT(E12:E28,$H$12:$H$28)/E29</f>
        <v>9.6897877504911023E-2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1.1703023685242054E-2</v>
      </c>
      <c r="E31" s="146">
        <f>SUM(E21:E24)/E29</f>
        <v>1.3171483213171969E-2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790402479.53907084</v>
      </c>
      <c r="E32" s="123">
        <f>SUMPRODUCT(E12:E28,$I$12:$I$28)</f>
        <v>754502312.04817927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28.375449015452645</v>
      </c>
      <c r="E33" s="123">
        <f>E32*[1]Energiindhold!$C$10</f>
        <v>27.086633002529638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2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14966504.274538353</v>
      </c>
      <c r="E39" s="130">
        <f>SUMIFS('Resultater - Vestdanmark'!J$3:J$504,'Resultater - Vestdanmark'!$F$3:$F$504,$A39)*D3</f>
        <v>11894449.85598157</v>
      </c>
      <c r="F39" s="131">
        <f>VLOOKUP(A39,[1]Biogasudbytte!$A$2:$C$18,3,FALSE)</f>
        <v>0.05</v>
      </c>
      <c r="G39" s="132">
        <f t="shared" ref="G39:G55" si="13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2168603.2927545812</v>
      </c>
      <c r="M39" s="130">
        <f>SUMIFS('Resultater - Østdanmark'!J$3:J$504,'Resultater - Østdanmark'!$F$3:$F$504,$A39)*D3</f>
        <v>1723471.4700257902</v>
      </c>
      <c r="N39" s="131">
        <f>VLOOKUP(I39,[1]Biogasudbytte!$A$2:$C$18,3,FALSE)</f>
        <v>0.05</v>
      </c>
      <c r="O39" s="132">
        <f t="shared" ref="O39:O55" si="14">I12</f>
        <v>12</v>
      </c>
    </row>
    <row r="40" spans="1:15" hidden="1" x14ac:dyDescent="0.2">
      <c r="A40" s="124" t="str">
        <f t="shared" si="12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13514709.044056162</v>
      </c>
      <c r="E40" s="133">
        <f>SUMIFS('Resultater - Vestdanmark'!J$3:J$504,'Resultater - Vestdanmark'!$F$3:$F$504,$A40)*D4</f>
        <v>12328565.066010863</v>
      </c>
      <c r="F40" s="134">
        <f>VLOOKUP(A40,[1]Biogasudbytte!$A$2:$C$18,3,FALSE)</f>
        <v>7.5999999999999998E-2</v>
      </c>
      <c r="G40" s="135">
        <f t="shared" si="13"/>
        <v>14.1</v>
      </c>
      <c r="I40" s="124" t="str">
        <f t="shared" ref="I40:I55" si="15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960544.56321466842</v>
      </c>
      <c r="M40" s="133">
        <f>SUMIFS('Resultater - Østdanmark'!J$3:J$504,'Resultater - Østdanmark'!$F$3:$F$504,$A40)*D4</f>
        <v>876240.55447965837</v>
      </c>
      <c r="N40" s="134">
        <f>VLOOKUP(I40,[1]Biogasudbytte!$A$2:$C$18,3,FALSE)</f>
        <v>7.5999999999999998E-2</v>
      </c>
      <c r="O40" s="135">
        <f t="shared" si="14"/>
        <v>14.1</v>
      </c>
    </row>
    <row r="41" spans="1:15" hidden="1" x14ac:dyDescent="0.2">
      <c r="A41" s="124" t="str">
        <f t="shared" si="12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9568.1668252168638</v>
      </c>
      <c r="E41" s="133">
        <f>SUMIFS('Resultater - Vestdanmark'!J$3:J$504,'Resultater - Vestdanmark'!$F$3:$F$504,$A41)*D5</f>
        <v>10872.477485866666</v>
      </c>
      <c r="F41" s="134">
        <f>VLOOKUP(A41,[1]Biogasudbytte!$A$2:$C$18,3,FALSE)</f>
        <v>6.3E-2</v>
      </c>
      <c r="G41" s="135">
        <f t="shared" si="13"/>
        <v>13.1</v>
      </c>
      <c r="I41" s="124" t="str">
        <f t="shared" si="15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803.0527099116473</v>
      </c>
      <c r="M41" s="133">
        <f>SUMIFS('Resultater - Østdanmark'!J$3:J$504,'Resultater - Østdanmark'!$F$3:$F$504,$A41)*D5</f>
        <v>912.52302222277638</v>
      </c>
      <c r="N41" s="134">
        <f>VLOOKUP(I41,[1]Biogasudbytte!$A$2:$C$18,3,FALSE)</f>
        <v>6.3E-2</v>
      </c>
      <c r="O41" s="135">
        <f t="shared" si="14"/>
        <v>13.1</v>
      </c>
    </row>
    <row r="42" spans="1:15" hidden="1" x14ac:dyDescent="0.2">
      <c r="A42" s="124" t="str">
        <f t="shared" si="12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1514387.1819129025</v>
      </c>
      <c r="E42" s="133">
        <f>SUMIFS('Resultater - Vestdanmark'!J$3:J$504,'Resultater - Vestdanmark'!$F$3:$F$504,$A42)*D6</f>
        <v>1566787.3226266655</v>
      </c>
      <c r="F42" s="134">
        <f>VLOOKUP(A42,[1]Biogasudbytte!$A$2:$C$18,3,FALSE)</f>
        <v>0.06</v>
      </c>
      <c r="G42" s="135">
        <f t="shared" si="13"/>
        <v>13.9</v>
      </c>
      <c r="I42" s="124" t="str">
        <f t="shared" si="15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1268746.495883205</v>
      </c>
      <c r="M42" s="133">
        <f>SUMIFS('Resultater - Østdanmark'!J$3:J$504,'Resultater - Østdanmark'!$F$3:$F$504,$A42)*D6</f>
        <v>1327732.6575790939</v>
      </c>
      <c r="N42" s="134">
        <f>VLOOKUP(I42,[1]Biogasudbytte!$A$2:$C$18,3,FALSE)</f>
        <v>0.06</v>
      </c>
      <c r="O42" s="135">
        <f t="shared" si="14"/>
        <v>13.9</v>
      </c>
    </row>
    <row r="43" spans="1:15" hidden="1" x14ac:dyDescent="0.2">
      <c r="A43" s="124" t="str">
        <f t="shared" si="12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1733862.7782143005</v>
      </c>
      <c r="E43" s="133">
        <f>SUMIFS('Resultater - Vestdanmark'!J$3:J$504,'Resultater - Vestdanmark'!$F$3:$F$504,$A43)*D7</f>
        <v>2066021.4577387257</v>
      </c>
      <c r="F43" s="134">
        <f>VLOOKUP(A43,[1]Biogasudbytte!$A$2:$C$18,3,FALSE)</f>
        <v>0.3</v>
      </c>
      <c r="G43" s="135">
        <f t="shared" si="13"/>
        <v>60</v>
      </c>
      <c r="I43" s="124" t="str">
        <f t="shared" si="15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236427.81331287848</v>
      </c>
      <c r="M43" s="133">
        <f>SUMIFS('Resultater - Østdanmark'!J$3:J$504,'Resultater - Østdanmark'!$F$3:$F$504,$A43)*D7</f>
        <v>286902.93656514311</v>
      </c>
      <c r="N43" s="134">
        <f>VLOOKUP(I43,[1]Biogasudbytte!$A$2:$C$18,3,FALSE)</f>
        <v>0.3</v>
      </c>
      <c r="O43" s="135">
        <f t="shared" si="14"/>
        <v>60</v>
      </c>
    </row>
    <row r="44" spans="1:15" hidden="1" x14ac:dyDescent="0.2">
      <c r="A44" s="125" t="str">
        <f t="shared" si="12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148483.55750423684</v>
      </c>
      <c r="E44" s="133">
        <f>SUMIFS('Resultater - Vestdanmark'!J$3:J$504,'Resultater - Vestdanmark'!$F$3:$F$504,$A44)*D8</f>
        <v>175480.5679595526</v>
      </c>
      <c r="F44" s="134">
        <f>VLOOKUP(A44,[1]Biogasudbytte!$A$2:$C$18,3,FALSE)</f>
        <v>4.2763387558472386E-2</v>
      </c>
      <c r="G44" s="135">
        <f t="shared" si="13"/>
        <v>15.822453396634783</v>
      </c>
      <c r="I44" s="125" t="str">
        <f t="shared" si="15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18225.041915061996</v>
      </c>
      <c r="M44" s="133">
        <f>SUMIFS('Resultater - Østdanmark'!J$3:J$504,'Resultater - Østdanmark'!$F$3:$F$504,$A44)*D8</f>
        <v>21538.685899618729</v>
      </c>
      <c r="N44" s="134">
        <f>VLOOKUP(I44,[1]Biogasudbytte!$A$2:$C$18,3,FALSE)</f>
        <v>4.2763387558472386E-2</v>
      </c>
      <c r="O44" s="135">
        <f t="shared" si="14"/>
        <v>15.822453396634783</v>
      </c>
    </row>
    <row r="45" spans="1:15" hidden="1" x14ac:dyDescent="0.2">
      <c r="A45" s="124" t="str">
        <f t="shared" si="12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195082.24112879002</v>
      </c>
      <c r="E45" s="133">
        <f ca="1">SUMIFS('Resultater - Vestdanmark'!J$3:J$504,'Resultater - Vestdanmark'!$F$3:$F$504,$A45)/SUMIFS('Resultater - Danmark'!J$3:J$504,'Resultater - Danmark'!$F$3:$F$504,$A45)*E18</f>
        <v>197484.23354298095</v>
      </c>
      <c r="F45" s="134">
        <f>VLOOKUP(A45,[1]Biogasudbytte!$A$2:$C$18,3,FALSE)</f>
        <v>0.28000000000000003</v>
      </c>
      <c r="G45" s="135">
        <f t="shared" si="13"/>
        <v>94.9</v>
      </c>
      <c r="I45" s="124" t="str">
        <f t="shared" si="15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168912.75887120995</v>
      </c>
      <c r="M45" s="133">
        <f ca="1">SUMIFS('Resultater - Østdanmark'!J$3:J$504,'Resultater - Østdanmark'!$F$3:$F$504,$A45)/SUMIFS('Resultater - Danmark'!J$3:J$504,'Resultater - Danmark'!$F$3:$F$504,$A45)*E18</f>
        <v>172292.76645701908</v>
      </c>
      <c r="N45" s="134">
        <f>VLOOKUP(I45,[1]Biogasudbytte!$A$2:$C$18,3,FALSE)</f>
        <v>0.28000000000000003</v>
      </c>
      <c r="O45" s="135">
        <f t="shared" si="14"/>
        <v>94.9</v>
      </c>
    </row>
    <row r="46" spans="1:15" hidden="1" x14ac:dyDescent="0.2">
      <c r="A46" s="124" t="str">
        <f t="shared" si="12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529759.62082392198</v>
      </c>
      <c r="E46" s="133">
        <f>SUMIFS('Resultater - Vestdanmark'!J$3:J$504,'Resultater - Vestdanmark'!$F$3:$F$504,$A46)/SUMIFS('Resultater - Danmark'!J$3:J$504,'Resultater - Danmark'!$F$3:$F$504,$A46)*E19</f>
        <v>517021.84354515088</v>
      </c>
      <c r="F46" s="134">
        <f>VLOOKUP(A46,[1]Biogasudbytte!$A$2:$C$18,3,FALSE)</f>
        <v>0.42</v>
      </c>
      <c r="G46" s="135">
        <f t="shared" si="13"/>
        <v>102.595</v>
      </c>
      <c r="I46" s="124" t="str">
        <f t="shared" si="15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190647.37917607787</v>
      </c>
      <c r="M46" s="133">
        <f>SUMIFS('Resultater - Østdanmark'!J$3:J$504,'Resultater - Østdanmark'!$F$3:$F$504,$A46)/SUMIFS('Resultater - Danmark'!J$3:J$504,'Resultater - Danmark'!$F$3:$F$504,$A46)*E19</f>
        <v>190385.15645484926</v>
      </c>
      <c r="N46" s="134">
        <f>VLOOKUP(I46,[1]Biogasudbytte!$A$2:$C$18,3,FALSE)</f>
        <v>0.42</v>
      </c>
      <c r="O46" s="135">
        <f t="shared" si="14"/>
        <v>102.595</v>
      </c>
    </row>
    <row r="47" spans="1:15" hidden="1" x14ac:dyDescent="0.2">
      <c r="A47" s="124" t="str">
        <f t="shared" si="12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53194.904606816119</v>
      </c>
      <c r="D47" s="133">
        <f>SUMIFS('Resultater - Vestdanmark'!I$3:I$504,'Resultater - Vestdanmark'!$F$3:$F$504,$A47)/SUMIFS('Resultater - Danmark'!I$3:I$504,'Resultater - Danmark'!$F$3:$F$504,$A47)*D20</f>
        <v>55619.352410468891</v>
      </c>
      <c r="E47" s="133">
        <f>SUMIFS('Resultater - Vestdanmark'!J$3:J$504,'Resultater - Vestdanmark'!$F$3:$F$504,$A47)/SUMIFS('Resultater - Danmark'!J$3:J$504,'Resultater - Danmark'!$F$3:$F$504,$A47)*E20</f>
        <v>54669.921184812862</v>
      </c>
      <c r="F47" s="134">
        <f>VLOOKUP(A47,[1]Biogasudbytte!$A$2:$C$18,3,FALSE)</f>
        <v>0.85</v>
      </c>
      <c r="G47" s="135">
        <f t="shared" si="13"/>
        <v>160.6</v>
      </c>
      <c r="I47" s="124" t="str">
        <f t="shared" si="15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22739.095393183845</v>
      </c>
      <c r="L47" s="133">
        <f>SUMIFS('Resultater - Østdanmark'!I$3:I$504,'Resultater - Østdanmark'!$F$3:$F$504,$A47)/SUMIFS('Resultater - Danmark'!I$3:I$504,'Resultater - Danmark'!$F$3:$F$504,$A47)*D20</f>
        <v>20314.647589531094</v>
      </c>
      <c r="M47" s="133">
        <f>SUMIFS('Resultater - Østdanmark'!J$3:J$504,'Resultater - Østdanmark'!$F$3:$F$504,$A47)/SUMIFS('Resultater - Danmark'!J$3:J$504,'Resultater - Danmark'!$F$3:$F$504,$A47)*E20</f>
        <v>21264.07881518716</v>
      </c>
      <c r="N47" s="134">
        <f>VLOOKUP(I47,[1]Biogasudbytte!$A$2:$C$18,3,FALSE)</f>
        <v>0.85</v>
      </c>
      <c r="O47" s="135">
        <f t="shared" si="14"/>
        <v>160.6</v>
      </c>
    </row>
    <row r="48" spans="1:15" hidden="1" x14ac:dyDescent="0.2">
      <c r="A48" s="124" t="str">
        <f t="shared" si="12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2843.3935258054057</v>
      </c>
      <c r="D48" s="133">
        <f>SUMIFS('Resultater - Vestdanmark'!I$3:I$504,'Resultater - Vestdanmark'!$F$3:$F$504,$A48)/SUMIFS('Resultater - Danmark'!I$3:I$504,'Resultater - Danmark'!$F$3:$F$504,$A48)*D21</f>
        <v>2918.824426874643</v>
      </c>
      <c r="E48" s="133">
        <f>SUMIFS('Resultater - Vestdanmark'!J$3:J$504,'Resultater - Vestdanmark'!$F$3:$F$504,$A48)/SUMIFS('Resultater - Danmark'!J$3:J$504,'Resultater - Danmark'!$F$3:$F$504,$A48)*E21</f>
        <v>2900.6853742765697</v>
      </c>
      <c r="F48" s="134">
        <f>VLOOKUP(A48,[1]Biogasudbytte!$A$2:$C$18,3,FALSE)</f>
        <v>0.31</v>
      </c>
      <c r="G48" s="135">
        <f t="shared" si="13"/>
        <v>95.4</v>
      </c>
      <c r="I48" s="124" t="str">
        <f t="shared" si="15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942.6064741945944</v>
      </c>
      <c r="L48" s="133">
        <f>SUMIFS('Resultater - Østdanmark'!I$3:I$504,'Resultater - Østdanmark'!$F$3:$F$504,$A48)/SUMIFS('Resultater - Danmark'!I$3:I$504,'Resultater - Danmark'!$F$3:$F$504,$A48)*D21</f>
        <v>867.1755731253553</v>
      </c>
      <c r="M48" s="133">
        <f>SUMIFS('Resultater - Østdanmark'!J$3:J$504,'Resultater - Østdanmark'!$F$3:$F$504,$A48)/SUMIFS('Resultater - Danmark'!J$3:J$504,'Resultater - Danmark'!$F$3:$F$504,$A48)*E21</f>
        <v>885.31462572342923</v>
      </c>
      <c r="N48" s="134">
        <f>VLOOKUP(I48,[1]Biogasudbytte!$A$2:$C$18,3,FALSE)</f>
        <v>0.31</v>
      </c>
      <c r="O48" s="135">
        <f t="shared" si="14"/>
        <v>95.4</v>
      </c>
    </row>
    <row r="49" spans="1:15" hidden="1" x14ac:dyDescent="0.2">
      <c r="A49" s="124" t="str">
        <f t="shared" si="12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75399.16825098735</v>
      </c>
      <c r="D49" s="133">
        <f>SUMIFS('Resultater - Vestdanmark'!I$3:I$504,'Resultater - Vestdanmark'!$F$3:$F$504,$A49)/SUMIFS('Resultater - Danmark'!I$3:I$504,'Resultater - Danmark'!$F$3:$F$504,$A49)*D22</f>
        <v>66661.570162252625</v>
      </c>
      <c r="E49" s="133">
        <f>SUMIFS('Resultater - Vestdanmark'!J$3:J$504,'Resultater - Vestdanmark'!$F$3:$F$504,$A49)/SUMIFS('Resultater - Danmark'!J$3:J$504,'Resultater - Danmark'!$F$3:$F$504,$A49)*E22</f>
        <v>66308.44487944337</v>
      </c>
      <c r="F49" s="134">
        <f>VLOOKUP(A49,[1]Biogasudbytte!$A$2:$C$18,3,FALSE)</f>
        <v>0.28000000000000003</v>
      </c>
      <c r="G49" s="135">
        <f t="shared" si="13"/>
        <v>51.25</v>
      </c>
      <c r="I49" s="124" t="str">
        <f t="shared" si="15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10277.831749012612</v>
      </c>
      <c r="L49" s="133">
        <f>SUMIFS('Resultater - Østdanmark'!I$3:I$504,'Resultater - Østdanmark'!$F$3:$F$504,$A49)/SUMIFS('Resultater - Danmark'!I$3:I$504,'Resultater - Danmark'!$F$3:$F$504,$A49)*D22</f>
        <v>19015.429837747353</v>
      </c>
      <c r="M49" s="133">
        <f>SUMIFS('Resultater - Østdanmark'!J$3:J$504,'Resultater - Østdanmark'!$F$3:$F$504,$A49)/SUMIFS('Resultater - Danmark'!J$3:J$504,'Resultater - Danmark'!$F$3:$F$504,$A49)*E22</f>
        <v>19368.555120556652</v>
      </c>
      <c r="N49" s="134">
        <f>VLOOKUP(I49,[1]Biogasudbytte!$A$2:$C$18,3,FALSE)</f>
        <v>0.28000000000000003</v>
      </c>
      <c r="O49" s="135">
        <f t="shared" si="14"/>
        <v>51.25</v>
      </c>
    </row>
    <row r="50" spans="1:15" hidden="1" x14ac:dyDescent="0.2">
      <c r="A50" s="124" t="str">
        <f t="shared" si="12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314874.94627501385</v>
      </c>
      <c r="D50" s="133">
        <f>SUMIFS('Resultater - Vestdanmark'!I$3:I$504,'Resultater - Vestdanmark'!$F$3:$F$504,$A50)/SUMIFS('Resultater - Danmark'!I$3:I$504,'Resultater - Danmark'!$F$3:$F$504,$A50)*D23</f>
        <v>255419.79717931396</v>
      </c>
      <c r="E50" s="133">
        <f>SUMIFS('Resultater - Vestdanmark'!J$3:J$504,'Resultater - Vestdanmark'!$F$3:$F$504,$A50)/SUMIFS('Resultater - Danmark'!J$3:J$504,'Resultater - Danmark'!$F$3:$F$504,$A50)*E23</f>
        <v>253885.21862507635</v>
      </c>
      <c r="F50" s="134">
        <f>VLOOKUP(A50,[1]Biogasudbytte!$A$2:$C$18,3,FALSE)</f>
        <v>0.3</v>
      </c>
      <c r="G50" s="135">
        <f t="shared" si="13"/>
        <v>100</v>
      </c>
      <c r="I50" s="124" t="str">
        <f t="shared" si="15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15151.053724986185</v>
      </c>
      <c r="L50" s="133">
        <f>SUMIFS('Resultater - Østdanmark'!I$3:I$504,'Resultater - Østdanmark'!$F$3:$F$504,$A50)/SUMIFS('Resultater - Danmark'!I$3:I$504,'Resultater - Danmark'!$F$3:$F$504,$A50)*D23</f>
        <v>74606.202820686085</v>
      </c>
      <c r="M50" s="133">
        <f>SUMIFS('Resultater - Østdanmark'!J$3:J$504,'Resultater - Østdanmark'!$F$3:$F$504,$A50)/SUMIFS('Resultater - Danmark'!J$3:J$504,'Resultater - Danmark'!$F$3:$F$504,$A50)*E23</f>
        <v>76140.78137492371</v>
      </c>
      <c r="N50" s="134">
        <f>VLOOKUP(I50,[1]Biogasudbytte!$A$2:$C$18,3,FALSE)</f>
        <v>0.3</v>
      </c>
      <c r="O50" s="135">
        <f t="shared" si="14"/>
        <v>100</v>
      </c>
    </row>
    <row r="51" spans="1:15" hidden="1" x14ac:dyDescent="0.2">
      <c r="A51" s="124" t="str">
        <f t="shared" si="12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4141.9679702877811</v>
      </c>
      <c r="D51" s="133">
        <f>SUMIFS('Resultater - Vestdanmark'!I$3:I$504,'Resultater - Vestdanmark'!$F$3:$F$504,$A51)/SUMIFS('Resultater - Danmark'!I$3:I$504,'Resultater - Danmark'!$F$3:$F$504,$A51)*D24</f>
        <v>21983.639092994388</v>
      </c>
      <c r="E51" s="133">
        <f>SUMIFS('Resultater - Vestdanmark'!J$3:J$504,'Resultater - Vestdanmark'!$F$3:$F$504,$A51)/SUMIFS('Resultater - Danmark'!J$3:J$504,'Resultater - Danmark'!$F$3:$F$504,$A51)*E24</f>
        <v>21838.567357649685</v>
      </c>
      <c r="F51" s="134">
        <f>VLOOKUP(A51,[1]Biogasudbytte!$A$2:$C$18,3,FALSE)</f>
        <v>0.2</v>
      </c>
      <c r="G51" s="135">
        <f t="shared" si="13"/>
        <v>75.599999999999994</v>
      </c>
      <c r="I51" s="124" t="str">
        <f t="shared" si="15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24503.032029712213</v>
      </c>
      <c r="L51" s="133">
        <f>SUMIFS('Resultater - Østdanmark'!I$3:I$504,'Resultater - Østdanmark'!$F$3:$F$504,$A51)/SUMIFS('Resultater - Danmark'!I$3:I$504,'Resultater - Danmark'!$F$3:$F$504,$A51)*D24</f>
        <v>6661.3609070056164</v>
      </c>
      <c r="M51" s="133">
        <f>SUMIFS('Resultater - Østdanmark'!J$3:J$504,'Resultater - Østdanmark'!$F$3:$F$504,$A51)/SUMIFS('Resultater - Danmark'!J$3:J$504,'Resultater - Danmark'!$F$3:$F$504,$A51)*E24</f>
        <v>6806.432642350318</v>
      </c>
      <c r="N51" s="134">
        <f>VLOOKUP(I51,[1]Biogasudbytte!$A$2:$C$18,3,FALSE)</f>
        <v>0.2</v>
      </c>
      <c r="O51" s="135">
        <f t="shared" si="14"/>
        <v>75.599999999999994</v>
      </c>
    </row>
    <row r="52" spans="1:15" hidden="1" x14ac:dyDescent="0.2">
      <c r="A52" s="124" t="str">
        <f t="shared" si="12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3"/>
        <v>47.3</v>
      </c>
      <c r="I52" s="124" t="str">
        <f t="shared" si="15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4"/>
        <v>47.3</v>
      </c>
    </row>
    <row r="53" spans="1:15" hidden="1" x14ac:dyDescent="0.2">
      <c r="A53" s="125" t="str">
        <f t="shared" si="12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3"/>
        <v>423.36</v>
      </c>
      <c r="I53" s="125" t="str">
        <f t="shared" si="15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4"/>
        <v>423.36</v>
      </c>
    </row>
    <row r="54" spans="1:15" hidden="1" x14ac:dyDescent="0.2">
      <c r="A54" s="124" t="str">
        <f t="shared" si="12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3"/>
        <v>25</v>
      </c>
      <c r="I54" s="124" t="str">
        <f t="shared" si="15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4"/>
        <v>25</v>
      </c>
    </row>
    <row r="55" spans="1:15" ht="12.75" hidden="1" thickBot="1" x14ac:dyDescent="0.25">
      <c r="A55" s="139" t="str">
        <f t="shared" si="12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3"/>
        <v>25</v>
      </c>
      <c r="I55" s="139" t="str">
        <f t="shared" si="15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4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10411125.221732087</v>
      </c>
      <c r="D56" s="142">
        <f ca="1">SUM(D39:D55)</f>
        <v>33129195.452187408</v>
      </c>
      <c r="E56" s="142">
        <f ca="1">SUM(E39:E55)</f>
        <v>29270520.919230763</v>
      </c>
      <c r="F56" s="143"/>
      <c r="G56" s="143"/>
      <c r="I56" s="123" t="s">
        <v>104</v>
      </c>
      <c r="J56" s="123" t="s">
        <v>139</v>
      </c>
      <c r="K56" s="142">
        <f ca="1">SUM(K39:K55)</f>
        <v>2679292.2782679098</v>
      </c>
      <c r="L56" s="142">
        <f ca="1">SUM(L39:L55)</f>
        <v>5162959.8106540758</v>
      </c>
      <c r="M56" s="142">
        <f ca="1">SUM(M39:M55)</f>
        <v>4752526.6561440043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0.13459391872775978</v>
      </c>
      <c r="D57" s="146">
        <f ca="1">SUMPRODUCT(D39:D55,$F$39:$F$55)/D56</f>
        <v>8.817587089521739E-2</v>
      </c>
      <c r="E57" s="146">
        <f ca="1">SUMPRODUCT(E39:E55,$F$39:$F$55)/E56</f>
        <v>9.4818811651034896E-2</v>
      </c>
      <c r="I57" s="145" t="s">
        <v>123</v>
      </c>
      <c r="K57" s="146">
        <f ca="1">SUMPRODUCT(K39:K55,$N$39:$N$55)/K56</f>
        <v>0.15233102307854454</v>
      </c>
      <c r="L57" s="146">
        <f ca="1">SUMPRODUCT(L39:L55,$N$39:$N$55)/L56</f>
        <v>0.10245310447199646</v>
      </c>
      <c r="M57" s="146">
        <f ca="1">SUMPRODUCT(M39:M55,$N$39:$N$55)/M56</f>
        <v>0.1097027169032692</v>
      </c>
    </row>
    <row r="58" spans="1:15" hidden="1" x14ac:dyDescent="0.2">
      <c r="A58" s="145" t="s">
        <v>160</v>
      </c>
      <c r="C58" s="146">
        <f ca="1">SUM(C48:C51)/C56</f>
        <v>3.81572085208291E-2</v>
      </c>
      <c r="D58" s="146">
        <f ca="1">SUM(D48:D51)/D56</f>
        <v>1.0473657030464514E-2</v>
      </c>
      <c r="E58" s="146">
        <f ca="1">SUM(E48:E51)/E56</f>
        <v>1.1784310815248411E-2</v>
      </c>
      <c r="I58" s="145" t="s">
        <v>160</v>
      </c>
      <c r="K58" s="146">
        <f ca="1">SUM(K48:K51)/K56</f>
        <v>1.898804560837036E-2</v>
      </c>
      <c r="L58" s="146">
        <f ca="1">SUM(L48:L51)/L56</f>
        <v>1.9591508136444332E-2</v>
      </c>
      <c r="M58" s="146">
        <f ca="1">SUM(M48:M51)/M56</f>
        <v>2.1714993145832671E-2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352020220.2509163</v>
      </c>
      <c r="D59" s="123">
        <f ca="1">SUMPRODUCT(D39:D55,$I$12:$I$28)</f>
        <v>658754159.4454813</v>
      </c>
      <c r="E59" s="123">
        <f ca="1">SUMPRODUCT(E39:E55,$I$12:$I$28)</f>
        <v>624851382.26676178</v>
      </c>
      <c r="I59" s="123" t="s">
        <v>142</v>
      </c>
      <c r="J59" s="123" t="s">
        <v>143</v>
      </c>
      <c r="K59" s="123">
        <f ca="1">SUMPRODUCT(K39:K55,$I$12:$I$28)</f>
        <v>110817068.59908372</v>
      </c>
      <c r="L59" s="123">
        <f ca="1">SUMPRODUCT(L39:L55,$I$12:$I$28)</f>
        <v>131648320.09358951</v>
      </c>
      <c r="M59" s="123">
        <f ca="1">SUMPRODUCT(M39:M55,$I$12:$I$28)</f>
        <v>129650929.78141758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12.637525907007896</v>
      </c>
      <c r="D60" s="123">
        <f ca="1">D59*[1]Energiindhold!$C$10</f>
        <v>23.649274324092783</v>
      </c>
      <c r="E60" s="123">
        <f ca="1">E59*[1]Energiindhold!$C$10</f>
        <v>22.43216462337675</v>
      </c>
      <c r="I60" s="123" t="s">
        <v>142</v>
      </c>
      <c r="J60" s="123" t="s">
        <v>122</v>
      </c>
      <c r="K60" s="123">
        <f ca="1">K59*[1]Energiindhold!$C$10</f>
        <v>3.9783327627071059</v>
      </c>
      <c r="L60" s="123">
        <f ca="1">L59*[1]Energiindhold!$C$10</f>
        <v>4.7261746913598639</v>
      </c>
      <c r="M60" s="123">
        <f ca="1">M59*[1]Energiindhold!$C$10</f>
        <v>4.6544683791528918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6" t="s">
        <v>272</v>
      </c>
    </row>
    <row r="2" spans="1:4" ht="15.75" x14ac:dyDescent="0.25">
      <c r="A2" s="224" t="s">
        <v>309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6"/>
    </row>
    <row r="6" spans="1:4" x14ac:dyDescent="0.25">
      <c r="A6" s="306"/>
    </row>
    <row r="7" spans="1:4" ht="15.75" x14ac:dyDescent="0.25">
      <c r="A7" s="224" t="s">
        <v>295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8">
        <f>SUMIFS('Forbrug af biomasse'!$E$2:$E$403,'Forbrug af biomasse'!$D$2:$D$403,'Forbrug til andet'!B$15,'Forbrug af biomasse'!$C$2:$C$403,'Forbrug til andet'!$A16,'Forbrug af biomasse'!$A$2:$A$403,"Materialer")</f>
        <v>0</v>
      </c>
      <c r="C16" s="348">
        <f>SUMIFS('Forbrug af biomasse'!$E$2:$E$403,'Forbrug af biomasse'!$D$2:$D$403,'Forbrug til andet'!C$15,'Forbrug af biomasse'!$C$2:$C$403,'Forbrug til andet'!$A16,'Forbrug af biomasse'!$A$2:$A$403,"Materialer")</f>
        <v>0</v>
      </c>
      <c r="D16" s="348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8">
        <f>SUMIFS('Forbrug af biomasse'!$E$2:$E$403,'Forbrug af biomasse'!$D$2:$D$403,'Forbrug til andet'!B$15,'Forbrug af biomasse'!$C$2:$C$403,'Forbrug til andet'!$A17,'Forbrug af biomasse'!$A$2:$A$403,"Materialer")</f>
        <v>104190.75509932752</v>
      </c>
      <c r="C17" s="348">
        <f>SUMIFS('Forbrug af biomasse'!$E$2:$E$403,'Forbrug af biomasse'!$D$2:$D$403,'Forbrug til andet'!C$15,'Forbrug af biomasse'!$C$2:$C$403,'Forbrug til andet'!$A17,'Forbrug af biomasse'!$A$2:$A$403,"Materialer")</f>
        <v>0</v>
      </c>
      <c r="D17" s="348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8">
        <f>SUMIFS('Forbrug af biomasse'!$E$2:$E$403,'Forbrug af biomasse'!$D$2:$D$403,'Forbrug til andet'!B$15,'Forbrug af biomasse'!$C$2:$C$403,'Forbrug til andet'!$A18,'Forbrug af biomasse'!$A$2:$A$403,"Materialer")</f>
        <v>0</v>
      </c>
      <c r="C18" s="348">
        <f>SUMIFS('Forbrug af biomasse'!$E$2:$E$403,'Forbrug af biomasse'!$D$2:$D$403,'Forbrug til andet'!C$15,'Forbrug af biomasse'!$C$2:$C$403,'Forbrug til andet'!$A18,'Forbrug af biomasse'!$A$2:$A$403,"Materialer")</f>
        <v>0</v>
      </c>
      <c r="D18" s="348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8">
        <f>SUMIFS('Forbrug af biomasse'!$E$2:$E$403,'Forbrug af biomasse'!$D$2:$D$403,'Forbrug til andet'!B$15,'Forbrug af biomasse'!$C$2:$C$403,'Forbrug til andet'!$A19,'Forbrug af biomasse'!$A$2:$A$403,"Materialer")</f>
        <v>0</v>
      </c>
      <c r="C19" s="348">
        <f>SUMIFS('Forbrug af biomasse'!$E$2:$E$403,'Forbrug af biomasse'!$D$2:$D$403,'Forbrug til andet'!C$15,'Forbrug af biomasse'!$C$2:$C$403,'Forbrug til andet'!$A19,'Forbrug af biomasse'!$A$2:$A$403,"Materialer")</f>
        <v>0</v>
      </c>
      <c r="D19" s="348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8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8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8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570294.93435708468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418353.46042417659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43835.265633911426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32156.405329522484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72171.319236256371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52942.993750950387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360741.64085235406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264630.64052955853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7367.2575493194499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5404.4276108966669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30987.369727135854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22731.524644182758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19057.349691034611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13979.973710876255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96228.425648341828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70590.658334600521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2872.9723507791814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2107.537437635528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39579.133862000126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29034.218286413503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57164.365090069885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41934.284363479273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10736.453060017713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7875.9813909336926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4128.6374128486204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3028.6605130889202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100152.3337600521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73469.134782530236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7661.8786419114076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5942.8239222737075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656.80844004057417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509.44384429073193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703.29931090502282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545.50380718668021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6490.2942906279959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5034.1016838813175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30.355350523173726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23.544682928195929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479.23230655887977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371.70951784144017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12.572812639090197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9.7519179321287925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1622.9611736184906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1258.8260579777664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27.648538779246895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21.445184053741457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488.98933052674028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379.27741054196122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1206.9698702861729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936.16849780993959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138.67246392907253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107.5592650985582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227.7513200970759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176.65197488232016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25133.097627836476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19494.118975798079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3662.942628167918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2841.1077875232327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210.90938785747409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163.5887768745468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273.11810681640105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211.84005837890712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6298.9657026268824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4885.7004675571425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7.3213666207429391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5.6787107615467285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387.5220821847393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300.57582585806449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4.1906880921254537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3.2504458251844333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521.15308935917199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404.22475888209794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14.934663861115773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11.583853231433325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264.13299239417614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204.87088600900333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840.38287254815123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651.83066350452339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74.905464339689473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58.099326051955742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176.81613472378581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137.14484454668226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16884.321517134074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13096.076629889445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152291.70407614647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265048.44319423975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11705.780465233727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20372.737356280617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19272.647414102903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33542.110677186654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96332.539370288971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167657.12711623736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1967.3543266144493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3423.9829716521344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8274.8750800375929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14401.590493032652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5089.0795004071579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8857.0326732978465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25696.863218803875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44722.81423624888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767.19926603777083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1335.2334082584114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10569.221956174357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18394.671215036771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15265.186568441022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26567.526836602257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2867.0651512746385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4989.8394629679997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1102.5123830427694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1918.8122721494169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26744.704637287185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46546.477175528751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2046.0300179883995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3765.0847376260986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175.39429260078944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322.75888835063154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187.80922656107916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345.60473027942174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1733.1698353409072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3189.3624420875854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8.106100511333505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14.9167681063113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127.97431682690761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235.49710554434719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3.3574470795461528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6.1783417865075565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433.3959638944005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797.53107953512472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7.3832728159399634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13.586627541445402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130.57983498472259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240.29175496950162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322.30954062684162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593.11091310307495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37.031129978393189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68.144328808907531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60.818770347797177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111.91811556255288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6711.5487721635291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12350.527424201924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978.15312949556619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1799.9879701402513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56.321296486144433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103.64190746907171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72.933528592553259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134.21157703004721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1682.0774006202294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3095.3426356899681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1.9550996013950637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3.597755460591272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103.48399522359757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190.4302515502724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1.1190824121923435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2.0593246791333639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139.16885331013916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256.09718378721317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3.9881564295811422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7.3389670592635889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70.534141355802859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129.79624774097564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224.41605566959052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412.96826471321828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20.002774216759306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36.80891250449303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47.217025512596194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86.888315689699709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4508.7935050881479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8297.0383923327736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170742.22298669259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128790.55866223614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13123.964897187461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9899.3836521859339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21607.576606256382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16298.557051548494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108003.46622828607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81466.824723741767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2205.7041988359533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1663.7587999182997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9277.396787131378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6997.9240884020192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5705.634145514985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4303.7498063995399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28810.102141675179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21731.409402064659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860.14736621208704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648.80764633678018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11849.709496550484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8938.2150434159812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17114.601907002136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12909.514133808421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3214.4172287384959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2424.6292652228931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1236.0845017332977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932.37636682503978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29984.89215544975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22617.551444368019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1526.6125996774585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1184.0946981045329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41.282044957676888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32.01981339052611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166.74462839012355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129.33302820628569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490.29907405393533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380.29329392112112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9.2857334834920593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7.2023431407141114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15.786596774609263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12.244642514989296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44.104430053355863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34.208955042120508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47.022128502197781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36.472025099757573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10.143639730031367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7.8677655525378967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72.430507456371714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56.179662003464955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525.84204935186608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407.86168200728787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15.895025733194521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12.328743848234502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33.735181237431256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26.166199107276817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3817.1428137840389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2960.710902467627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795.86379236536447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617.3000911641235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14.455510907474943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11.212205262520254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70.611788319212792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54.768999148916187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518.89679005879543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402.47469338448758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2.4422390673190355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1.8942869538265403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13.920471343561376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10.797209663086534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16.030614315818145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12.43391114597727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16.465484986344034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12.771212210726548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5.9749206414668166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4.6343596631201427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42.663831286489632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33.091575713335565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399.25570686437896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309.67683994352745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9.362666644078109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7.2620152196538577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28.560058598537843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22.152191047832588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2564.3423464589291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1988.9945734815028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45595.046580076254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81595.44571934751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3504.626918493298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6271.7689078848562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5770.0927433843399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10325.974520314447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28841.273045110807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51613.425267505962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589.01180931463728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1054.0768070185129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2477.4383936893764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4433.5449821350066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1523.6339909543344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2726.6469480786145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7693.4569911791195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13767.966027085929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229.6939710760744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411.05302779071883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3164.349432756891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5662.8191381295246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4570.2876388697541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8178.841451653544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858.37879294539891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1536.1273967207819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330.08431920107205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590.70840300332031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8007.1732147522125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14329.382606557581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407.66701624500939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750.18491781793512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11.02396776755554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20.286199334706314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44.527527903966288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81.93912808780415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130.92958922878597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240.93536936160018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2.4796646272023302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4.5630549699802776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4.2156568111174844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7.7576110707374477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11.777658200146577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21.673133211381927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12.556801134767571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23.106904537207772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2.7087601291119356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4.984634306605404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19.341861102213823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35.592706555120579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140.42099437717718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258.40136172175528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4.2446117077496384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7.8108935927096583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9.0086513634525787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16.577633493607014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1019.3307862159628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1875.7626975323744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212.52766919359556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391.09137039483642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3.8602033031776197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7.1035089481323102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18.856189882030051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34.698979052326656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138.56633057206236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254.98842724637026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0.65217614065369278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1.2001282541461873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3.717326202176515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6.8405878826513575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4.2808193172811873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7.8775224871220608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4.3969472915578383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8.0912200671753247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1.5955443252087163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2.9361053035553901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11.392960339655529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20.96521591280959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106.61734533737112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196.1962122582226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2.5002088779395759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4.6008603023638255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7.6266852999303616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14.034552850635615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684.78263131884842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1260.1304042962747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11120896.351842804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8838199.059990095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1611385.798888071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1280629.546615097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1770035.248157196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4052732.540009906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256473.00111192916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587229.25338490319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1256864.7532891978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960975.46611286432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89330.417808665297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68300.379708385968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414092.04671080224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709981.33388713561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29431.182191334694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50461.220291614023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19414612.749889471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14893959.058008583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1629461.2819243551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1250044.4861940236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6114588.0501105273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10635241.741991416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513195.1180756446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892611.91380597604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0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0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34890.096379456823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33887.086649220466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3518.4761188724765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34372.746311010153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34890.096379456823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3512.0788895654355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34890.096379456823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33964.625517473483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3518.4761188724765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34373.91913638312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34826.049508013064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3497.4140673832235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0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0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6789.2390041039225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6495.0308201217877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687.54888112752417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6637.8081503333005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6789.2390041039225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686.29879225274681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6789.2390041039225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6510.1444269112244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687.54888112752417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6638.037333293677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6776.7618816892491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683.43312491760958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310</v>
      </c>
      <c r="G1" t="s">
        <v>223</v>
      </c>
      <c r="I1" s="153" t="s">
        <v>189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14966504.274538353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13514709.044056162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9568.1668252168638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1514387.1819129025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529759.62082392198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1733862.7782143005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148483.55750423684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55619.352410468891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2918.824426874643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66661.570162252625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255419.79717931396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21983.639092994388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11894449.85598157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12328565.066010863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10872.477485866666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1566787.3226266655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517021.84354515088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2066021.4577387257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175480.5679595526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54669.921184812862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2900.6853742765697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66308.44487944337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253885.21862507635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21838.567357649685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2168603.2927545812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960544.56321466842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803.0527099116473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1268746.495883205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190647.37917607787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236427.81331287848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18225.041915061996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20314.647589531094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867.1755731253553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19015.429837747353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74606.202820686085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6661.3609070056164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1723471.4700257902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876240.55447965837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912.52302222277638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1327732.6575790939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190385.15645484926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286902.93656514311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21538.685899618729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21264.07881518716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885.31462572342923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19368.555120556652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76140.78137492371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6806.432642350318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6350412.4997561099</v>
      </c>
      <c r="G203" s="314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918861.60943487054</v>
      </c>
      <c r="G204" s="314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73265.306718627704</v>
      </c>
      <c r="G206" s="314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1042365.5001332033</v>
      </c>
      <c r="G207" s="314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5991945.9604161605</v>
      </c>
      <c r="G208" s="314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251878.62569823104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14698917.729434509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1812574.6986106629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513062.37197918555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253986.39662457604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46179.344840832011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5788120.7826627567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6174012.1525406614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918861.60943487042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73265.306718627704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1042365.5001332033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5991945.9604161596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251878.62569823102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14698917.729434509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1812574.6986106627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615674.84637502255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300165.74146540801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46179.344840832004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5788120.7826627549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779456.90372273244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112782.12636853076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8992.6676617292323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127941.13536914771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735458.31011123862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30915.871009673829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1804161.9976497933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222477.49455637607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62973.863177375562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31174.581227328003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5668.1056776960004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710440.57434076618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757805.32306376752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112782.12636853076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8992.6676617292323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127941.13536914771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735458.31011123862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30915.871009673829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1804161.9976497933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222477.49455637607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75568.635812850684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36842.686905024006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5668.1056776960004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710440.57434076618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 s="168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 s="168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2328677.081002241</v>
      </c>
      <c r="F281" s="168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 s="168">
        <v>1</v>
      </c>
      <c r="G285" s="168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25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640291.52551137318</v>
      </c>
      <c r="F287" s="168">
        <v>1</v>
      </c>
      <c r="G287" s="168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 s="168">
        <v>1</v>
      </c>
    </row>
    <row r="291" spans="1:7" x14ac:dyDescent="0.25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 s="168">
        <v>1</v>
      </c>
    </row>
    <row r="292" spans="1:7" x14ac:dyDescent="0.25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 s="168">
        <v>1</v>
      </c>
    </row>
    <row r="293" spans="1:7" x14ac:dyDescent="0.25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681614.98381741357</v>
      </c>
      <c r="F293" s="168">
        <v>1</v>
      </c>
    </row>
    <row r="294" spans="1:7" x14ac:dyDescent="0.25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25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25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25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 s="168">
        <v>1</v>
      </c>
      <c r="G297" s="168">
        <v>1</v>
      </c>
    </row>
    <row r="298" spans="1:7" x14ac:dyDescent="0.25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25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187416.40966897184</v>
      </c>
      <c r="F299" s="168">
        <v>1</v>
      </c>
      <c r="G299" s="168">
        <v>1</v>
      </c>
    </row>
    <row r="300" spans="1:7" x14ac:dyDescent="0.25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25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25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1024442.5834600214</v>
      </c>
      <c r="F302" s="168">
        <v>1</v>
      </c>
    </row>
    <row r="303" spans="1:7" x14ac:dyDescent="0.25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127055.81934946297</v>
      </c>
      <c r="F303" s="168">
        <v>1</v>
      </c>
    </row>
    <row r="304" spans="1:7" x14ac:dyDescent="0.25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140070.99404320476</v>
      </c>
      <c r="F304" s="168">
        <v>1</v>
      </c>
    </row>
    <row r="305" spans="1:7" x14ac:dyDescent="0.25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2203754.2205130709</v>
      </c>
      <c r="F305" s="168">
        <v>1</v>
      </c>
    </row>
    <row r="306" spans="1:7" x14ac:dyDescent="0.25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8">
        <v>1</v>
      </c>
    </row>
    <row r="307" spans="1:7" x14ac:dyDescent="0.25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</row>
    <row r="308" spans="1:7" x14ac:dyDescent="0.25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25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25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25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605942.81758342392</v>
      </c>
      <c r="F311" s="168">
        <v>1</v>
      </c>
      <c r="G311" s="168">
        <v>1</v>
      </c>
    </row>
    <row r="312" spans="1:7" x14ac:dyDescent="0.25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25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25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596998.51880286576</v>
      </c>
      <c r="F314" s="168">
        <v>1</v>
      </c>
    </row>
    <row r="315" spans="1:7" x14ac:dyDescent="0.25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37921.540145555431</v>
      </c>
      <c r="F315" s="168">
        <v>1</v>
      </c>
    </row>
    <row r="316" spans="1:7" x14ac:dyDescent="0.25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39662.610991368812</v>
      </c>
      <c r="F316" s="168">
        <v>1</v>
      </c>
    </row>
    <row r="317" spans="1:7" x14ac:dyDescent="0.25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645049.46160507516</v>
      </c>
      <c r="F317" s="168">
        <v>1</v>
      </c>
    </row>
    <row r="318" spans="1:7" x14ac:dyDescent="0.25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8">
        <v>1</v>
      </c>
    </row>
    <row r="319" spans="1:7" x14ac:dyDescent="0.25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</row>
    <row r="320" spans="1:7" x14ac:dyDescent="0.25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25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25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25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177362.37762242398</v>
      </c>
      <c r="F323" s="168">
        <v>1</v>
      </c>
      <c r="G323" s="168">
        <v>1</v>
      </c>
    </row>
    <row r="324" spans="1:7" x14ac:dyDescent="0.25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25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25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706203.68641798187</v>
      </c>
      <c r="F326" s="168">
        <v>1</v>
      </c>
    </row>
    <row r="327" spans="1:7" x14ac:dyDescent="0.25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117673.38022044121</v>
      </c>
      <c r="F327" s="168">
        <v>1</v>
      </c>
    </row>
    <row r="328" spans="1:7" x14ac:dyDescent="0.25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131051.12576863175</v>
      </c>
      <c r="F328" s="168">
        <v>1</v>
      </c>
    </row>
    <row r="329" spans="1:7" x14ac:dyDescent="0.25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2017363.2784560476</v>
      </c>
      <c r="F329" s="168">
        <v>1</v>
      </c>
    </row>
    <row r="330" spans="1:7" x14ac:dyDescent="0.25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8">
        <v>1</v>
      </c>
    </row>
    <row r="331" spans="1:7" x14ac:dyDescent="0.25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</row>
    <row r="332" spans="1:7" x14ac:dyDescent="0.25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25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25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25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556795.12476417224</v>
      </c>
      <c r="F335" s="168">
        <v>1</v>
      </c>
      <c r="G335" s="168">
        <v>1</v>
      </c>
    </row>
    <row r="336" spans="1:7" x14ac:dyDescent="0.25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25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25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519293.35100457189</v>
      </c>
      <c r="F338" s="168">
        <v>1</v>
      </c>
    </row>
    <row r="339" spans="1:7" x14ac:dyDescent="0.25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36092.805626385823</v>
      </c>
      <c r="F339" s="168">
        <v>1</v>
      </c>
    </row>
    <row r="340" spans="1:7" x14ac:dyDescent="0.25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37978.9277568201</v>
      </c>
      <c r="F340" s="168">
        <v>1</v>
      </c>
    </row>
    <row r="341" spans="1:7" x14ac:dyDescent="0.25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588164.99677775265</v>
      </c>
      <c r="F341" s="168">
        <v>1</v>
      </c>
    </row>
    <row r="342" spans="1:7" x14ac:dyDescent="0.25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8">
        <v>1</v>
      </c>
    </row>
    <row r="343" spans="1:7" x14ac:dyDescent="0.25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</row>
    <row r="344" spans="1:7" x14ac:dyDescent="0.25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25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25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25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162132.39302497063</v>
      </c>
      <c r="F347" s="168">
        <v>1</v>
      </c>
      <c r="G347" s="168">
        <v>1</v>
      </c>
    </row>
    <row r="348" spans="1:7" x14ac:dyDescent="0.25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25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1662944.9193931499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1501634.338228462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1063.129647246318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656390.90889541374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27991928.85213032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266669.76960219257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1321605.5395535075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1369840.5628900954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1208.0530539851848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782136.69471537473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24288497.234138582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255065.50061315967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240955.92141717565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106727.17369051868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89.228078879071901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89504.815039875422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4362351.7478657896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284133.01377900678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191496.83000286552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97360.061608850912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101.39144691364179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108613.25455680418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3943617.2270881846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261330.64114592987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1519317.3536669463</v>
      </c>
      <c r="G387" s="168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1795556.8725154817</v>
      </c>
      <c r="G388" s="16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186482.75215301919</v>
      </c>
      <c r="G390" s="168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220388.70708993179</v>
      </c>
      <c r="G391" s="168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 s="168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397049.43546707177</v>
      </c>
      <c r="G393" s="168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367729.31318887876</v>
      </c>
      <c r="G394" s="168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 s="168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118504.81295486072</v>
      </c>
      <c r="G396" s="168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112790.01758245569</v>
      </c>
      <c r="G397" s="168">
        <v>1</v>
      </c>
    </row>
    <row r="398" spans="1:7" x14ac:dyDescent="0.25">
      <c r="A398" t="s">
        <v>311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25">
      <c r="A399" s="168" t="s">
        <v>311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8">
        <v>1</v>
      </c>
    </row>
    <row r="400" spans="1:7" x14ac:dyDescent="0.25">
      <c r="A400" s="168" t="s">
        <v>311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8">
        <v>1</v>
      </c>
    </row>
    <row r="401" spans="1:7" x14ac:dyDescent="0.25">
      <c r="A401" s="168" t="s">
        <v>311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25">
      <c r="A402" s="168" t="s">
        <v>311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8">
        <v>1</v>
      </c>
    </row>
    <row r="403" spans="1:7" x14ac:dyDescent="0.25">
      <c r="A403" s="168" t="s">
        <v>311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8">
        <v>1</v>
      </c>
    </row>
    <row r="404" spans="1:7" x14ac:dyDescent="0.25">
      <c r="A404" s="168" t="s">
        <v>120</v>
      </c>
      <c r="B404" s="168" t="s">
        <v>23</v>
      </c>
      <c r="C404" s="168" t="s">
        <v>307</v>
      </c>
      <c r="D404" s="168">
        <f t="shared" ref="D404:D411" si="31">År1</f>
        <v>2019</v>
      </c>
      <c r="E404" s="168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8">
        <v>1</v>
      </c>
    </row>
    <row r="405" spans="1:7" x14ac:dyDescent="0.25">
      <c r="A405" s="168" t="s">
        <v>120</v>
      </c>
      <c r="B405" s="168" t="s">
        <v>23</v>
      </c>
      <c r="C405" s="168" t="s">
        <v>308</v>
      </c>
      <c r="D405" s="168">
        <f t="shared" si="31"/>
        <v>2019</v>
      </c>
      <c r="E405" s="168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8">
        <v>1</v>
      </c>
    </row>
    <row r="406" spans="1:7" x14ac:dyDescent="0.25">
      <c r="A406" s="168" t="s">
        <v>120</v>
      </c>
      <c r="B406" s="168" t="s">
        <v>23</v>
      </c>
      <c r="C406" s="168" t="s">
        <v>307</v>
      </c>
      <c r="D406" s="168">
        <f>År2</f>
        <v>2030</v>
      </c>
      <c r="E406" s="168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8">
        <v>1</v>
      </c>
    </row>
    <row r="407" spans="1:7" x14ac:dyDescent="0.25">
      <c r="A407" s="168" t="s">
        <v>120</v>
      </c>
      <c r="B407" s="168" t="s">
        <v>23</v>
      </c>
      <c r="C407" s="168" t="s">
        <v>308</v>
      </c>
      <c r="D407" s="168">
        <f>År2</f>
        <v>2030</v>
      </c>
      <c r="E407" s="168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8">
        <v>1</v>
      </c>
    </row>
    <row r="408" spans="1:7" x14ac:dyDescent="0.25">
      <c r="A408" s="168" t="s">
        <v>120</v>
      </c>
      <c r="B408" s="168" t="s">
        <v>23</v>
      </c>
      <c r="C408" s="168" t="s">
        <v>307</v>
      </c>
      <c r="D408" s="168">
        <f>År3</f>
        <v>2050</v>
      </c>
      <c r="E408" s="16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8">
        <v>1</v>
      </c>
    </row>
    <row r="409" spans="1:7" x14ac:dyDescent="0.25">
      <c r="A409" s="168" t="s">
        <v>120</v>
      </c>
      <c r="B409" s="168" t="s">
        <v>23</v>
      </c>
      <c r="C409" s="168" t="s">
        <v>308</v>
      </c>
      <c r="D409" s="168">
        <f>År3</f>
        <v>2050</v>
      </c>
      <c r="E409" s="168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8">
        <v>1</v>
      </c>
    </row>
    <row r="410" spans="1:7" x14ac:dyDescent="0.25">
      <c r="A410" s="168" t="s">
        <v>120</v>
      </c>
      <c r="B410" s="168" t="s">
        <v>24</v>
      </c>
      <c r="C410" s="168" t="s">
        <v>307</v>
      </c>
      <c r="D410" s="168">
        <f t="shared" si="31"/>
        <v>2019</v>
      </c>
      <c r="E410" s="168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25">
      <c r="A411" s="168" t="s">
        <v>120</v>
      </c>
      <c r="B411" s="168" t="s">
        <v>24</v>
      </c>
      <c r="C411" s="168" t="s">
        <v>308</v>
      </c>
      <c r="D411" s="168">
        <f t="shared" si="31"/>
        <v>2019</v>
      </c>
      <c r="E411" s="168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25">
      <c r="A412" s="168" t="s">
        <v>120</v>
      </c>
      <c r="B412" s="168" t="s">
        <v>24</v>
      </c>
      <c r="C412" s="168" t="s">
        <v>307</v>
      </c>
      <c r="D412" s="168">
        <f>År2</f>
        <v>2030</v>
      </c>
      <c r="E412" s="168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8">
        <v>1</v>
      </c>
    </row>
    <row r="413" spans="1:7" x14ac:dyDescent="0.25">
      <c r="A413" s="168" t="s">
        <v>120</v>
      </c>
      <c r="B413" s="168" t="s">
        <v>24</v>
      </c>
      <c r="C413" s="168" t="s">
        <v>308</v>
      </c>
      <c r="D413" s="168">
        <f>År2</f>
        <v>2030</v>
      </c>
      <c r="E413" s="168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8">
        <v>1</v>
      </c>
    </row>
    <row r="414" spans="1:7" x14ac:dyDescent="0.25">
      <c r="A414" s="168" t="s">
        <v>120</v>
      </c>
      <c r="B414" s="168" t="s">
        <v>24</v>
      </c>
      <c r="C414" s="168" t="s">
        <v>307</v>
      </c>
      <c r="D414" s="168">
        <f>År3</f>
        <v>2050</v>
      </c>
      <c r="E414" s="168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8">
        <v>1</v>
      </c>
    </row>
    <row r="415" spans="1:7" x14ac:dyDescent="0.25">
      <c r="A415" s="168" t="s">
        <v>120</v>
      </c>
      <c r="B415" s="168" t="s">
        <v>24</v>
      </c>
      <c r="C415" s="168" t="s">
        <v>308</v>
      </c>
      <c r="D415" s="168">
        <f>År3</f>
        <v>2050</v>
      </c>
      <c r="E415" s="168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8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826280.7981497423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>
        <f>E2-D2</f>
        <v>1162838.9310658472</v>
      </c>
      <c r="G2">
        <f>IF(F2&gt;=0,IF(H2&gt;=0,F2,F2+H2),IF(F2+H2&gt;0,0,F2+H2))</f>
        <v>1162838.9310658472</v>
      </c>
      <c r="H2">
        <f t="shared" ref="H2:H37" si="1">SUMIFS($F$2:$F$37,$C$2:$C$37,C2,$A$2:$A$37,A2,$B$2:$B$37,"&lt;&gt;"&amp;B2)</f>
        <v>732655.58820898295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8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2328677.081002241</v>
      </c>
      <c r="F5">
        <f t="shared" si="2"/>
        <v>2328677.081002241</v>
      </c>
      <c r="G5">
        <f t="shared" ca="1" si="3"/>
        <v>2328677.081002241</v>
      </c>
      <c r="H5">
        <f t="shared" ca="1" si="1"/>
        <v>681614.98381741357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117628.54342759639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850284.13163657929</v>
      </c>
      <c r="F8">
        <f t="shared" si="2"/>
        <v>732655.58820898295</v>
      </c>
      <c r="G8">
        <f t="shared" si="3"/>
        <v>732655.58820898295</v>
      </c>
      <c r="H8">
        <f t="shared" si="1"/>
        <v>1162838.9310658472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681614.98381741357</v>
      </c>
      <c r="F11">
        <f t="shared" ca="1" si="2"/>
        <v>681614.98381741357</v>
      </c>
      <c r="G11">
        <f t="shared" ca="1" si="3"/>
        <v>681614.98381741357</v>
      </c>
      <c r="H11">
        <f t="shared" si="1"/>
        <v>2328677.081002241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974480.96184533939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1998923.5453053608</v>
      </c>
      <c r="F14">
        <f>E14-D14</f>
        <v>1024442.5834600214</v>
      </c>
      <c r="G14">
        <f t="shared" si="3"/>
        <v>1024442.5834600214</v>
      </c>
      <c r="H14">
        <f t="shared" si="1"/>
        <v>596998.51880286576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127055.81934946297</v>
      </c>
      <c r="F15">
        <f t="shared" si="2"/>
        <v>127055.81934946297</v>
      </c>
      <c r="G15">
        <f t="shared" si="3"/>
        <v>127055.81934946297</v>
      </c>
      <c r="H15">
        <f t="shared" si="1"/>
        <v>37921.540145555431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140070.99404320476</v>
      </c>
      <c r="F16">
        <f t="shared" si="2"/>
        <v>140070.99404320476</v>
      </c>
      <c r="G16">
        <f t="shared" si="3"/>
        <v>140070.99404320476</v>
      </c>
      <c r="H16">
        <f t="shared" si="1"/>
        <v>39662.610991368812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2203754.2205130709</v>
      </c>
      <c r="F17">
        <f t="shared" ca="1" si="2"/>
        <v>2203754.2205130709</v>
      </c>
      <c r="G17">
        <f t="shared" ca="1" si="3"/>
        <v>2203754.2205130709</v>
      </c>
      <c r="H17">
        <f t="shared" ca="1" si="1"/>
        <v>645049.46160507516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133096.77395806185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730095.29276092758</v>
      </c>
      <c r="F20">
        <f t="shared" si="2"/>
        <v>596998.51880286576</v>
      </c>
      <c r="G20">
        <f t="shared" si="3"/>
        <v>596998.51880286576</v>
      </c>
      <c r="H20">
        <f t="shared" si="1"/>
        <v>1024442.5834600214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37921.540145555431</v>
      </c>
      <c r="F21">
        <f t="shared" si="2"/>
        <v>37921.540145555431</v>
      </c>
      <c r="G21">
        <f t="shared" si="3"/>
        <v>37921.540145555431</v>
      </c>
      <c r="H21">
        <f t="shared" si="1"/>
        <v>127055.81934946297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39662.610991368812</v>
      </c>
      <c r="F22">
        <f t="shared" si="2"/>
        <v>39662.610991368812</v>
      </c>
      <c r="G22">
        <f t="shared" si="3"/>
        <v>39662.610991368812</v>
      </c>
      <c r="H22">
        <f t="shared" si="1"/>
        <v>140070.99404320476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645049.46160507516</v>
      </c>
      <c r="F23">
        <f t="shared" ca="1" si="2"/>
        <v>645049.46160507516</v>
      </c>
      <c r="G23">
        <f t="shared" ca="1" si="3"/>
        <v>645049.46160507516</v>
      </c>
      <c r="H23">
        <f t="shared" ca="1" si="1"/>
        <v>2203754.2205130709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973531.53061968333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1679735.2170376652</v>
      </c>
      <c r="F26">
        <f t="shared" si="2"/>
        <v>706203.68641798187</v>
      </c>
      <c r="G26">
        <f t="shared" si="3"/>
        <v>706203.68641798187</v>
      </c>
      <c r="H26">
        <f t="shared" si="1"/>
        <v>519293.35100457189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117673.38022044121</v>
      </c>
      <c r="F27">
        <f t="shared" si="2"/>
        <v>117673.38022044121</v>
      </c>
      <c r="G27">
        <f t="shared" si="3"/>
        <v>117673.38022044121</v>
      </c>
      <c r="H27">
        <f t="shared" si="1"/>
        <v>36092.805626385823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131051.12576863175</v>
      </c>
      <c r="F28">
        <f t="shared" si="2"/>
        <v>131051.12576863175</v>
      </c>
      <c r="G28">
        <f t="shared" si="3"/>
        <v>131051.12576863175</v>
      </c>
      <c r="H28">
        <f t="shared" si="1"/>
        <v>37978.9277568201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2017363.2784560476</v>
      </c>
      <c r="F29">
        <f t="shared" ca="1" si="2"/>
        <v>2017363.2784560476</v>
      </c>
      <c r="G29">
        <f t="shared" ca="1" si="3"/>
        <v>2017363.2784560476</v>
      </c>
      <c r="H29">
        <f t="shared" ca="1" si="1"/>
        <v>588164.99677775265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134046.20518371792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653339.55618828977</v>
      </c>
      <c r="F32">
        <f t="shared" si="2"/>
        <v>519293.35100457189</v>
      </c>
      <c r="G32">
        <f t="shared" si="3"/>
        <v>519293.35100457189</v>
      </c>
      <c r="H32">
        <f t="shared" si="1"/>
        <v>706203.68641798187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36092.805626385823</v>
      </c>
      <c r="F33">
        <f t="shared" si="2"/>
        <v>36092.805626385823</v>
      </c>
      <c r="G33">
        <f t="shared" si="3"/>
        <v>36092.805626385823</v>
      </c>
      <c r="H33">
        <f t="shared" si="1"/>
        <v>117673.38022044121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37978.9277568201</v>
      </c>
      <c r="F34">
        <f t="shared" si="2"/>
        <v>37978.9277568201</v>
      </c>
      <c r="G34">
        <f t="shared" si="3"/>
        <v>37978.9277568201</v>
      </c>
      <c r="H34">
        <f t="shared" si="1"/>
        <v>131051.12576863175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588164.99677775265</v>
      </c>
      <c r="F35">
        <f t="shared" ca="1" si="2"/>
        <v>588164.99677775265</v>
      </c>
      <c r="G35">
        <f t="shared" ca="1" si="3"/>
        <v>588164.99677775265</v>
      </c>
      <c r="H35">
        <f t="shared" ca="1" si="1"/>
        <v>2017363.2784560476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 s="168">
        <f>SUMIF($F$3:$F$494,"Roer",I3:I494)</f>
        <v>1914743.5473328009</v>
      </c>
      <c r="O3" s="168">
        <f>SUMIF($F$3:$F$494,"Roer",J3:J494)</f>
        <v>1780122.6131143337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1333940.6781486941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1262380.8699654664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1141962.9650689506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1635027.9283649202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1547316.1681310283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1399718.4219896907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-977360.05314956617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-924929.16242480197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-836700.61384110001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-87225.240948642051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-84717.716623051165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-14953.523505208024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-146084.17182179313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-479738.8252175313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4911.6717980478597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2679.093708026106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-46535.045286742017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-9090.0865376987731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-93040.257011884853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-90572.334713262622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-9382.6029836599373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-91663.784363688319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5941.5007739795765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7858.1139268762145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-116086.83169337688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-4998.1830312426155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7173.7056177141931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3912.9303369350146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-15155.460958660635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-6034.753684896541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15415436.301845921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12251233.202954471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16629449.193931503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13216055.395535078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2131775.4007172203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1694202.9443163422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174244.46216912608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138478.69749244273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-9513593202.1109638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-7560814149.8497267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-730642.89031607215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-580669.67824134917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1245812.7569211656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990094.75394667848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836581.09719512158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1915464.3606615658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906787.7408958103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2076211.8654058294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27733.271678630404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63499.036355313758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-1514212053.7410364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-3466991106.0022745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-102219.53558107807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-234045.30418557208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218116.0281372325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499405.83140916855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437046.48649909603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334157.63309246115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12682382.780604158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9696714.5208889283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248539.19123289493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190028.45335371554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4747400.10073689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3629774.0172049911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54082.419285322278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41350.414151732912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-3290471924.1111197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-2515833770.2834787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-13762.669048516716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-10522.681353935865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3559086.4631604762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2721211.4620296429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43190.729995510424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74052.646838656787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2333960.6016804669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4001691.1080120304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19269.710305689267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33038.873204939184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891500.96529194585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1528522.582182531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17818.225576238969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30550.230709828331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-1084092978.2888803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-1858731132.1165211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-5466.0150165825899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-9371.7536073101892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980578.33080975898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1681250.1394776786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103603320.38192673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79479494.745572388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6594.2377492025807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5058.7826973760812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146152.36755146942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112121.08150624846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215907.72195879286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165634.04135786684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9118.6498370747231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6995.3904869145927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-358782043.61795741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-275240363.39199865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-8503.6003844515872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-6523.5540674077592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13853.890571961603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10628.039901238923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2284993.2847158988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3974340.669007347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4037.0587232606017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7021.7478424757701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15201.145725516795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26439.697690376426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27986.203451714147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48677.038699958604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2871.8979896849519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4995.1573398450828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-112997587.16604255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-196539267.39200136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-5044.5351413411854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-8774.0744371429173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4799.576397076029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8348.0121348709781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4285606.7491118712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3372556.4212094992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1871155.0736210926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1372630.4634322664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-91247189.497133553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-66936553.667868257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1296676.380053194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951207.90658450185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69092.247201533391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57489.690059291381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30166.629013691887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23398.303854131595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-996044.22344848304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-772567.10989558196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122526.42152221181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95035.823844782295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38536.383517444418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32065.026600765948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16825.517075876734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13050.465826511743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-366294.26281679177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-284110.77875232324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150003.70699436648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116348.17777973422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766767.7746849166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1431580.9766229435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334781.39640044334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582653.45748553809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-16325670.676962903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-28413193.110422503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346264.78977269679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602639.15240153298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12361.77552820934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24403.193412347722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5397.3218619201325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9932.0997188255242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-178209.21456678963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-327938.88064723322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32719.486714371262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60210.084391800752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6894.81297839538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13610.945633965923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3010.3705359495871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5539.6548730241311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-65536.259676202928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-120599.19399939684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40057.028003701846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73712.557218334099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162816.09321902954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128128.05579417119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-1473451.50986389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-1080885.5221793335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16750.891993702371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12288.016618378657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805.02241938327541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669.83621543139316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-5919.2933520188762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-4591.2131709982059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485.43348798448409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376.51937336706192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226.52266778065376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188.48305692139351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-1391.0596579411583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-1078.9550446938783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299.82236820497462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232.55282750821218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24782.716998391057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46270.158156432226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-224278.39323404719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-390334.0587683433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4473.1624512714243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7785.0907970115877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122.53483302843441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241.8941537418265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-900.99307183471899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-1657.998775016501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129.630281889363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238.54439650678518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34.479682311111766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68.065817431668563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-211.73728683108538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-389.63691638203477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80.064641334323284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147.33418203108562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18174.150504509253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13335.971339215646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-15550361.95957307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-11410667.10963146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3367.3114666515676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2470.8923368019668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2766.3409662674339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4815.9436995314682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-2366966.3854924319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-4120669.501777187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899.2077090595759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1565.437432992466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1410817.8899962925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1110242.5426808638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-4648105.459070378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-3409728.6966274139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70455.808011778267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51684.53954783528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26182.648640825355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21785.835839176038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-57507.876787065572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-44605.142140972821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7663.7365775147027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5944.2650028056951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24700.783821948735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20552.818350274709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-34876.987396626537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-27051.824327225804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15869.685870281022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12309.089354793987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214744.74551486681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400935.59309420187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-707501.81934321404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-1231335.9871542915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18814.536861127275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32744.8151868405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3985.3380504651723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7867.3953460129078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-8753.4432709604789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-16108.002019233347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2046.5261615836582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3765.9977362926656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3759.7790426913698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7422.1227328643745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-5308.7289549705556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-9769.0719045289734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4237.844944323092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7798.4414598101284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19188800.234868564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15100618.240538197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-55914954.332114883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-41017749.282081574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820216.23692346038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601689.19683612685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414283.06523451646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344713.13326478348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-843738.25778163946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-654433.21890457126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103790.80265075876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80503.815543473931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469082.06098905025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390309.81609229842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-661391.3987758226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-512998.54909349995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257953.31828524935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200077.71231848086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3996862.0278674946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7462274.5428144047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-11646604.009867936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-20269746.668353099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219030.75217179742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381201.06559298275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86291.598847098678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170346.93533474184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-175743.421303568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-323401.35162768117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27716.322293716887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51003.309401001708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97705.758284673779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192879.45420785126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-137762.13911079679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-253508.56186300842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68883.919612654019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126759.52557942244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181386.82237187482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142742.2832577503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72033.659146159582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52842.009906303028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99667.996569053386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73113.837676314724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3261.3849362552319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2713.7054697678709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1295.1849961899775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1004.5912678679018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10503.479831113762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8146.8702552942377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1221.8166438844787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1016.6388127645583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485.21674570294499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376.35126039165499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8637.0967907727263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6699.2375925172119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27609.42236853897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51547.711240981902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10964.455378353152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19082.535362872713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26615.367110823259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46321.378177235871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496.42500504724251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979.98506648570208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197.14392224089337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362.7823473844764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2804.8519210731411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5161.4614968926626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185.97630928644551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367.13300894965698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73.856269696016227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135.90959632345152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2306.452520081119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4244.3117183366321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1659971.3874878786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1306313.7823031622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-2572742.2082896726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-1887296.4509682944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43330.588651706181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31786.187484014154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1314.170726538375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1093.4840132397403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-1320.1453271044707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-1023.9513828735232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201.06057706398869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155.94969106740447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511.03597380709368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425.21847143894809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-314.30160690940903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-243.78343688883248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171.6157779381823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133.11126399102196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252669.13305797509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471741.68791097961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-391604.66755633074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-681548.66421026923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11571.011395761476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20138.185301912006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200.03379616508303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394.88368039714464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-200.94320771083724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-369.77375592247722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53.691267551108716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98.802153547692939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77.786290436418298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153.55673511602242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-47.840773121222675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-88.036130032951291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45.828320916129229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84.332834863289563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26147.725796699549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20576.941772354479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-402216.12910908542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-295055.24126897391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5647.3855678680993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4142.7744704248971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301.96451162494105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251.25606541044567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-3870.7954290945654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-3002.3257675238037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294.78027017189999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228.64199803546433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190.29438050825408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158.33853143513895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-2090.8529405562081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-1621.7394524006656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425.66322485065217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330.15944440012152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3980.0223415224182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7430.8342874726686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-61222.50142981411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-106551.62597902122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1508.0792759894255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2624.6607898919738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45.96290751855252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90.73467799261708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-589.18517071200904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-1084.2128778073431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78.718198195315637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144.8564703317513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28.965268022835765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57.179895896729782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-318.25488308057515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-585.64957132923439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113.66921564564379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209.17299609617442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1264207.0664942667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994867.21704627539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-5623535.269559185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-4125278.5148612522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89990.853731982759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66014.938582161747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18742.717389853435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15595.281051846454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-61123.666315842536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-47409.67631774515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7819.767922744958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6065.2884298783511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11811.433653413633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9827.9573670541031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-28504.352095871509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-22108.983115138275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10816.693576895661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8389.8099086366565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192428.68034025354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359270.75605774455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-855974.86317567073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-1489738.4350277905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24031.180430457298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41823.86033337604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2852.8842061619457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5631.8354031855442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-9303.8132426614848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-17120.787541576992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2088.1928116323693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3842.6723044989753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1797.853097875523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3549.1145082133817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-4338.7313701488229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-7984.0916891667639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2888.4925992758544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5315.3762675348589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4591512.3858514493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3613288.7328440296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-15396548.103734693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-11294505.333536083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218794.02938862826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160501.5822524718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92926.965564093218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77321.880020014738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-210984.95257040378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-163647.38753710964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25953.89905880241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20130.761581006973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34813.343230271021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28967.190868725906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-52115.308935917201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-40422.475888209796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21342.102034107647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16553.688781510176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1017678.4656917264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1900039.5946501151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-3412543.4354571542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-5939189.7305738507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58426.813162638675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101686.01082705765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20596.649598086027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40659.533304214157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-46763.42450420581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-86053.603481839949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6930.7357947010159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12753.873272496452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7716.1481330974902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15232.330894587903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-11551.014824741549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-21256.066254338693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5699.2003462302346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10487.613598827704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340417.67857357406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267891.54837980896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243214.4589734145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178415.77122095274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-12629980.866344865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-9265023.9064163174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164095.52204147118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120376.18668935384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3980.7866276121745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3312.2991172375218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2844.1086549329884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2205.9912120801896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-101978.4000812283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-79098.052042068623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11246.947628856258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8723.5301608291084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1803.5408807242409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1500.674973556178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1288.5559333457984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999.44953238841447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-31408.58228388612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-24361.606713574318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11184.6492365715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8675.2093255232794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49997.872827562329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93347.694014610461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35721.427983796624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62169.564213730562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-1854992.3136074047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-3228428.1526792161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43820.109871978995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76264.50812029322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584.66664949657695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1154.181557241157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417.72032355357106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768.68491712261039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-14977.785818246062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-27561.977239783882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3003.3877505586102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5526.8052185857605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264.88990810232355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522.91514642446987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189.25296699213578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348.26148751869698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-4613.0456834789939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-8488.8822471504864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2986.7515720645024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5496.1914831127242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875624.23620560404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689072.12286658317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194587.49876659788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142744.30397328344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-8574654.7635104824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-6290142.6545218909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129974.29492617439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95345.746161776449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22185.543090573279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18459.958211430199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4930.2305261449592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3824.0610798540411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-162940.93248863335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-126382.74720434184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19301.493276380046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14970.920493444535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18021.777266836172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14995.407319231052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4004.928617415469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3106.3642099971562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-100845.94470577815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-78219.679620542811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34415.10254826137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26693.570111192494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133281.34347028745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248840.70790431637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29618.736195014746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51548.440970522621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-1305173.4516017071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-2271523.5445294925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34708.36871927906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60406.436126401371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3376.9268442625075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6666.3400198324243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750.44490658493783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1380.9614909707611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-24801.719151235458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-45639.884763281611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5154.2756654290888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9484.8484483646007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2743.1477870630883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5415.2064040958185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609.60197829243032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1121.7836905208683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-15350.05820779999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-28247.029306384127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9190.2177229376721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16911.750160006541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575473.88401694945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452868.92997868726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-1181009.8366019484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-866357.95300270617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21104.585306848858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15481.772258578663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8919.4128799179471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7421.5892918005156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-13867.246392907253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-10755.926509855821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1478.4834275979235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1146.7640108721735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5620.906044050299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4676.9957471824373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-6741.4917905720522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-5228.9393446760168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2134.9326510644109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1655.9292340897287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87594.574501742754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163541.98839877616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-179764.98498491984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-312862.93432809354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5635.7738190744067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9808.4993270128725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1357.6500997198423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2680.1164520543325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-2110.7744087684114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-3884.2267421077286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394.81458991225668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726.53400663800664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855.57466101860246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1688.9769502686624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-1026.1423173197522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-1888.2972114804923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570.11295722789225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1049.1163742025744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107948.76357496881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84950.233903713612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-495436.48954183445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-363439.26157067041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8115.6393078262772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5953.4209116045158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7145.8365408019135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5945.8469594537019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-27330.158411649107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-21198.236985878419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2428.2149666663727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1883.4093656080161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6472.3330486209197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5385.4438956136191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-21217.936166854299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-16457.381345601872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5039.5594311374771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3908.860443345844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16431.199183767167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30677.596204730307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-75411.847000125417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-131246.75941502009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2167.2023814301447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3771.7984756260876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1087.688822438575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2147.1899927196114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-4160.0038917893262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-7655.1991044786164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648.43114125450097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1193.2367423128571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985.17287260740204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1944.8148124009122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-3229.6445450615793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-5943.1607931754597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1345.7652301017806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2476.4642178934132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1480539.9316947991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1165110.2739487558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-5007616.688002605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-3673456.7391265118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196868.87836265835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144417.86442604981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445847.4795127096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370976.98293323262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-1256654.8813918238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-974705.94878990401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267961.40541616635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207840.33848335783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349438.45841689536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290757.78372914245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-844216.07585670368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-654803.83149447222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481231.77148371394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373260.37351827807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395363.75928846002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738157.30828812276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-1337235.2318643592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-2327323.8587764376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52571.9152655777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91496.148010227422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119059.22413564897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235033.00698804748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-335577.43860817642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-617526.37121009617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71556.481741279858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131677.54867408838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93314.134662696481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184210.016682733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-225439.6752544074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-414851.91961663868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128508.25444812592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236479.65241356168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640291.52551137318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605942.81758342392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556795.12476417224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693649.15263732092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656438.05238204252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603194.71849451994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-469132.82551179174</v>
      </c>
      <c r="I425" s="338">
        <f t="shared" ref="I425:J425" ca="1" si="0">SUMIFS(I3:I424,$F$3:$F$424,$D$425)*I423/SUM(I423:I424)</f>
        <v>-443965.99796390499</v>
      </c>
      <c r="J425" s="339">
        <f t="shared" ca="1" si="0"/>
        <v>-411275.34580557019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3621169.9874786926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3312537.0730027938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140972.52665072092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128957.41498468805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18523.790001904727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16945.004328988009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1876758.5518994229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1716802.1114000401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1567563.5653193598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1366427.219240695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30032.056557826985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26178.599986808455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139801.34818634673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121863.23519802638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137942.05223200013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120242.50819412609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119719.7424554231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101763.93645151507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58065.045267075155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49356.333846216992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7664.3919400149325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6514.8711342542065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78778.30702901422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66962.979253347017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199840.35413478027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157500.32695448503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737.10785127392148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580.9373591184775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5714693924.0529613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5555952426.1626005</v>
      </c>
      <c r="N440" s="168"/>
      <c r="O440" s="168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174615647.67939603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174615647.679396</v>
      </c>
      <c r="M441" s="168"/>
      <c r="N441" s="168"/>
      <c r="O441" s="168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8"/>
      <c r="N442" s="168"/>
      <c r="O442" s="168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79370748.945180014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79370748.945180014</v>
      </c>
      <c r="M443" s="168"/>
      <c r="N443" s="168"/>
      <c r="O443" s="168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158741497.89036003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158741497.89036003</v>
      </c>
      <c r="M444" s="168"/>
      <c r="N444" s="168"/>
      <c r="O444" s="168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1587414978.9036005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1587414978.9036002</v>
      </c>
      <c r="M445" s="168"/>
      <c r="N445" s="168"/>
      <c r="O445" s="168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253986396.62457606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253986396.62457603</v>
      </c>
      <c r="M446" s="168"/>
      <c r="N446" s="168"/>
      <c r="O446" s="168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8"/>
      <c r="N447" s="168"/>
      <c r="O447" s="168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8"/>
      <c r="N448" s="168"/>
      <c r="O448" s="168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2444619067.5115442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2444619067.5115442</v>
      </c>
      <c r="M449" s="168"/>
      <c r="N449" s="168"/>
      <c r="O449" s="168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174615647.67939603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174615647.679396</v>
      </c>
      <c r="M450" s="168"/>
      <c r="N450" s="168"/>
      <c r="O450" s="168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158741497.89036003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190489797.46843201</v>
      </c>
      <c r="M451" s="168"/>
      <c r="N451" s="168"/>
      <c r="O451" s="168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698462590.71758413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825455789.02987206</v>
      </c>
      <c r="M452" s="168"/>
      <c r="N452" s="168"/>
      <c r="O452" s="168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126993198.31228803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126993198.31228802</v>
      </c>
      <c r="M453" s="168"/>
      <c r="N453" s="168"/>
      <c r="O453" s="168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4301894592.8287573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4301894592.8287563</v>
      </c>
      <c r="M454" s="168"/>
      <c r="N454" s="168"/>
      <c r="O454" s="168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8543101.6798546687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8932467.9971213043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8779989.3422809448</v>
      </c>
      <c r="L455" s="129"/>
      <c r="M455" s="123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271259.74236183573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278455.85032384098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276725.38470598479</v>
      </c>
      <c r="L456" s="124"/>
      <c r="M456" s="123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3864207.3728631018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3416405.4708154472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3398307.8000714728</v>
      </c>
      <c r="L457" s="124"/>
      <c r="M457" s="123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179598051.29446024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142733398.27177882</v>
      </c>
      <c r="L458" s="124"/>
      <c r="M458" s="123"/>
    </row>
    <row r="459" spans="1:15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-190487.6804801737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-151387.80052388372</v>
      </c>
      <c r="L459" s="124"/>
      <c r="M459" s="123"/>
    </row>
    <row r="460" spans="1:15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190557397.5211919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173832767.43075317</v>
      </c>
      <c r="L460" s="124"/>
      <c r="M460" s="123"/>
    </row>
    <row r="461" spans="1:15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-397688.62260410172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-362784.72912764928</v>
      </c>
      <c r="L461" s="124"/>
      <c r="M461" s="123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125342.98541034092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142429.45506485333</v>
      </c>
      <c r="L462" s="124"/>
      <c r="M462" s="123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104031766.69285803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123961287.46432354</v>
      </c>
      <c r="L463" s="124"/>
      <c r="M463" s="123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31487494.627501383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25541979.717931397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25388521.862507634</v>
      </c>
      <c r="L464" s="125"/>
      <c r="M464" s="123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313132.77855375624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1661963.1154303756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1650995.6922383159</v>
      </c>
      <c r="L465" s="124"/>
      <c r="M465" s="123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4"/>
      <c r="M466" s="123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54350688.298430279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53043856.038514756</v>
      </c>
      <c r="L467" s="124"/>
      <c r="M467" s="123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4"/>
      <c r="M468" s="123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4"/>
      <c r="M469" s="123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4"/>
      <c r="M470" s="123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2349374.1687773285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2776533.108555024</v>
      </c>
      <c r="L471" s="125"/>
      <c r="M471" s="123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4"/>
      <c r="M472" s="123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21049981.828589346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21778343.78451065</v>
      </c>
      <c r="L473" s="139"/>
      <c r="M473" s="123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9570947.4163383078</v>
      </c>
      <c r="I474" s="282">
        <f ca="1">SUMIFS('Forbrug af biomasse'!$E$1:$E$425,'Forbrug af biomasse'!$A$1:$A$425,"Biogas",'Forbrug af biomasse'!$B$1:$B$425,$A$1,'Forbrug af biomasse'!$D$1:$D$425,I$2)*'[1]Processer - data'!I474</f>
        <v>30455669.379195884</v>
      </c>
      <c r="J474" s="283">
        <f ca="1">SUMIFS('Forbrug af biomasse'!$E$1:$E$425,'Forbrug af biomasse'!$A$1:$A$425,"Biogas",'Forbrug af biomasse'!$B$1:$B$425,$A$1,'Forbrug af biomasse'!$D$1:$D$425,J$2)*'[1]Processer - data'!J474</f>
        <v>26908389.88104884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8813608.0727836937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7004509.3596335892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12013074.705827696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10958724.503120763</v>
      </c>
      <c r="M476" s="168"/>
      <c r="N476" s="168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7441.9075307242256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8456.3713778962938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9189472.7245357931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10949913.726015246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49011407.308287665</v>
      </c>
      <c r="I479" s="282">
        <f ca="1">I474*'[1]Processer - data'!I$479*Biogasanlæg!AB$3</f>
        <v>195943501.96491224</v>
      </c>
      <c r="J479" s="283">
        <f ca="1">J474*'[1]Processer - data'!J$479*Biogasanlæg!AC$3</f>
        <v>170019480.63897008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91199509.604784429</v>
      </c>
      <c r="I480" s="282">
        <f ca="1">-SUMIFS('Resultater - Vestdanmark'!I$3:I$504,'Resultater - Vestdanmark'!$F$3:$F$504,"Gødning",'Resultater - Vestdanmark'!$A$3:$A$504,"&lt;&gt;Gødning")-SUM(I475:I479)</f>
        <v>42667163.136350811</v>
      </c>
      <c r="J480" s="283">
        <f ca="1">-SUMIFS('Resultater - Vestdanmark'!J$3:J$504,'Resultater - Vestdanmark'!$F$3:$F$504,"Gødning",'Resultater - Vestdanmark'!$A$3:$A$504,"&lt;&gt;Gødning")-SUM(J475:J479)</f>
        <v>40810480.09810555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12.018877995102612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10.588440148205276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7.2991845387990342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2.8290779018212735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4.4469536772312033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4.1185683077154422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3.146524797754445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2.5773062903949673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2.411340714142824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33.750841721162331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31.9402636353806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29.238793674196714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12.632071606880629</v>
      </c>
      <c r="I489" s="282">
        <f ca="1">SUM(I455:I473)*'[1]Processer - data'!$H$489</f>
        <v>23.628158794812062</v>
      </c>
      <c r="J489" s="283">
        <f ca="1">SUM(J455:J473)*'[1]Processer - data'!$H$489</f>
        <v>22.413705829562261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253986.39662457604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300165.74146540801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522913.16952118598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617988.29125231062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742417.78752118419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877402.83979776292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198524.71773353589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183864.65659443938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127055.81934946297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117673.38022044121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2233316.4654569654</v>
      </c>
      <c r="N3" s="168">
        <f>SUMIF($F$3:$F$494,"Roer",I3:I494)</f>
        <v>580195.01499224489</v>
      </c>
      <c r="O3" s="168">
        <f>SUMIF($F$3:$F$494,"Roer",J3:J494)</f>
        <v>554811.33276094752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390450.85347702471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369504.95338004996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334258.05334097723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478580.5400093607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452906.88584744919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409704.31552614254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-286077.98919230519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-270731.21525595867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-244906.29465802372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-16973.097510259806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-16237.57705030447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-2922.0827447919778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-28210.684638916526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-93352.036306428941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959.79461992074334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523.52433813858738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-9093.4589973488946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-1776.302756418874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-18104.637344277126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-17360.385138429931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-1833.4636830067311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-17701.432888783136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1156.1499663023124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1529.1015683353164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-22589.206272297499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-972.59082561280889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1401.8208748218576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764.62956808464969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-2961.5435413096411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-1179.257156720581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2233652.2483947058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1775168.3477236584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2409559.214171757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1914968.3000286557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308888.10563956347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245485.11905277579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25247.519893276702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20065.163771701118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-1378492209.374778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-1095540158.2428169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-105868.04698694625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-84137.361212611868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180514.67445281148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143461.87353853759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121218.18754430156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277545.25996771868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131390.92767852088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300837.10966728692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4018.4710589667998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9200.8271805423847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-219404958.26122203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-502357009.39318317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-14811.315814213909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-33912.489382978158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31604.383237684498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72362.464243385781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31062.646270095694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23749.922893442628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901387.79819861206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689184.38300978369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17664.676916557371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13506.084158377178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337416.76134516113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257982.59411715029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3843.8543989860959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2938.939741184478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-233867033.82308576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-178810394.07655448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-978.16807500488494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-747.88915780682635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252958.54620734608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193407.41015505584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3069.7383675238107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5263.2185480760618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165883.93870657514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284416.23307872564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1369.5755793567771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2348.2051983723964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63362.548355299165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108638.22900515971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1266.4127394526668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2171.3273972542843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-77050834.976914227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-132107474.72344552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-388.49160492561793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-666.08810784930506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69693.633906212461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119493.18891104321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8695388.4383872189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6670684.6571306316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553.45194027579987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424.58176453146632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12266.514261946981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9410.2809855404812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18121.055409788936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13901.60395359098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765.32491501916149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587.12054148152833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-30112444.489962082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-23100822.104865558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-713.70404148286752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-547.51948495298234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1162.7519220622521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892.0074659699078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191778.64296690174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333564.94537145377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338.82884851491929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589.33270460495191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1275.8265498115868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2219.0740679336213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2348.8717256482782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4085.4458907900466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241.03733822116342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419.24171175879667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-9483845.7820379119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-16495468.167134438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-423.38597241240677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-736.40482888993029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402.82667542353676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700.64557712511566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1283079.9979225588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1038245.0886556166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560210.44125713955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422565.75108283595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-27318755.677870814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-20606489.385957785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388215.63069678948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292830.36781563214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13766.479482057828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11454.695290523629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6010.635001471237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4662.0609832431173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-198459.63795806962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-153932.31075358926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24413.122111594348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18935.680514247655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8372.9709808693915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6966.9105588874118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3655.7547272349989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2835.5325974671773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-79586.37923653645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-61730.009116412351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32591.970783094308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25279.484666374094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229564.78565227453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440713.72939656832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100231.15478036109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179370.48786440335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-4887788.993384175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-8747031.781114053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103669.20059435659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185523.10534454609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2463.0567981746244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4862.2830348513835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1075.4046029716726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1978.9491951845137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-35507.797114940324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-65341.106341942155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6519.2863274949204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11996.727924841616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1498.0665988154615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2957.3105313268188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654.0765593055753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1203.6253862500153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-14239.353835970902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-26203.121816454041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8703.3681534501793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16015.854270170388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48745.973389304621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39444.358531912454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-441140.83976719069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-332751.75998365995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5015.0972132323377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3782.8790122286073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246.2572003219785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204.90359909823832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-1810.7180292809517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-1404.4569124392517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148.4946118459311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115.17767023605539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75.562738153263666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62.873601198574264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-464.02542279061674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-359.91452122704266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100.01382785718187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77.574260377419506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7419.7681533427349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14244.317502034815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-67147.346261868646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-120164.75600011046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1339.2328332211109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2396.6484990150516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37.483533622107537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73.99567470475094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-275.614723313539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-507.18355991330782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39.654038852084433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72.970980461960139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11.501626886211204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22.705187035662661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-70.630676032794923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-129.97388992403208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26.707717985816231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49.14728546557857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5442.30975808125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4105.7388578088485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-4656607.5599122047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-3512996.403026965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1008.3526076726282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760.71239376753272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828.38999441331521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1482.6821894886434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-708795.94914874434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-1268628.4683204396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269.27073638696925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481.95044325010701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422388.78211135144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341789.3500330341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-1391609.5180697066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-1049688.6132603029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21093.964819828321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15911.140583890498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862.49384886408461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717.65655420947257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-1894.3916129531117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-1469.3571017987156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252.45443072228309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195.81258073882734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887.29538048111397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738.29320192914759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-1252.8424209205239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-971.74886967778798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570.06688791286501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442.16403014438032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64293.040346316455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123428.44964117611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-211820.98266044166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-379068.095972543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5632.9377215237619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10080.526253873792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131.28272854758211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259.16324148877851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-288.35092588043591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-530.62059723844141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67.415495281599192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124.05734526505489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135.0578427088378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266.61563704640599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-190.69883417165522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-350.92215838001459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152.23080649577807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280.13366426426285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5744989.4978333777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4648741.4192108754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-16740537.265384341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-12627357.832179975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245566.87283216018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185230.66051129691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31296.362566181186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26040.811477225117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-63738.879627011593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-49438.128209745744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7840.712940931654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6081.5341263908849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38642.086211054309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32152.978800038614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-54484.162956173517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-42259.842805371198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21249.702754757054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16482.020634128956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1196631.8942996208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2297269.1711109602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-3486909.9111538967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-6240063.1148414714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65576.240073778681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117353.15431736005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6518.7631128622297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12868.591303040606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-13276.260347798898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-24430.846453266258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2093.7859746071617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3852.9647891479303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8048.8141605588517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15889.04184936391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-11348.582473851908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-20883.552191477727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5674.5260192110527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10442.208139839155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54305.916827369947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43943.36403205336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21566.362160215107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16267.469067347753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29839.885065812032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22508.172851552805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204.98615936552446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170.56314196865449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81.405600144115468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63.141061161836554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660.16984582796306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512.05106944521185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83.742046771962208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69.67937082445836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33.25625298736486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25.79472542639936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591.97766460876619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459.1588030962414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8266.0635165859203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15869.017843797499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3282.6794915316927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5874.5788491492212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7968.4504847161379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14260.085640028236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31.20154694603082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61.594500171184741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12.390986115492918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22.801773335391893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176.29192325575917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324.41069963851027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12.746623536923218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25.162916024165934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5.0620321979107183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9.3151029076610552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158.08186586808768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290.90072738061241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496983.55661093729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402150.09011858143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-770260.60964452301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-581006.22386393789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12972.86821959014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9785.411693877275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4610.0067304410104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3835.855234687157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-4630.9651556023655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-3591.9402794226535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705.30456566540738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547.05915366464183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1954.8628811110329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1626.5856980404087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-1202.2960736863608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-932.54333594829518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656.48081798442161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509.18972904253195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75647.330634409213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145226.18139388587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-117243.63560393601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-209815.48265464936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3464.2780233422636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6199.561807967767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701.70269966804813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1385.2206472193061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-704.8928432787726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-1297.1370227012083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188.34471030145295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346.59012230221839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297.55543567834349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587.3996685333633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-183.00502581377071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-336.76408632446805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175.30680432372691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322.59789326561651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7828.442021158744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6334.6334550091533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-120420.63126969218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-90833.07048714922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1690.7868329705532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1275.3575359857075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110.78412648256787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92.1803147666445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-1420.1095622043913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-1101.4871773553054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108.14838657547718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83.883711676189435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76.131196030076751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63.34659879922291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-836.48888980535435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-648.81035283682002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170.29536199306742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132.08710270725322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1191.590212692895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2287.5902549957691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-18329.578891870737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-32802.031617699358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451.50814518960777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808.00462146606048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16.862778121312573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33.288554303938625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-216.15905830313247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-397.77381766711125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28.879972611421916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53.144647510709632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11.588153533596195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22.875997976747907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-127.32443715165556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-234.30120322372014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45.475716706874671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83.683975992688872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378494.55052946688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306270.93307229009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-1683646.224301548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-1269971.3874186873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26942.617738645808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20322.769199588729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2776.2252607763394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2310.0179288026543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-9053.8134320464651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-7022.4577504331191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1158.2865381241731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898.40798442804737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1907.8306275680388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1587.4515000877802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-4604.1384596670059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-3571.1325457307967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1747.156179390287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1355.1560947510225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57611.770100553411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110601.88515416162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-256272.74968539871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-458617.56494926487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7194.7634820151552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12875.519978453971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422.57742217808573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834.20367418667422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-1378.1076035327349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-2535.9803420523413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309.30913124495891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569.18768494108451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290.39651786925077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573.2673575623603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-700.80947289306073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-1289.6228438366998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466.56102977045646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858.56111440972086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1374665.9568614317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1112354.7873587827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-4609616.3426680285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-3477025.5043303454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65505.366966207657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49410.583154994994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2692.377234343664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2240.2503753224892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-6112.8767052857111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-4741.3632629684844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751.9635075157737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583.24947835858154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1099.9044081026532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915.19911535409619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-1646.5484986344034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-1277.1212210726549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674.2895087731813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523.00277915597178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304685.65131790796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584929.21422771015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-1021691.088428587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-1828385.8883970112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17492.569827335603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31304.146807516452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596.74767324015261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1178.0305228174104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-1354.8788424414208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-2493.2349995647182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200.8045259804976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369.51855513768976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243.78656450861399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481.2553561953618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-364.94662519930057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-671.57126557555193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180.06244163381953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331.34917125102902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101918.61733639012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82470.698680835383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72816.668860019752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54925.485321436361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-3781325.9060948668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-2852247.4840209866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49129.025224655736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37057.937366246246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943.80127582864179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785.31014726856665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674.30727346749688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523.01655808086537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-24177.971116567915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-18753.289089911425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2666.5291346347949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2068.2542586962968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466.28635640168807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387.98358997092225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333.14246302990006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258.39707092063418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-8120.3556567094711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-6298.4349021253611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2891.6723739899817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2242.8833139594867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14969.005398597392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28737.187090035106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10694.73995782252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19138.966601963377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-555371.42655074282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-993875.04758026567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13119.427370501702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23478.110105637337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138.61811278750261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273.64391216203074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99.036952037265152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182.24684549991247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-3551.0703503413115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-6534.6454650023807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712.07061717990928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1310.3454931184071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68.484474855380711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135.1941621836751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48.929346354231413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90.039312014327635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-1192.6540100384009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-2194.7104250596612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772.19292498416621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1420.9819850146612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262155.63138275727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212131.58742030966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58258.104891435265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43943.986111483864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-2567190.2860503201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-1936427.1200712633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38913.373957706681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29352.289573014154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9665.6028720627073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8042.4727210023275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2147.9596031925025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1666.0333986633693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-70988.676662501923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-55061.327070983862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8409.1053388072487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6522.3993628690914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8561.9277315897525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7124.1360866928435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1902.6929966328844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1475.7959484348744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-47910.684823725474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-37161.220793223292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16350.197681984411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12681.791302056046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39903.480630464204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76605.877136545751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8867.6376999462063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15869.242491814337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-390759.59312336391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-699290.94411637785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10391.437262286585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18596.185741181271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1471.2298757526576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2904.3325637233174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326.94725636417917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601.64519294578474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-10805.395517323783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-19883.984784489065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2245.5696248582117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4132.2756007963671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1303.2362325953729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2572.6988629934376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289.61450393567219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532.94582140853777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-7292.6264210761838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-13419.820918462425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4366.1609405286717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8034.5673204570348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172292.76346038337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139416.18275031634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-353585.89516123454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-266709.21917451825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6318.5618412794847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4766.080089889052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1022.3680551590716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850.6833255281806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-1589.502573319452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-1232.8743848234503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169.46790633063648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131.44529884489282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702.57450497162131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584.59222518213551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-842.63999796702979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-653.58136976884714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266.85186315416507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206.97973828260209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26225.188882067829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50346.575427523618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-53820.350317676508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-96315.187774393024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1687.310358461739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3019.5569714741446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155.61765227420031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307.2024450012708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-241.94286734172937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-445.22093478445049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45.254752736677162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83.277360222420839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106.94093429433389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211.1104749739641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-128.26071543830022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-236.02413351126424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71.260189293907573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131.13231416547052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32319.087459953542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26152.020045092577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-148330.14020799572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-111885.16401900478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2429.7643427932153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1832.7669726445383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1058.4618815568674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880.715969952244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-4048.2217484917505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-3139.9438928732179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359.67419178522204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278.97601764055634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1045.4374620655021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869.87872163440136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-3427.207031824541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-2658.2629257399103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814.01006129300094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631.37497881547199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4919.3834732834894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9444.1306870408862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-22577.767433353325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-40404.454765427101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648.84488704882017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1161.1521806099584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161.11159987680185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318.04796356271402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-616.19175326015625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-1133.9101309627197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96.047487500362578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176.74566164502824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159.12911463261526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314.13436953727557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-521.66527451523666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-959.9634149834759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217.37345345560939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400.00853593313821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443263.06254695507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358680.43958051025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-1499244.6077724874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-1130877.5722184009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58941.133619626547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44459.193480506859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67714.036990838169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56342.920616139432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-190857.14068920194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-148035.54512338134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40697.210037608893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31566.194752591895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53071.711261269083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44159.458620978978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-128217.11732294646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-99449.728674075144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73088.10181237293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56689.715431956909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118369.0807728962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227242.5140660934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-400358.66073761065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-716469.1303278791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15739.655287718871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28167.186679254366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18082.373631523482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35696.13928658059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-50966.539310798144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-93788.134876618715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10867.793302003258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19998.808587020252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14172.283250819091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27977.289223145464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-34239.131565942422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-63006.520214813732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19517.465266012299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35915.851646428317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187416.40966897184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177362.37762242398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162132.39302497063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203034.44380805286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192142.57575762598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175643.42577705151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-137317.43481230648</v>
      </c>
      <c r="I425" s="338">
        <f t="shared" ref="I425:J425" ca="1" si="0">SUMIFS(I3:I424,$F$3:$F$424,$D$425)*I423/SUM(I423:I424)</f>
        <v>-129950.98332286018</v>
      </c>
      <c r="J425" s="339">
        <f t="shared" ca="1" si="0"/>
        <v>-119440.53379045248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257371.07122395348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235435.29243193395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10019.482742511507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9165.5205780577508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1316.5600323660121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1204.3494039567884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133388.75573399532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122020.01011231828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227135.43837600856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197991.36208420046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4351.5583562350803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3793.203615869008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20256.812041554222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17657.631218918526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19987.40542162221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17422.792551662482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8508.9621500651465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7232.7710179462747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4126.9155970939955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3507.9525561108962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544.73906795392759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463.03801492524781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5599.0901668175829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4759.3274445481156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16772.527158983896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13218.944305969808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61.865189881788851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48.757858119644077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701428077.61488008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681943964.34780002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21432524.593788002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21432524.593788002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9742056.6335400008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9742056.6335400008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19484113.267080002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19484113.267080002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194841132.67080003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194841132.67080003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31174581.227328002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31174581.227328002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300055344.31303203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300055344.31303203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21432524.593788002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21432524.593788002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19484113.267080002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23380935.920496006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85730098.375152007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101317388.98881602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15587290.613664001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15587290.613664001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528019469.53786814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528019469.53786814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3651898.7201453252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3262532.4028786938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3415011.0577190579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89924.65763816431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82728.549676158902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84459.01529401516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526738.87713689636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974540.77918455191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992638.4499285284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26023239.513054974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20681657.640309483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-27601.115366749811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-21935.655559694449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13543678.341326825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12354991.818163183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-28265.325065411194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-25784.565397960156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10519.990499842579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11954.05159111837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14185668.798772709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17214176.193908587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1515105.3724986184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7460620.2820686083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7614078.1374923708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1852429.2214462431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503598.88456962456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514566.307761684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19559467.866569709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19532565.126485262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288364.87635278399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340794.85387147206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17635576.292776551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18455483.940349407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2463073.3914116896</v>
      </c>
      <c r="I474" s="282">
        <f ca="1">SUMIFS('Forbrug af biomasse'!$E$1:$E$425,'Forbrug af biomasse'!$A$1:$A$425,"Biogas",'Forbrug af biomasse'!$B$1:$B$425,$A$1,'Forbrug af biomasse'!$D$1:$D$425,I$2)*'[1]Processer - data'!I474</f>
        <v>4746308.9539342923</v>
      </c>
      <c r="J474" s="283">
        <f ca="1">SUMIFS('Forbrug af biomasse'!$E$1:$E$425,'Forbrug af biomasse'!$A$1:$A$425,"Biogas",'Forbrug af biomasse'!$B$1:$B$425,$A$1,'Forbrug af biomasse'!$D$1:$D$425,J$2)*'[1]Processer - data'!J474</f>
        <v>4368997.7549931835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1277066.3835110308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1014933.1990151872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853817.38952414948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778880.4928708073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624.59655215350335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709.74012839549255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1253067.4105582559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1520585.5637952585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12613034.84027173</v>
      </c>
      <c r="I479" s="282">
        <f ca="1">I474*'[1]Processer - data'!I$479*Biogasanlæg!AB$3</f>
        <v>30536462.235060528</v>
      </c>
      <c r="J479" s="283">
        <f ca="1">J474*'[1]Processer - data'!J$479*Biogasanlæg!AC$3</f>
        <v>27605320.589617293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59971256.963903613</v>
      </c>
      <c r="I480" s="282">
        <f ca="1">-SUMIFS('Resultater - Østdanmark'!I$3:I$504,'Resultater - Østdanmark'!$F$3:$F$504,"Gødning",'Resultater - Østdanmark'!$A$3:$A$504,"&lt;&gt;Gødning")-SUM(I475:I479)</f>
        <v>45461282.204641081</v>
      </c>
      <c r="J480" s="283">
        <f ca="1">-SUMIFS('Resultater - Østdanmark'!J$3:J$504,'Resultater - Østdanmark'!$F$3:$F$504,"Gødning",'Resultater - Østdanmark'!$A$3:$A$504,"&lt;&gt;Gødning")-SUM(J475:J479)</f>
        <v>41812902.583348781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7.5725862730126234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6.1704610750964868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5.3673155091833813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1.1214882290282282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1.3272539050944401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1.2632481969235037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0.71503055390133141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0.72979204224118599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0.69881227072548968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9.8790337317585379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9.3490688161811804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8.5246099058226523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3.9778561239632375</v>
      </c>
      <c r="I489" s="282">
        <f ca="1">SUM(I455:I473)*'[1]Processer - data'!$H$489</f>
        <v>4.7241690861483496</v>
      </c>
      <c r="J489" s="283">
        <f ca="1">SUM(J455:J473)*'[1]Processer - data'!$H$489</f>
        <v>4.6527552232205123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31174.581227328003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36842.686905024006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64182.961350381185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75852.590686814132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91125.209575309986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107693.42949809364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59252.406477430362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56395.008791227847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37921.540145555431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36092.805626385823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13910380.018766832</v>
      </c>
      <c r="N3" s="98">
        <f ca="1">SUMIF($F$3:$F$509,$L$3,I$3:I$509)</f>
        <v>12065141.130497199</v>
      </c>
      <c r="O3" s="98">
        <f ca="1">SUMIF($F$3:$F$509,$L$3,J$3:J$509)</f>
        <v>10838228.676525909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1676047.8427488941</v>
      </c>
      <c r="O4" s="98">
        <f t="shared" si="0"/>
        <v>1705324.9231377705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4862316.9740837933</v>
      </c>
      <c r="O5" s="98">
        <f t="shared" si="0"/>
        <v>4715362.2005734202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20219.045566523422</v>
      </c>
      <c r="O6" s="98">
        <f t="shared" si="0"/>
        <v>20568.705079204923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5792.400747147125</v>
      </c>
      <c r="N7" s="98">
        <f>SUMIFS(I$3:I$509,$F$3:$F$509,$L$3,$C$3:$C$509,$L7)+SUMIFS(I$3:I$509,$F$3:$F$509,$L$3,$C$3:$C$509,"",$A$3:$A$509,"Grøntsager I drivhus")</f>
        <v>5544.1425197707413</v>
      </c>
      <c r="O7" s="98">
        <f>SUMIFS(J$3:J$509,$F$3:$F$509,$L$3,$C$3:$C$509,$L7)+SUMIFS(J$3:J$509,$F$3:$F$509,$L$3,$C$3:$C$509,"",$A$3:$A$509,"Grøntsager I drivhus")</f>
        <v>5278.9926068120731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1473136.3400311922</v>
      </c>
      <c r="N8" s="98">
        <f>SUMIFS(I$3:I$509,$F$3:$F$509,$L$3,$C$3:$C$509,$L8)+SUMIFS(I$3:I$509,$F$3:$F$509,$L$3,$C$3:$C$509,"",$A$3:$A$509,"Grøntsager I drivhus")</f>
        <v>854456.766898831</v>
      </c>
      <c r="O8" s="98">
        <f>SUMIFS(J$3:J$509,$F$3:$F$509,$L$3,$C$3:$C$509,$L8)</f>
        <v>848912.62437906023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2862788.0827837912</v>
      </c>
      <c r="N9" s="98">
        <f>SUMIFS(I$3:I$509,$F$3:$F$509,$L$3,$C$3:$C$509,$L9)+SUMIFS(I$3:I$509,$F$3:$F$509,$L$3,$C$3:$C$509,"",$A$3:$A$509,"Grøntsager I drivhus")</f>
        <v>1464273.0258366917</v>
      </c>
      <c r="O9" s="98">
        <f>SUMIFS(J$3:J$509,$F$3:$F$509,$L$3,$C$3:$C$509,$L9)</f>
        <v>1458728.8833169211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5">
        <f>'Resultater - Vestdanmark'!H11+'Resultater - Østdanmark'!H11</f>
        <v>1724391.5316257188</v>
      </c>
      <c r="I11" s="276">
        <f>'Resultater - Vestdanmark'!I11+'Resultater - Østdanmark'!I11</f>
        <v>1631885.8233455163</v>
      </c>
      <c r="J11" s="277">
        <f>'Resultater - Vestdanmark'!J11+'Resultater - Østdanmark'!J11</f>
        <v>1476221.0184099278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5">
        <f>'Resultater - Vestdanmark'!H12+'Resultater - Østdanmark'!H12</f>
        <v>2113608.4683742807</v>
      </c>
      <c r="I12" s="276">
        <f>'Resultater - Vestdanmark'!I12+'Resultater - Østdanmark'!I12</f>
        <v>2000223.0539784776</v>
      </c>
      <c r="J12" s="277">
        <f>'Resultater - Vestdanmark'!J12+'Resultater - Østdanmark'!J12</f>
        <v>1809422.7375158332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-562410</v>
      </c>
      <c r="I13" s="276">
        <f>'Resultater - Vestdanmark'!I13+'Resultater - Østdanmark'!I13</f>
        <v>-532239.27923287847</v>
      </c>
      <c r="J13" s="277">
        <f>'Resultater - Vestdanmark'!J13+'Resultater - Østdanmark'!J13</f>
        <v>-481469.23000787059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-1263438.0423418714</v>
      </c>
      <c r="I14" s="276">
        <f>'Resultater - Vestdanmark'!I14+'Resultater - Østdanmark'!I14</f>
        <v>-1195660.3776807606</v>
      </c>
      <c r="J14" s="277">
        <f>'Resultater - Vestdanmark'!J14+'Resultater - Østdanmark'!J14</f>
        <v>-1081606.9084991238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0</v>
      </c>
      <c r="J17" s="277">
        <f ca="1">'Resultater - Vestdanmark'!J17+'Resultater - Østdanmark'!J17</f>
        <v>0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0</v>
      </c>
      <c r="J21" s="277">
        <f ca="1">'Resultater - Vestdanmark'!J21+'Resultater - Østdanmark'!J21</f>
        <v>0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0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0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0</v>
      </c>
      <c r="J33" s="277">
        <f ca="1">'Resultater - Vestdanmark'!J33+'Resultater - Østdanmark'!J33</f>
        <v>0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5">
        <f ca="1">'Resultater - Vestdanmark'!H35+'Resultater - Østdanmark'!H35</f>
        <v>0</v>
      </c>
      <c r="I35" s="276">
        <f ca="1">'Resultater - Vestdanmark'!I35+'Resultater - Østdanmark'!I35</f>
        <v>0</v>
      </c>
      <c r="J35" s="277">
        <f ca="1"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5">
        <f ca="1">'Resultater - Vestdanmark'!H36+'Resultater - Østdanmark'!H36</f>
        <v>0</v>
      </c>
      <c r="I36" s="276">
        <f ca="1">'Resultater - Vestdanmark'!I36+'Resultater - Østdanmark'!I36</f>
        <v>0</v>
      </c>
      <c r="J36" s="277">
        <f ca="1"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0</v>
      </c>
      <c r="J37" s="277">
        <f ca="1">'Resultater - Vestdanmark'!J37+'Resultater - Østdanmark'!J37</f>
        <v>0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0</v>
      </c>
      <c r="J38" s="277">
        <f ca="1"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0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0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-104198.33845890185</v>
      </c>
      <c r="J49" s="277">
        <f ca="1">'Resultater - Vestdanmark'!J49+'Resultater - Østdanmark'!J49</f>
        <v>-100955.29367335563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-17875.606250000001</v>
      </c>
      <c r="J53" s="277">
        <f ca="1">'Resultater - Vestdanmark'!J53+'Resultater - Østdanmark'!J53</f>
        <v>-174294.85646070965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-573090.86152396025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5871.4664179686033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3202.6180461646936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-55628.504284090915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-10866.389294117647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0</v>
      </c>
      <c r="J65" s="277">
        <f ca="1">'Resultater - Vestdanmark'!J65+'Resultater - Østdanmark'!J65</f>
        <v>0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5">
        <f ca="1">'Resultater - Vestdanmark'!H67+'Resultater - Østdanmark'!H67</f>
        <v>0</v>
      </c>
      <c r="I67" s="276">
        <f ca="1">'Resultater - Vestdanmark'!I67+'Resultater - Østdanmark'!I67</f>
        <v>0</v>
      </c>
      <c r="J67" s="277">
        <f ca="1"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5">
        <f ca="1">'Resultater - Vestdanmark'!H68+'Resultater - Østdanmark'!H68</f>
        <v>0</v>
      </c>
      <c r="I68" s="276">
        <f ca="1">'Resultater - Vestdanmark'!I68+'Resultater - Østdanmark'!I68</f>
        <v>0</v>
      </c>
      <c r="J68" s="277">
        <f ca="1"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0</v>
      </c>
      <c r="J69" s="277">
        <f ca="1">'Resultater - Vestdanmark'!J69+'Resultater - Østdanmark'!J69</f>
        <v>0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0</v>
      </c>
      <c r="J70" s="277">
        <f ca="1"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0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0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-111144.89435616198</v>
      </c>
      <c r="J81" s="277">
        <f ca="1">'Resultater - Vestdanmark'!J81+'Resultater - Østdanmark'!J81</f>
        <v>-107932.71985169256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-11216.066666666669</v>
      </c>
      <c r="J85" s="277">
        <f ca="1">'Resultater - Vestdanmark'!J85+'Resultater - Østdanmark'!J85</f>
        <v>-109365.21725247146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7097.6507402818888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9387.2154952115307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-138676.03796567439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-5970.7738568554241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8575.5264925360498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4677.5599050196643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-18117.004499970277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-7214.0108416171224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17649088.550240628</v>
      </c>
      <c r="J95" s="277">
        <f>'Resultater - Vestdanmark'!J95+'Resultater - Østdanmark'!J95</f>
        <v>14026401.55067813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19039008.408103261</v>
      </c>
      <c r="J96" s="277">
        <f>'Resultater - Vestdanmark'!J96+'Resultater - Østdanmark'!J96</f>
        <v>15131023.695563734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2440663.5063567837</v>
      </c>
      <c r="J97" s="277">
        <f>'Resultater - Vestdanmark'!J97+'Resultater - Østdanmark'!J97</f>
        <v>1939688.0633691181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199491.98206240279</v>
      </c>
      <c r="J98" s="277">
        <f>'Resultater - Vestdanmark'!J98+'Resultater - Østdanmark'!J98</f>
        <v>158543.86126414384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-10892085411.485743</v>
      </c>
      <c r="J99" s="277">
        <f>'Resultater - Vestdanmark'!J99+'Resultater - Østdanmark'!J99</f>
        <v>-8656354308.0925446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-836510.93730301841</v>
      </c>
      <c r="J100" s="277">
        <f>'Resultater - Vestdanmark'!J100+'Resultater - Østdanmark'!J100</f>
        <v>-664807.03945396107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1426327.4313739771</v>
      </c>
      <c r="J101" s="277">
        <f>'Resultater - Vestdanmark'!J101+'Resultater - Østdanmark'!J101</f>
        <v>1133556.6274852161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957799.28473942308</v>
      </c>
      <c r="J102" s="277">
        <f>'Resultater - Vestdanmark'!J102+'Resultater - Østdanmark'!J102</f>
        <v>2193009.6206292845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1038178.6685743312</v>
      </c>
      <c r="J104" s="277">
        <f>'Resultater - Vestdanmark'!J104+'Resultater - Østdanmark'!J104</f>
        <v>2377048.9750731164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31751.742737597204</v>
      </c>
      <c r="J105" s="277">
        <f>'Resultater - Vestdanmark'!J105+'Resultater - Østdanmark'!J105</f>
        <v>72699.863535856144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-1733617012.0022585</v>
      </c>
      <c r="J106" s="277">
        <f>'Resultater - Vestdanmark'!J106+'Resultater - Østdanmark'!J106</f>
        <v>-3969348115.3954577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-117030.85139529199</v>
      </c>
      <c r="J107" s="277">
        <f>'Resultater - Vestdanmark'!J107+'Resultater - Østdanmark'!J107</f>
        <v>-267957.79356855026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249720.41137491699</v>
      </c>
      <c r="J108" s="277">
        <f>'Resultater - Vestdanmark'!J108+'Resultater - Østdanmark'!J108</f>
        <v>571768.29565255437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468109.13276919175</v>
      </c>
      <c r="J109" s="277">
        <f>'Resultater - Vestdanmark'!J109+'Resultater - Østdanmark'!J109</f>
        <v>357907.55598590377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13583770.57880277</v>
      </c>
      <c r="J110" s="277">
        <f>'Resultater - Vestdanmark'!J110+'Resultater - Østdanmark'!J110</f>
        <v>10385898.903898712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266203.86814945232</v>
      </c>
      <c r="J111" s="277">
        <f>'Resultater - Vestdanmark'!J111+'Resultater - Østdanmark'!J111</f>
        <v>203534.53751209271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5084816.8620820511</v>
      </c>
      <c r="J112" s="277">
        <f>'Resultater - Vestdanmark'!J112+'Resultater - Østdanmark'!J112</f>
        <v>3887756.6113221413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57926.273684308377</v>
      </c>
      <c r="J113" s="277">
        <f>'Resultater - Vestdanmark'!J113+'Resultater - Østdanmark'!J113</f>
        <v>44289.353892917388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-3524338957.9342055</v>
      </c>
      <c r="J114" s="277">
        <f>'Resultater - Vestdanmark'!J114+'Resultater - Østdanmark'!J114</f>
        <v>-2694644164.360033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-14740.837123521602</v>
      </c>
      <c r="J115" s="277">
        <f>'Resultater - Vestdanmark'!J115+'Resultater - Østdanmark'!J115</f>
        <v>-11270.570511742691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3812045.0093678222</v>
      </c>
      <c r="J116" s="277">
        <f>'Resultater - Vestdanmark'!J116+'Resultater - Østdanmark'!J116</f>
        <v>2914618.8721846989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46260.468363034233</v>
      </c>
      <c r="J117" s="277">
        <f>'Resultater - Vestdanmark'!J117+'Resultater - Østdanmark'!J117</f>
        <v>79315.865386732854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2499844.5403870419</v>
      </c>
      <c r="J118" s="277">
        <f>'Resultater - Vestdanmark'!J118+'Resultater - Østdanmark'!J118</f>
        <v>4286107.3410907555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20639.285885046043</v>
      </c>
      <c r="J119" s="277">
        <f>'Resultater - Vestdanmark'!J119+'Resultater - Østdanmark'!J119</f>
        <v>35387.078403311578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954863.51364724501</v>
      </c>
      <c r="J120" s="277">
        <f>'Resultater - Vestdanmark'!J120+'Resultater - Østdanmark'!J120</f>
        <v>1637160.8111876908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19084.638315691634</v>
      </c>
      <c r="J121" s="277">
        <f>'Resultater - Vestdanmark'!J121+'Resultater - Østdanmark'!J121</f>
        <v>32721.558107082616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-1161143813.2657945</v>
      </c>
      <c r="J122" s="277">
        <f>'Resultater - Vestdanmark'!J122+'Resultater - Østdanmark'!J122</f>
        <v>-1990838606.8399665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-5854.5066215082079</v>
      </c>
      <c r="J123" s="277">
        <f>'Resultater - Vestdanmark'!J123+'Resultater - Østdanmark'!J123</f>
        <v>-10037.841715159495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1050271.9647159714</v>
      </c>
      <c r="J124" s="277">
        <f>'Resultater - Vestdanmark'!J124+'Resultater - Østdanmark'!J124</f>
        <v>1800743.3283887217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112298708.82031395</v>
      </c>
      <c r="J125" s="277">
        <f>'Resultater - Vestdanmark'!J125+'Resultater - Østdanmark'!J125</f>
        <v>86150179.402703017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7147.6896894783804</v>
      </c>
      <c r="J126" s="277">
        <f>'Resultater - Vestdanmark'!J126+'Resultater - Østdanmark'!J126</f>
        <v>5483.3644619075476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158418.8818134164</v>
      </c>
      <c r="J127" s="277">
        <f>'Resultater - Vestdanmark'!J127+'Resultater - Østdanmark'!J127</f>
        <v>121531.36249178894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234028.7773685818</v>
      </c>
      <c r="J128" s="277">
        <f>'Resultater - Vestdanmark'!J128+'Resultater - Østdanmark'!J128</f>
        <v>179535.6453114578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9883.9747520938854</v>
      </c>
      <c r="J129" s="277">
        <f>'Resultater - Vestdanmark'!J129+'Resultater - Østdanmark'!J129</f>
        <v>7582.5110283961212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-388894488.10791951</v>
      </c>
      <c r="J130" s="277">
        <f>'Resultater - Vestdanmark'!J130+'Resultater - Østdanmark'!J130</f>
        <v>-298341185.4968642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-9217.3044259344551</v>
      </c>
      <c r="J131" s="277">
        <f>'Resultater - Vestdanmark'!J131+'Resultater - Østdanmark'!J131</f>
        <v>-7071.0735523607418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15016.642494023856</v>
      </c>
      <c r="J132" s="277">
        <f>'Resultater - Vestdanmark'!J132+'Resultater - Østdanmark'!J132</f>
        <v>11520.04736720883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2476771.9276828007</v>
      </c>
      <c r="J133" s="277">
        <f>'Resultater - Vestdanmark'!J133+'Resultater - Østdanmark'!J133</f>
        <v>4307905.6143788006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4375.8875717755209</v>
      </c>
      <c r="J134" s="277">
        <f>'Resultater - Vestdanmark'!J134+'Resultater - Østdanmark'!J134</f>
        <v>7611.0805470807218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16476.972275328382</v>
      </c>
      <c r="J135" s="277">
        <f>'Resultater - Vestdanmark'!J135+'Resultater - Østdanmark'!J135</f>
        <v>28658.771758310046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30335.075177362425</v>
      </c>
      <c r="J136" s="277">
        <f>'Resultater - Vestdanmark'!J136+'Resultater - Østdanmark'!J136</f>
        <v>52762.484590748652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3112.9353279061152</v>
      </c>
      <c r="J137" s="277">
        <f>'Resultater - Vestdanmark'!J137+'Resultater - Østdanmark'!J137</f>
        <v>5414.3990516038793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-122481432.94808047</v>
      </c>
      <c r="J138" s="277">
        <f>'Resultater - Vestdanmark'!J138+'Resultater - Østdanmark'!J138</f>
        <v>-213034735.55913579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-5467.9211137535922</v>
      </c>
      <c r="J139" s="277">
        <f>'Resultater - Vestdanmark'!J139+'Resultater - Østdanmark'!J139</f>
        <v>-9510.4792660328476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5202.4030724995655</v>
      </c>
      <c r="J140" s="277">
        <f>'Resultater - Vestdanmark'!J140+'Resultater - Østdanmark'!J140</f>
        <v>9048.657711996093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8028892.7421747725</v>
      </c>
      <c r="I141" s="276">
        <f>'Resultater - Vestdanmark'!I141+'Resultater - Østdanmark'!I141</f>
        <v>5568686.7470344305</v>
      </c>
      <c r="J141" s="277">
        <f>'Resultater - Vestdanmark'!J141+'Resultater - Østdanmark'!J141</f>
        <v>4410801.5098651163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2620610.5188139905</v>
      </c>
      <c r="I142" s="276">
        <f>'Resultater - Vestdanmark'!I142+'Resultater - Østdanmark'!I142</f>
        <v>2431365.514878232</v>
      </c>
      <c r="J142" s="277">
        <f>'Resultater - Vestdanmark'!J142+'Resultater - Østdanmark'!J142</f>
        <v>1795196.2145151023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-183255754.45762676</v>
      </c>
      <c r="I143" s="276">
        <f>'Resultater - Vestdanmark'!I143+'Resultater - Østdanmark'!I143</f>
        <v>-118565945.17500436</v>
      </c>
      <c r="J143" s="277">
        <f>'Resultater - Vestdanmark'!J143+'Resultater - Østdanmark'!J143</f>
        <v>-87543043.053826034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2604172.3544975286</v>
      </c>
      <c r="I144" s="276">
        <f>'Resultater - Vestdanmark'!I144+'Resultater - Østdanmark'!I144</f>
        <v>1684892.0107499836</v>
      </c>
      <c r="J144" s="277">
        <f>'Resultater - Vestdanmark'!J144+'Resultater - Østdanmark'!J144</f>
        <v>1244038.2744001341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228280.18071014562</v>
      </c>
      <c r="I145" s="276">
        <f>'Resultater - Vestdanmark'!I145+'Resultater - Østdanmark'!I145</f>
        <v>82858.726683591216</v>
      </c>
      <c r="J145" s="277">
        <f>'Resultater - Vestdanmark'!J145+'Resultater - Østdanmark'!J145</f>
        <v>68944.385349815013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74510.080283339761</v>
      </c>
      <c r="I146" s="276">
        <f>'Resultater - Vestdanmark'!I146+'Resultater - Østdanmark'!I146</f>
        <v>36177.26401516312</v>
      </c>
      <c r="J146" s="277">
        <f>'Resultater - Vestdanmark'!J146+'Resultater - Østdanmark'!J146</f>
        <v>28060.364837374713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-3527867.7475414807</v>
      </c>
      <c r="I147" s="276">
        <f>'Resultater - Vestdanmark'!I147+'Resultater - Østdanmark'!I147</f>
        <v>-1194503.8614065526</v>
      </c>
      <c r="J147" s="277">
        <f>'Resultater - Vestdanmark'!J147+'Resultater - Østdanmark'!J147</f>
        <v>-926499.42064917122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433973.71375071316</v>
      </c>
      <c r="I148" s="276">
        <f>'Resultater - Vestdanmark'!I148+'Resultater - Østdanmark'!I148</f>
        <v>146939.54363380617</v>
      </c>
      <c r="J148" s="277">
        <f>'Resultater - Vestdanmark'!J148+'Resultater - Østdanmark'!J148</f>
        <v>113971.50435902995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135901.60941201358</v>
      </c>
      <c r="I149" s="276">
        <f>'Resultater - Vestdanmark'!I149+'Resultater - Østdanmark'!I149</f>
        <v>46909.354498313813</v>
      </c>
      <c r="J149" s="277">
        <f>'Resultater - Vestdanmark'!J149+'Resultater - Østdanmark'!J149</f>
        <v>39031.93715965336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44357.945558057712</v>
      </c>
      <c r="I150" s="276">
        <f>'Resultater - Vestdanmark'!I150+'Resultater - Østdanmark'!I150</f>
        <v>20481.271803111733</v>
      </c>
      <c r="J150" s="277">
        <f>'Resultater - Vestdanmark'!J150+'Resultater - Østdanmark'!J150</f>
        <v>15885.998423978921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-1384772.8694927006</v>
      </c>
      <c r="I151" s="276">
        <f>'Resultater - Vestdanmark'!I151+'Resultater - Østdanmark'!I151</f>
        <v>-445880.64205332822</v>
      </c>
      <c r="J151" s="277">
        <f>'Resultater - Vestdanmark'!J151+'Resultater - Østdanmark'!J151</f>
        <v>-345840.78786873561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567087.95319850883</v>
      </c>
      <c r="I152" s="276">
        <f>'Resultater - Vestdanmark'!I152+'Resultater - Østdanmark'!I152</f>
        <v>182595.67777746078</v>
      </c>
      <c r="J152" s="277">
        <f>'Resultater - Vestdanmark'!J152+'Resultater - Østdanmark'!J152</f>
        <v>141627.66244610833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687812.87730450777</v>
      </c>
      <c r="I153" s="276">
        <f>'Resultater - Vestdanmark'!I153+'Resultater - Østdanmark'!I153</f>
        <v>996332.5603371911</v>
      </c>
      <c r="J153" s="277">
        <f>'Resultater - Vestdanmark'!J153+'Resultater - Østdanmark'!J153</f>
        <v>1872294.7060195119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224500.40361999813</v>
      </c>
      <c r="I154" s="276">
        <f>'Resultater - Vestdanmark'!I154+'Resultater - Østdanmark'!I154</f>
        <v>435012.55118080444</v>
      </c>
      <c r="J154" s="277">
        <f>'Resultater - Vestdanmark'!J154+'Resultater - Østdanmark'!J154</f>
        <v>762023.9453499415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-15699010.038333988</v>
      </c>
      <c r="I155" s="276">
        <f>'Resultater - Vestdanmark'!I155+'Resultater - Østdanmark'!I155</f>
        <v>-21213459.67034708</v>
      </c>
      <c r="J155" s="277">
        <f>'Resultater - Vestdanmark'!J155+'Resultater - Østdanmark'!J155</f>
        <v>-37160224.891536556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332973.42070203071</v>
      </c>
      <c r="I156" s="276">
        <f>'Resultater - Vestdanmark'!I156+'Resultater - Østdanmark'!I156</f>
        <v>449933.99036705337</v>
      </c>
      <c r="J156" s="277">
        <f>'Resultater - Vestdanmark'!J156+'Resultater - Østdanmark'!J156</f>
        <v>788162.25774607901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19556.127223005868</v>
      </c>
      <c r="I157" s="276">
        <f>'Resultater - Vestdanmark'!I157+'Resultater - Østdanmark'!I157</f>
        <v>14824.832326383965</v>
      </c>
      <c r="J157" s="277">
        <f>'Resultater - Vestdanmark'!J157+'Resultater - Østdanmark'!J157</f>
        <v>29265.476447199107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6383.0710352710576</v>
      </c>
      <c r="I158" s="276">
        <f>'Resultater - Vestdanmark'!I158+'Resultater - Østdanmark'!I158</f>
        <v>6472.7264648918053</v>
      </c>
      <c r="J158" s="277">
        <f>'Resultater - Vestdanmark'!J158+'Resultater - Østdanmark'!J158</f>
        <v>11911.048914010038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-302222.60330370459</v>
      </c>
      <c r="I159" s="276">
        <f>'Resultater - Vestdanmark'!I159+'Resultater - Østdanmark'!I159</f>
        <v>-213717.01168172996</v>
      </c>
      <c r="J159" s="277">
        <f>'Resultater - Vestdanmark'!J159+'Resultater - Østdanmark'!J159</f>
        <v>-393279.98698917538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55488.536199525202</v>
      </c>
      <c r="I160" s="276">
        <f>'Resultater - Vestdanmark'!I160+'Resultater - Østdanmark'!I160</f>
        <v>39238.773041866181</v>
      </c>
      <c r="J160" s="277">
        <f>'Resultater - Vestdanmark'!J160+'Resultater - Østdanmark'!J160</f>
        <v>72206.812316642376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11642.312333926018</v>
      </c>
      <c r="I161" s="276">
        <f>'Resultater - Vestdanmark'!I161+'Resultater - Østdanmark'!I161</f>
        <v>8392.8795772108424</v>
      </c>
      <c r="J161" s="277">
        <f>'Resultater - Vestdanmark'!J161+'Resultater - Østdanmark'!J161</f>
        <v>16568.25616529274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3800.0216400126183</v>
      </c>
      <c r="I162" s="276">
        <f>'Resultater - Vestdanmark'!I162+'Resultater - Østdanmark'!I162</f>
        <v>3664.4470952551624</v>
      </c>
      <c r="J162" s="277">
        <f>'Resultater - Vestdanmark'!J162+'Resultater - Østdanmark'!J162</f>
        <v>6743.2802592741464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-118629.63454173651</v>
      </c>
      <c r="I163" s="276">
        <f>'Resultater - Vestdanmark'!I163+'Resultater - Østdanmark'!I163</f>
        <v>-79775.613512173833</v>
      </c>
      <c r="J163" s="277">
        <f>'Resultater - Vestdanmark'!J163+'Resultater - Østdanmark'!J163</f>
        <v>-146802.31581585089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72508.724428055051</v>
      </c>
      <c r="I164" s="276">
        <f>'Resultater - Vestdanmark'!I164+'Resultater - Østdanmark'!I164</f>
        <v>48760.396157152027</v>
      </c>
      <c r="J164" s="277">
        <f>'Resultater - Vestdanmark'!J164+'Resultater - Østdanmark'!J164</f>
        <v>89728.411488504484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229792.23730502045</v>
      </c>
      <c r="I165" s="276">
        <f>'Resultater - Vestdanmark'!I165+'Resultater - Østdanmark'!I165</f>
        <v>211562.06660833416</v>
      </c>
      <c r="J165" s="277">
        <f>'Resultater - Vestdanmark'!J165+'Resultater - Østdanmark'!J165</f>
        <v>167572.41432608364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-2229300.7257745154</v>
      </c>
      <c r="I166" s="276">
        <f>'Resultater - Vestdanmark'!I166+'Resultater - Østdanmark'!I166</f>
        <v>-1914592.3496310806</v>
      </c>
      <c r="J166" s="277">
        <f>'Resultater - Vestdanmark'!J166+'Resultater - Østdanmark'!J166</f>
        <v>-1413637.2821629934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25343.742518123829</v>
      </c>
      <c r="I167" s="276">
        <f>'Resultater - Vestdanmark'!I167+'Resultater - Østdanmark'!I167</f>
        <v>21765.989206934708</v>
      </c>
      <c r="J167" s="277">
        <f>'Resultater - Vestdanmark'!J167+'Resultater - Østdanmark'!J167</f>
        <v>16070.895630607265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2895.9534319120221</v>
      </c>
      <c r="I168" s="276">
        <f>'Resultater - Vestdanmark'!I168+'Resultater - Østdanmark'!I168</f>
        <v>1051.2796197052539</v>
      </c>
      <c r="J168" s="277">
        <f>'Resultater - Vestdanmark'!J168+'Resultater - Østdanmark'!J168</f>
        <v>874.73981452963153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-22826.968918399438</v>
      </c>
      <c r="I169" s="276">
        <f>'Resultater - Vestdanmark'!I169+'Resultater - Østdanmark'!I169</f>
        <v>-7730.0113812998279</v>
      </c>
      <c r="J169" s="277">
        <f>'Resultater - Vestdanmark'!J169+'Resultater - Østdanmark'!J169</f>
        <v>-5995.6700834374578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1872.0097963032511</v>
      </c>
      <c r="I170" s="276">
        <f>'Resultater - Vestdanmark'!I170+'Resultater - Østdanmark'!I170</f>
        <v>633.92809983041525</v>
      </c>
      <c r="J170" s="277">
        <f>'Resultater - Vestdanmark'!J170+'Resultater - Østdanmark'!J170</f>
        <v>491.69704360311732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873.12609941568871</v>
      </c>
      <c r="I171" s="276">
        <f>'Resultater - Vestdanmark'!I171+'Resultater - Østdanmark'!I171</f>
        <v>302.0854059339174</v>
      </c>
      <c r="J171" s="277">
        <f>'Resultater - Vestdanmark'!J171+'Resultater - Østdanmark'!J171</f>
        <v>251.35665811996779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-5747.8555301287988</v>
      </c>
      <c r="I172" s="276">
        <f>'Resultater - Vestdanmark'!I172+'Resultater - Østdanmark'!I172</f>
        <v>-1855.0850807317752</v>
      </c>
      <c r="J172" s="277">
        <f>'Resultater - Vestdanmark'!J172+'Resultater - Østdanmark'!J172</f>
        <v>-1438.8695659209211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1238.8653838857663</v>
      </c>
      <c r="I173" s="276">
        <f>'Resultater - Vestdanmark'!I173+'Resultater - Østdanmark'!I173</f>
        <v>399.83619606215649</v>
      </c>
      <c r="J173" s="277">
        <f>'Resultater - Vestdanmark'!J173+'Resultater - Østdanmark'!J173</f>
        <v>310.12708788563168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16747.502556513253</v>
      </c>
      <c r="I174" s="276">
        <f>'Resultater - Vestdanmark'!I174+'Resultater - Østdanmark'!I174</f>
        <v>32202.485151733792</v>
      </c>
      <c r="J174" s="277">
        <f>'Resultater - Vestdanmark'!J174+'Resultater - Østdanmark'!J174</f>
        <v>60514.475658467039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-162473.80695714155</v>
      </c>
      <c r="I175" s="276">
        <f>'Resultater - Vestdanmark'!I175+'Resultater - Østdanmark'!I175</f>
        <v>-291425.73949591583</v>
      </c>
      <c r="J175" s="277">
        <f>'Resultater - Vestdanmark'!J175+'Resultater - Østdanmark'!J175</f>
        <v>-510498.81476845377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3240.4892959857261</v>
      </c>
      <c r="I176" s="276">
        <f>'Resultater - Vestdanmark'!I176+'Resultater - Østdanmark'!I176</f>
        <v>5812.3952844925352</v>
      </c>
      <c r="J176" s="277">
        <f>'Resultater - Vestdanmark'!J176+'Resultater - Østdanmark'!J176</f>
        <v>10181.739296026639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211.06016492677367</v>
      </c>
      <c r="I177" s="276">
        <f>'Resultater - Vestdanmark'!I177+'Resultater - Østdanmark'!I177</f>
        <v>160.01836665054194</v>
      </c>
      <c r="J177" s="277">
        <f>'Resultater - Vestdanmark'!J177+'Resultater - Østdanmark'!J177</f>
        <v>315.88982844657744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-1663.6537630768387</v>
      </c>
      <c r="I178" s="276">
        <f>'Resultater - Vestdanmark'!I178+'Resultater - Østdanmark'!I178</f>
        <v>-1176.607795148258</v>
      </c>
      <c r="J178" s="277">
        <f>'Resultater - Vestdanmark'!J178+'Resultater - Østdanmark'!J178</f>
        <v>-2165.1823349298088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239.35800730941858</v>
      </c>
      <c r="I179" s="276">
        <f>'Resultater - Vestdanmark'!I179+'Resultater - Østdanmark'!I179</f>
        <v>169.28432074144743</v>
      </c>
      <c r="J179" s="277">
        <f>'Resultater - Vestdanmark'!J179+'Resultater - Østdanmark'!J179</f>
        <v>311.51537696874533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63.63435838223252</v>
      </c>
      <c r="I180" s="276">
        <f>'Resultater - Vestdanmark'!I180+'Resultater - Østdanmark'!I180</f>
        <v>45.981309197322972</v>
      </c>
      <c r="J180" s="277">
        <f>'Resultater - Vestdanmark'!J180+'Resultater - Østdanmark'!J180</f>
        <v>90.771004467331224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-418.90982182102539</v>
      </c>
      <c r="I181" s="276">
        <f>'Resultater - Vestdanmark'!I181+'Resultater - Østdanmark'!I181</f>
        <v>-282.36796286388028</v>
      </c>
      <c r="J181" s="277">
        <f>'Resultater - Vestdanmark'!J181+'Resultater - Østdanmark'!J181</f>
        <v>-519.61080630606682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158.40320397740001</v>
      </c>
      <c r="I182" s="276">
        <f>'Resultater - Vestdanmark'!I182+'Resultater - Østdanmark'!I182</f>
        <v>106.77235932013951</v>
      </c>
      <c r="J182" s="277">
        <f>'Resultater - Vestdanmark'!J182+'Resultater - Østdanmark'!J182</f>
        <v>196.48146749666418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27718.750814801697</v>
      </c>
      <c r="I183" s="276">
        <f>'Resultater - Vestdanmark'!I183+'Resultater - Østdanmark'!I183</f>
        <v>23616.460262590503</v>
      </c>
      <c r="J183" s="277">
        <f>'Resultater - Vestdanmark'!J183+'Resultater - Østdanmark'!J183</f>
        <v>17441.710197024495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-23717015.446220245</v>
      </c>
      <c r="I184" s="276">
        <f>'Resultater - Vestdanmark'!I184+'Resultater - Østdanmark'!I184</f>
        <v>-20206969.519485272</v>
      </c>
      <c r="J184" s="277">
        <f>'Resultater - Vestdanmark'!J184+'Resultater - Østdanmark'!J184</f>
        <v>-14923663.512658425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5135.7375651082511</v>
      </c>
      <c r="I185" s="276">
        <f>'Resultater - Vestdanmark'!I185+'Resultater - Østdanmark'!I185</f>
        <v>4375.664074324196</v>
      </c>
      <c r="J185" s="277">
        <f>'Resultater - Vestdanmark'!J185+'Resultater - Østdanmark'!J185</f>
        <v>3231.6047305694997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2020.1720283442451</v>
      </c>
      <c r="I186" s="276">
        <f>'Resultater - Vestdanmark'!I186+'Resultater - Østdanmark'!I186</f>
        <v>3594.7309606807494</v>
      </c>
      <c r="J186" s="277">
        <f>'Resultater - Vestdanmark'!J186+'Resultater - Østdanmark'!J186</f>
        <v>6298.6258890201116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-1728521.3002700505</v>
      </c>
      <c r="I187" s="276">
        <f>'Resultater - Vestdanmark'!I187+'Resultater - Østdanmark'!I187</f>
        <v>-3075762.3346411763</v>
      </c>
      <c r="J187" s="277">
        <f>'Resultater - Vestdanmark'!J187+'Resultater - Østdanmark'!J187</f>
        <v>-5389297.9700976266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656.66318203887363</v>
      </c>
      <c r="I188" s="276">
        <f>'Resultater - Vestdanmark'!I188+'Resultater - Østdanmark'!I188</f>
        <v>1168.4784454465453</v>
      </c>
      <c r="J188" s="277">
        <f>'Resultater - Vestdanmark'!J188+'Resultater - Østdanmark'!J188</f>
        <v>2047.3878762425729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1960428.2349329358</v>
      </c>
      <c r="I189" s="276">
        <f>'Resultater - Vestdanmark'!I189+'Resultater - Østdanmark'!I189</f>
        <v>1833206.6721076439</v>
      </c>
      <c r="J189" s="277">
        <f>'Resultater - Vestdanmark'!J189+'Resultater - Østdanmark'!J189</f>
        <v>1452031.8927138979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-6923899.3970784517</v>
      </c>
      <c r="I190" s="276">
        <f>'Resultater - Vestdanmark'!I190+'Resultater - Østdanmark'!I190</f>
        <v>-6039714.9771400848</v>
      </c>
      <c r="J190" s="277">
        <f>'Resultater - Vestdanmark'!J190+'Resultater - Østdanmark'!J190</f>
        <v>-4459417.3098877165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104952.20706782168</v>
      </c>
      <c r="I191" s="276">
        <f>'Resultater - Vestdanmark'!I191+'Resultater - Østdanmark'!I191</f>
        <v>91549.772831606591</v>
      </c>
      <c r="J191" s="277">
        <f>'Resultater - Vestdanmark'!J191+'Resultater - Østdanmark'!J191</f>
        <v>67595.680131725778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74529.950322797784</v>
      </c>
      <c r="I192" s="276">
        <f>'Resultater - Vestdanmark'!I192+'Resultater - Østdanmark'!I192</f>
        <v>27045.142489689439</v>
      </c>
      <c r="J192" s="277">
        <f>'Resultater - Vestdanmark'!J192+'Resultater - Østdanmark'!J192</f>
        <v>22503.49239338551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-175484.74661777477</v>
      </c>
      <c r="I193" s="276">
        <f>'Resultater - Vestdanmark'!I193+'Resultater - Østdanmark'!I193</f>
        <v>-59402.268400018685</v>
      </c>
      <c r="J193" s="277">
        <f>'Resultater - Vestdanmark'!J193+'Resultater - Østdanmark'!J193</f>
        <v>-46074.499242771533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23385.82028389235</v>
      </c>
      <c r="I194" s="276">
        <f>'Resultater - Vestdanmark'!I194+'Resultater - Østdanmark'!I194</f>
        <v>7916.1910082369859</v>
      </c>
      <c r="J194" s="277">
        <f>'Resultater - Vestdanmark'!J194+'Resultater - Østdanmark'!J194</f>
        <v>6140.077583544522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74479.88306993802</v>
      </c>
      <c r="I195" s="276">
        <f>'Resultater - Vestdanmark'!I195+'Resultater - Østdanmark'!I195</f>
        <v>25588.07920242985</v>
      </c>
      <c r="J195" s="277">
        <f>'Resultater - Vestdanmark'!J195+'Resultater - Østdanmark'!J195</f>
        <v>21291.111552203856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-112735.83895599192</v>
      </c>
      <c r="I196" s="276">
        <f>'Resultater - Vestdanmark'!I196+'Resultater - Østdanmark'!I196</f>
        <v>-36129.829817547063</v>
      </c>
      <c r="J196" s="277">
        <f>'Resultater - Vestdanmark'!J196+'Resultater - Østdanmark'!J196</f>
        <v>-28023.573196903591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51296.929124309347</v>
      </c>
      <c r="I197" s="276">
        <f>'Resultater - Vestdanmark'!I197+'Resultater - Østdanmark'!I197</f>
        <v>16439.752758193888</v>
      </c>
      <c r="J197" s="277">
        <f>'Resultater - Vestdanmark'!J197+'Resultater - Østdanmark'!J197</f>
        <v>12751.253384938367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142878.09397503437</v>
      </c>
      <c r="I198" s="276">
        <f>'Resultater - Vestdanmark'!I198+'Resultater - Østdanmark'!I198</f>
        <v>279037.78586118325</v>
      </c>
      <c r="J198" s="277">
        <f>'Resultater - Vestdanmark'!J198+'Resultater - Østdanmark'!J198</f>
        <v>524364.04273537803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-504621.14914566139</v>
      </c>
      <c r="I199" s="276">
        <f>'Resultater - Vestdanmark'!I199+'Resultater - Østdanmark'!I199</f>
        <v>-919322.8020036557</v>
      </c>
      <c r="J199" s="277">
        <f>'Resultater - Vestdanmark'!J199+'Resultater - Østdanmark'!J199</f>
        <v>-1610404.0831268346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13419.348123117323</v>
      </c>
      <c r="I200" s="276">
        <f>'Resultater - Vestdanmark'!I200+'Resultater - Østdanmark'!I200</f>
        <v>24447.474582651037</v>
      </c>
      <c r="J200" s="277">
        <f>'Resultater - Vestdanmark'!J200+'Resultater - Østdanmark'!J200</f>
        <v>42825.341440714292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5431.8220154279852</v>
      </c>
      <c r="I201" s="276">
        <f>'Resultater - Vestdanmark'!I201+'Resultater - Østdanmark'!I201</f>
        <v>4116.6207790127546</v>
      </c>
      <c r="J201" s="277">
        <f>'Resultater - Vestdanmark'!J201+'Resultater - Østdanmark'!J201</f>
        <v>8126.5585875016859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-12789.514898665619</v>
      </c>
      <c r="I202" s="276">
        <f>'Resultater - Vestdanmark'!I202+'Resultater - Østdanmark'!I202</f>
        <v>-9041.7941968409141</v>
      </c>
      <c r="J202" s="277">
        <f>'Resultater - Vestdanmark'!J202+'Resultater - Østdanmark'!J202</f>
        <v>-16638.622616471788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2990.1463942669939</v>
      </c>
      <c r="I203" s="276">
        <f>'Resultater - Vestdanmark'!I203+'Resultater - Østdanmark'!I203</f>
        <v>2113.9416568652573</v>
      </c>
      <c r="J203" s="277">
        <f>'Resultater - Vestdanmark'!J203+'Resultater - Østdanmark'!J203</f>
        <v>3890.0550815577208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5428.1730608109774</v>
      </c>
      <c r="I204" s="276">
        <f>'Resultater - Vestdanmark'!I204+'Resultater - Østdanmark'!I204</f>
        <v>3894.8368854002074</v>
      </c>
      <c r="J204" s="277">
        <f>'Resultater - Vestdanmark'!J204+'Resultater - Østdanmark'!J204</f>
        <v>7688.7383699107804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-8216.3077972908159</v>
      </c>
      <c r="I205" s="276">
        <f>'Resultater - Vestdanmark'!I205+'Resultater - Østdanmark'!I205</f>
        <v>-5499.4277891422107</v>
      </c>
      <c r="J205" s="277">
        <f>'Resultater - Vestdanmark'!J205+'Resultater - Østdanmark'!J205</f>
        <v>-10119.994062908989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6558.9030359423223</v>
      </c>
      <c r="I206" s="276">
        <f>'Resultater - Vestdanmark'!I206+'Resultater - Østdanmark'!I206</f>
        <v>4390.0757508188699</v>
      </c>
      <c r="J206" s="277">
        <f>'Resultater - Vestdanmark'!J206+'Resultater - Østdanmark'!J206</f>
        <v>8078.5751240743912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10615606.672639394</v>
      </c>
      <c r="I207" s="276">
        <f>'Resultater - Vestdanmark'!I207+'Resultater - Østdanmark'!I207</f>
        <v>24933789.732701942</v>
      </c>
      <c r="J207" s="277">
        <f>'Resultater - Vestdanmark'!J207+'Resultater - Østdanmark'!J207</f>
        <v>19749359.659749072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-33160399.72307751</v>
      </c>
      <c r="I208" s="276">
        <f>'Resultater - Vestdanmark'!I208+'Resultater - Østdanmark'!I208</f>
        <v>-72655491.597499222</v>
      </c>
      <c r="J208" s="277">
        <f>'Resultater - Vestdanmark'!J208+'Resultater - Østdanmark'!J208</f>
        <v>-53645107.114261553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486429.76821888878</v>
      </c>
      <c r="I209" s="276">
        <f>'Resultater - Vestdanmark'!I209+'Resultater - Østdanmark'!I209</f>
        <v>1065783.1097556206</v>
      </c>
      <c r="J209" s="277">
        <f>'Resultater - Vestdanmark'!J209+'Resultater - Østdanmark'!J209</f>
        <v>786919.85734742379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1227820.3144178872</v>
      </c>
      <c r="I210" s="276">
        <f>'Resultater - Vestdanmark'!I210+'Resultater - Østdanmark'!I210</f>
        <v>445579.42780069762</v>
      </c>
      <c r="J210" s="277">
        <f>'Resultater - Vestdanmark'!J210+'Resultater - Østdanmark'!J210</f>
        <v>370753.94474200858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-2680650.2901102607</v>
      </c>
      <c r="I211" s="276">
        <f>'Resultater - Vestdanmark'!I211+'Resultater - Østdanmark'!I211</f>
        <v>-907477.13740865106</v>
      </c>
      <c r="J211" s="277">
        <f>'Resultater - Vestdanmark'!J211+'Resultater - Østdanmark'!J211</f>
        <v>-703871.347114317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329754.92419657321</v>
      </c>
      <c r="I212" s="276">
        <f>'Resultater - Vestdanmark'!I212+'Resultater - Østdanmark'!I212</f>
        <v>111631.51559169042</v>
      </c>
      <c r="J212" s="277">
        <f>'Resultater - Vestdanmark'!J212+'Resultater - Østdanmark'!J212</f>
        <v>86585.349669864809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1475854.3420564069</v>
      </c>
      <c r="I213" s="276">
        <f>'Resultater - Vestdanmark'!I213+'Resultater - Østdanmark'!I213</f>
        <v>507724.14720010455</v>
      </c>
      <c r="J213" s="277">
        <f>'Resultater - Vestdanmark'!J213+'Resultater - Østdanmark'!J213</f>
        <v>422462.79489233706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-2230735.0998434206</v>
      </c>
      <c r="I214" s="276">
        <f>'Resultater - Vestdanmark'!I214+'Resultater - Østdanmark'!I214</f>
        <v>-715875.56173199613</v>
      </c>
      <c r="J214" s="277">
        <f>'Resultater - Vestdanmark'!J214+'Resultater - Østdanmark'!J214</f>
        <v>-555258.39189887117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870022.68593914213</v>
      </c>
      <c r="I215" s="276">
        <f>'Resultater - Vestdanmark'!I215+'Resultater - Østdanmark'!I215</f>
        <v>279203.02104000642</v>
      </c>
      <c r="J215" s="277">
        <f>'Resultater - Vestdanmark'!J215+'Resultater - Østdanmark'!J215</f>
        <v>216559.7329526098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1058715.4844797079</v>
      </c>
      <c r="I216" s="276">
        <f>'Resultater - Vestdanmark'!I216+'Resultater - Østdanmark'!I216</f>
        <v>5193493.9221671149</v>
      </c>
      <c r="J216" s="277">
        <f>'Resultater - Vestdanmark'!J216+'Resultater - Østdanmark'!J216</f>
        <v>9759543.7139253654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-3307152.3598217401</v>
      </c>
      <c r="I217" s="276">
        <f>'Resultater - Vestdanmark'!I217+'Resultater - Østdanmark'!I217</f>
        <v>-15133513.921021834</v>
      </c>
      <c r="J217" s="277">
        <f>'Resultater - Vestdanmark'!J217+'Resultater - Østdanmark'!J217</f>
        <v>-26509809.783194572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62195.646757178984</v>
      </c>
      <c r="I218" s="276">
        <f>'Resultater - Vestdanmark'!I218+'Resultater - Østdanmark'!I218</f>
        <v>284606.99224557611</v>
      </c>
      <c r="J218" s="277">
        <f>'Resultater - Vestdanmark'!J218+'Resultater - Østdanmark'!J218</f>
        <v>498554.21991034283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122452.95244249655</v>
      </c>
      <c r="I219" s="276">
        <f>'Resultater - Vestdanmark'!I219+'Resultater - Østdanmark'!I219</f>
        <v>92810.361959960908</v>
      </c>
      <c r="J219" s="277">
        <f>'Resultater - Vestdanmark'!J219+'Resultater - Østdanmark'!J219</f>
        <v>183215.52663778243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-267346.56417984271</v>
      </c>
      <c r="I220" s="276">
        <f>'Resultater - Vestdanmark'!I220+'Resultater - Østdanmark'!I220</f>
        <v>-189019.6816513669</v>
      </c>
      <c r="J220" s="277">
        <f>'Resultater - Vestdanmark'!J220+'Resultater - Østdanmark'!J220</f>
        <v>-347832.19808094745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42162.963950309473</v>
      </c>
      <c r="I221" s="276">
        <f>'Resultater - Vestdanmark'!I221+'Resultater - Østdanmark'!I221</f>
        <v>29810.108268324049</v>
      </c>
      <c r="J221" s="277">
        <f>'Resultater - Vestdanmark'!J221+'Resultater - Østdanmark'!J221</f>
        <v>54856.274190149641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147189.87740935557</v>
      </c>
      <c r="I222" s="276">
        <f>'Resultater - Vestdanmark'!I222+'Resultater - Østdanmark'!I222</f>
        <v>105754.57244523262</v>
      </c>
      <c r="J222" s="277">
        <f>'Resultater - Vestdanmark'!J222+'Resultater - Østdanmark'!J222</f>
        <v>208768.49605721518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-222475.63090894136</v>
      </c>
      <c r="I223" s="276">
        <f>'Resultater - Vestdanmark'!I223+'Resultater - Østdanmark'!I223</f>
        <v>-149110.72158464871</v>
      </c>
      <c r="J223" s="277">
        <f>'Resultater - Vestdanmark'!J223+'Resultater - Østdanmark'!J223</f>
        <v>-274392.11405448616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111242.41808542692</v>
      </c>
      <c r="I224" s="276">
        <f>'Resultater - Vestdanmark'!I224+'Resultater - Østdanmark'!I224</f>
        <v>74558.445631865077</v>
      </c>
      <c r="J224" s="277">
        <f>'Resultater - Vestdanmark'!J224+'Resultater - Østdanmark'!J224</f>
        <v>137201.7337192616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252636.14136845001</v>
      </c>
      <c r="I225" s="276">
        <f>'Resultater - Vestdanmark'!I225+'Resultater - Østdanmark'!I225</f>
        <v>235692.73919924477</v>
      </c>
      <c r="J225" s="277">
        <f>'Resultater - Vestdanmark'!J225+'Resultater - Østdanmark'!J225</f>
        <v>186685.64728980366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75002.300218044285</v>
      </c>
      <c r="I226" s="276">
        <f>'Resultater - Vestdanmark'!I226+'Resultater - Østdanmark'!I226</f>
        <v>93600.021306374692</v>
      </c>
      <c r="J226" s="277">
        <f>'Resultater - Vestdanmark'!J226+'Resultater - Østdanmark'!J226</f>
        <v>69109.478973650781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148812.79058360241</v>
      </c>
      <c r="I228" s="276">
        <f>'Resultater - Vestdanmark'!I228+'Resultater - Østdanmark'!I228</f>
        <v>129507.88163486542</v>
      </c>
      <c r="J228" s="277">
        <f>'Resultater - Vestdanmark'!J228+'Resultater - Østdanmark'!J228</f>
        <v>95622.010527867533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9551.9923536804617</v>
      </c>
      <c r="I229" s="276">
        <f>'Resultater - Vestdanmark'!I229+'Resultater - Østdanmark'!I229</f>
        <v>3466.3710956207565</v>
      </c>
      <c r="J229" s="277">
        <f>'Resultater - Vestdanmark'!J229+'Resultater - Østdanmark'!J229</f>
        <v>2884.2686117365256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2835.7834881049771</v>
      </c>
      <c r="I230" s="276">
        <f>'Resultater - Vestdanmark'!I230+'Resultater - Østdanmark'!I230</f>
        <v>1376.5905963340929</v>
      </c>
      <c r="J230" s="277">
        <f>'Resultater - Vestdanmark'!J230+'Resultater - Østdanmark'!J230</f>
        <v>1067.7323290297384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32977.664576989635</v>
      </c>
      <c r="I232" s="276">
        <f>'Resultater - Vestdanmark'!I232+'Resultater - Østdanmark'!I232</f>
        <v>11163.649676941724</v>
      </c>
      <c r="J232" s="277">
        <f>'Resultater - Vestdanmark'!J232+'Resultater - Østdanmark'!J232</f>
        <v>8658.9213247394491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3796.4815039591263</v>
      </c>
      <c r="I233" s="276">
        <f>'Resultater - Vestdanmark'!I233+'Resultater - Østdanmark'!I233</f>
        <v>1305.5586906564408</v>
      </c>
      <c r="J233" s="277">
        <f>'Resultater - Vestdanmark'!J233+'Resultater - Østdanmark'!J233</f>
        <v>1086.3181835890166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1127.0946587048945</v>
      </c>
      <c r="I234" s="276">
        <f>'Resultater - Vestdanmark'!I234+'Resultater - Østdanmark'!I234</f>
        <v>518.47299869030985</v>
      </c>
      <c r="J234" s="277">
        <f>'Resultater - Vestdanmark'!J234+'Resultater - Østdanmark'!J234</f>
        <v>402.14598581805433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28769.864955948491</v>
      </c>
      <c r="I236" s="276">
        <f>'Resultater - Vestdanmark'!I236+'Resultater - Østdanmark'!I236</f>
        <v>9229.074455381493</v>
      </c>
      <c r="J236" s="277">
        <f>'Resultater - Vestdanmark'!J236+'Resultater - Østdanmark'!J236</f>
        <v>7158.396395613453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18412.390570964348</v>
      </c>
      <c r="I237" s="276">
        <f>'Resultater - Vestdanmark'!I237+'Resultater - Østdanmark'!I237</f>
        <v>35875.485885124886</v>
      </c>
      <c r="J237" s="277">
        <f>'Resultater - Vestdanmark'!J237+'Resultater - Østdanmark'!J237</f>
        <v>67416.729084779407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5466.2473779684478</v>
      </c>
      <c r="I238" s="276">
        <f>'Resultater - Vestdanmark'!I238+'Resultater - Østdanmark'!I238</f>
        <v>14247.134869884845</v>
      </c>
      <c r="J238" s="277">
        <f>'Resultater - Vestdanmark'!J238+'Resultater - Østdanmark'!J238</f>
        <v>24957.114212021934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19027.428748815582</v>
      </c>
      <c r="I240" s="276">
        <f>'Resultater - Vestdanmark'!I240+'Resultater - Østdanmark'!I240</f>
        <v>34583.817595539396</v>
      </c>
      <c r="J240" s="277">
        <f>'Resultater - Vestdanmark'!J240+'Resultater - Østdanmark'!J240</f>
        <v>60581.463817264106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696.15935785818442</v>
      </c>
      <c r="I241" s="276">
        <f>'Resultater - Vestdanmark'!I241+'Resultater - Østdanmark'!I241</f>
        <v>527.62655199327332</v>
      </c>
      <c r="J241" s="277">
        <f>'Resultater - Vestdanmark'!J241+'Resultater - Østdanmark'!J241</f>
        <v>1041.5795666568868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206.67491545293632</v>
      </c>
      <c r="I242" s="276">
        <f>'Resultater - Vestdanmark'!I242+'Resultater - Østdanmark'!I242</f>
        <v>209.5349083563863</v>
      </c>
      <c r="J242" s="277">
        <f>'Resultater - Vestdanmark'!J242+'Resultater - Østdanmark'!J242</f>
        <v>385.58412071986828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4216.5741303567183</v>
      </c>
      <c r="I244" s="276">
        <f>'Resultater - Vestdanmark'!I244+'Resultater - Østdanmark'!I244</f>
        <v>2981.1438443289003</v>
      </c>
      <c r="J244" s="277">
        <f>'Resultater - Vestdanmark'!J244+'Resultater - Østdanmark'!J244</f>
        <v>5485.8721965311724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276.69160820656509</v>
      </c>
      <c r="I245" s="276">
        <f>'Resultater - Vestdanmark'!I245+'Resultater - Østdanmark'!I245</f>
        <v>198.72293282336872</v>
      </c>
      <c r="J245" s="277">
        <f>'Resultater - Vestdanmark'!J245+'Resultater - Østdanmark'!J245</f>
        <v>392.29592497382293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82.143856987810693</v>
      </c>
      <c r="I246" s="276">
        <f>'Resultater - Vestdanmark'!I246+'Resultater - Østdanmark'!I246</f>
        <v>78.918301893926952</v>
      </c>
      <c r="J246" s="277">
        <f>'Resultater - Vestdanmark'!J246+'Resultater - Østdanmark'!J246</f>
        <v>145.22469923111257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3678.55849900765</v>
      </c>
      <c r="I248" s="276">
        <f>'Resultater - Vestdanmark'!I248+'Resultater - Østdanmark'!I248</f>
        <v>2464.5343859492068</v>
      </c>
      <c r="J248" s="277">
        <f>'Resultater - Vestdanmark'!J248+'Resultater - Østdanmark'!J248</f>
        <v>4535.2124457172449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2410176.5834804205</v>
      </c>
      <c r="I249" s="276">
        <f>'Resultater - Vestdanmark'!I249+'Resultater - Østdanmark'!I249</f>
        <v>2156954.9440988158</v>
      </c>
      <c r="J249" s="277">
        <f>'Resultater - Vestdanmark'!J249+'Resultater - Østdanmark'!J249</f>
        <v>1708463.8724217436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-4004417.1927958126</v>
      </c>
      <c r="I250" s="276">
        <f>'Resultater - Vestdanmark'!I250+'Resultater - Østdanmark'!I250</f>
        <v>-3343002.8179341955</v>
      </c>
      <c r="J250" s="277">
        <f>'Resultater - Vestdanmark'!J250+'Resultater - Østdanmark'!J250</f>
        <v>-2468302.6748322323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67443.117157939108</v>
      </c>
      <c r="I251" s="276">
        <f>'Resultater - Vestdanmark'!I251+'Resultater - Østdanmark'!I251</f>
        <v>56303.456871296323</v>
      </c>
      <c r="J251" s="277">
        <f>'Resultater - Vestdanmark'!J251+'Resultater - Østdanmark'!J251</f>
        <v>41571.599177891432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16302.299566350639</v>
      </c>
      <c r="I252" s="276">
        <f>'Resultater - Vestdanmark'!I252+'Resultater - Østdanmark'!I252</f>
        <v>5924.1774569793852</v>
      </c>
      <c r="J252" s="277">
        <f>'Resultater - Vestdanmark'!J252+'Resultater - Østdanmark'!J252</f>
        <v>4929.3392479268969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-17555.516386431049</v>
      </c>
      <c r="I253" s="276">
        <f>'Resultater - Vestdanmark'!I253+'Resultater - Østdanmark'!I253</f>
        <v>-5951.1104827068357</v>
      </c>
      <c r="J253" s="277">
        <f>'Resultater - Vestdanmark'!J253+'Resultater - Østdanmark'!J253</f>
        <v>-4615.8916622961769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2673.7376430017921</v>
      </c>
      <c r="I254" s="276">
        <f>'Resultater - Vestdanmark'!I254+'Resultater - Østdanmark'!I254</f>
        <v>906.3651427293961</v>
      </c>
      <c r="J254" s="277">
        <f>'Resultater - Vestdanmark'!J254+'Resultater - Østdanmark'!J254</f>
        <v>703.00884473204633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7000.5878814400912</v>
      </c>
      <c r="I255" s="276">
        <f>'Resultater - Vestdanmark'!I255+'Resultater - Østdanmark'!I255</f>
        <v>2465.8988549181267</v>
      </c>
      <c r="J255" s="277">
        <f>'Resultater - Vestdanmark'!J255+'Resultater - Østdanmark'!J255</f>
        <v>2051.8041694793569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-4615.5602634927654</v>
      </c>
      <c r="I256" s="276">
        <f>'Resultater - Vestdanmark'!I256+'Resultater - Østdanmark'!I256</f>
        <v>-1516.5976805957698</v>
      </c>
      <c r="J256" s="277">
        <f>'Resultater - Vestdanmark'!J256+'Resultater - Østdanmark'!J256</f>
        <v>-1176.3267728371277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2520.2001766035514</v>
      </c>
      <c r="I257" s="276">
        <f>'Resultater - Vestdanmark'!I257+'Resultater - Østdanmark'!I257</f>
        <v>828.09659592260391</v>
      </c>
      <c r="J257" s="277">
        <f>'Resultater - Vestdanmark'!J257+'Resultater - Østdanmark'!J257</f>
        <v>642.30099303355394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175656.2317634254</v>
      </c>
      <c r="I258" s="276">
        <f>'Resultater - Vestdanmark'!I258+'Resultater - Østdanmark'!I258</f>
        <v>328316.46369238431</v>
      </c>
      <c r="J258" s="277">
        <f>'Resultater - Vestdanmark'!J258+'Resultater - Østdanmark'!J258</f>
        <v>616967.86930486548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-291846.18227409676</v>
      </c>
      <c r="I259" s="276">
        <f>'Resultater - Vestdanmark'!I259+'Resultater - Østdanmark'!I259</f>
        <v>-508848.30316026672</v>
      </c>
      <c r="J259" s="277">
        <f>'Resultater - Vestdanmark'!J259+'Resultater - Østdanmark'!J259</f>
        <v>-891364.14686491853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8623.3790878329964</v>
      </c>
      <c r="I260" s="276">
        <f>'Resultater - Vestdanmark'!I260+'Resultater - Østdanmark'!I260</f>
        <v>15035.289419103739</v>
      </c>
      <c r="J260" s="277">
        <f>'Resultater - Vestdanmark'!J260+'Resultater - Østdanmark'!J260</f>
        <v>26337.747109879772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1188.1289240510705</v>
      </c>
      <c r="I261" s="276">
        <f>'Resultater - Vestdanmark'!I261+'Resultater - Østdanmark'!I261</f>
        <v>901.73649583313113</v>
      </c>
      <c r="J261" s="277">
        <f>'Resultater - Vestdanmark'!J261+'Resultater - Østdanmark'!J261</f>
        <v>1780.1043276164507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-1279.4646982456652</v>
      </c>
      <c r="I262" s="276">
        <f>'Resultater - Vestdanmark'!I262+'Resultater - Østdanmark'!I262</f>
        <v>-905.83605098960982</v>
      </c>
      <c r="J262" s="277">
        <f>'Resultater - Vestdanmark'!J262+'Resultater - Østdanmark'!J262</f>
        <v>-1666.9107786236855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341.86814383177432</v>
      </c>
      <c r="I263" s="276">
        <f>'Resultater - Vestdanmark'!I263+'Resultater - Østdanmark'!I263</f>
        <v>242.03597785256167</v>
      </c>
      <c r="J263" s="277">
        <f>'Resultater - Vestdanmark'!J263+'Resultater - Østdanmark'!J263</f>
        <v>445.39227584991136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510.210287416668</v>
      </c>
      <c r="I264" s="276">
        <f>'Resultater - Vestdanmark'!I264+'Resultater - Østdanmark'!I264</f>
        <v>375.3417261147618</v>
      </c>
      <c r="J264" s="277">
        <f>'Resultater - Vestdanmark'!J264+'Resultater - Østdanmark'!J264</f>
        <v>740.95640364938572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-336.38693899820993</v>
      </c>
      <c r="I265" s="276">
        <f>'Resultater - Vestdanmark'!I265+'Resultater - Østdanmark'!I265</f>
        <v>-230.84579893499338</v>
      </c>
      <c r="J265" s="277">
        <f>'Resultater - Vestdanmark'!J265+'Resultater - Østdanmark'!J265</f>
        <v>-424.80021635741934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322.23661087879924</v>
      </c>
      <c r="I266" s="276">
        <f>'Resultater - Vestdanmark'!I266+'Resultater - Østdanmark'!I266</f>
        <v>221.13512523985614</v>
      </c>
      <c r="J266" s="277">
        <f>'Resultater - Vestdanmark'!J266+'Resultater - Østdanmark'!J266</f>
        <v>406.93072812890608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36988.210710055057</v>
      </c>
      <c r="I267" s="276">
        <f>'Resultater - Vestdanmark'!I267+'Resultater - Østdanmark'!I267</f>
        <v>33976.167817858295</v>
      </c>
      <c r="J267" s="277">
        <f>'Resultater - Vestdanmark'!J267+'Resultater - Østdanmark'!J267</f>
        <v>26911.575227363632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-609935.15894083725</v>
      </c>
      <c r="I268" s="276">
        <f>'Resultater - Vestdanmark'!I268+'Resultater - Østdanmark'!I268</f>
        <v>-522636.76037877763</v>
      </c>
      <c r="J268" s="277">
        <f>'Resultater - Vestdanmark'!J268+'Resultater - Østdanmark'!J268</f>
        <v>-385888.31175612315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8563.900760438235</v>
      </c>
      <c r="I269" s="276">
        <f>'Resultater - Vestdanmark'!I269+'Resultater - Østdanmark'!I269</f>
        <v>7338.1724008386527</v>
      </c>
      <c r="J269" s="277">
        <f>'Resultater - Vestdanmark'!J269+'Resultater - Østdanmark'!J269</f>
        <v>5418.1320064106048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1136.9217413253709</v>
      </c>
      <c r="I270" s="276">
        <f>'Resultater - Vestdanmark'!I270+'Resultater - Østdanmark'!I270</f>
        <v>412.7486381075089</v>
      </c>
      <c r="J270" s="277">
        <f>'Resultater - Vestdanmark'!J270+'Resultater - Østdanmark'!J270</f>
        <v>343.4363801770902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-15623.188435959159</v>
      </c>
      <c r="I271" s="276">
        <f>'Resultater - Vestdanmark'!I271+'Resultater - Østdanmark'!I271</f>
        <v>-5290.9049912989567</v>
      </c>
      <c r="J271" s="277">
        <f>'Resultater - Vestdanmark'!J271+'Resultater - Østdanmark'!J271</f>
        <v>-4103.8129448791096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1189.7832867844982</v>
      </c>
      <c r="I272" s="276">
        <f>'Resultater - Vestdanmark'!I272+'Resultater - Østdanmark'!I272</f>
        <v>402.92865674737715</v>
      </c>
      <c r="J272" s="277">
        <f>'Resultater - Vestdanmark'!J272+'Resultater - Østdanmark'!J272</f>
        <v>312.52570971165375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769.15923740920027</v>
      </c>
      <c r="I273" s="276">
        <f>'Resultater - Vestdanmark'!I273+'Resultater - Østdanmark'!I273</f>
        <v>266.4255765383308</v>
      </c>
      <c r="J273" s="277">
        <f>'Resultater - Vestdanmark'!J273+'Resultater - Østdanmark'!J273</f>
        <v>221.68513023436185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-9059.5905466336899</v>
      </c>
      <c r="I274" s="276">
        <f>'Resultater - Vestdanmark'!I274+'Resultater - Østdanmark'!I274</f>
        <v>-2927.3418303615626</v>
      </c>
      <c r="J274" s="277">
        <f>'Resultater - Vestdanmark'!J274+'Resultater - Østdanmark'!J274</f>
        <v>-2270.5498052374855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1844.3834346765289</v>
      </c>
      <c r="I275" s="276">
        <f>'Resultater - Vestdanmark'!I275+'Resultater - Østdanmark'!I275</f>
        <v>595.95858684371956</v>
      </c>
      <c r="J275" s="277">
        <f>'Resultater - Vestdanmark'!J275+'Resultater - Østdanmark'!J275</f>
        <v>462.24654710737474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2695.7401202602077</v>
      </c>
      <c r="I276" s="276">
        <f>'Resultater - Vestdanmark'!I276+'Resultater - Østdanmark'!I276</f>
        <v>5171.6125542153131</v>
      </c>
      <c r="J276" s="277">
        <f>'Resultater - Vestdanmark'!J276+'Resultater - Østdanmark'!J276</f>
        <v>9718.4245424684377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-44452.722831145948</v>
      </c>
      <c r="I277" s="276">
        <f>'Resultater - Vestdanmark'!I277+'Resultater - Østdanmark'!I277</f>
        <v>-79552.080321684844</v>
      </c>
      <c r="J277" s="277">
        <f>'Resultater - Vestdanmark'!J277+'Resultater - Østdanmark'!J277</f>
        <v>-139353.65759672059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1094.9933194057135</v>
      </c>
      <c r="I278" s="276">
        <f>'Resultater - Vestdanmark'!I278+'Resultater - Østdanmark'!I278</f>
        <v>1959.5874211790333</v>
      </c>
      <c r="J278" s="277">
        <f>'Resultater - Vestdanmark'!J278+'Resultater - Østdanmark'!J278</f>
        <v>3432.6654113580344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82.860065216772895</v>
      </c>
      <c r="I279" s="276">
        <f>'Resultater - Vestdanmark'!I279+'Resultater - Østdanmark'!I279</f>
        <v>62.825685639865092</v>
      </c>
      <c r="J279" s="277">
        <f>'Resultater - Vestdanmark'!J279+'Resultater - Østdanmark'!J279</f>
        <v>124.0232322965557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-1138.6345828767378</v>
      </c>
      <c r="I280" s="276">
        <f>'Resultater - Vestdanmark'!I280+'Resultater - Østdanmark'!I280</f>
        <v>-805.34422901514154</v>
      </c>
      <c r="J280" s="277">
        <f>'Resultater - Vestdanmark'!J280+'Resultater - Østdanmark'!J280</f>
        <v>-1481.9866954744543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152.12749271780797</v>
      </c>
      <c r="I281" s="276">
        <f>'Resultater - Vestdanmark'!I281+'Resultater - Østdanmark'!I281</f>
        <v>107.59817080673756</v>
      </c>
      <c r="J281" s="277">
        <f>'Resultater - Vestdanmark'!J281+'Resultater - Østdanmark'!J281</f>
        <v>198.00111784246093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56.05714294768709</v>
      </c>
      <c r="I282" s="276">
        <f>'Resultater - Vestdanmark'!I282+'Resultater - Østdanmark'!I282</f>
        <v>40.553421556431957</v>
      </c>
      <c r="J282" s="277">
        <f>'Resultater - Vestdanmark'!J282+'Resultater - Østdanmark'!J282</f>
        <v>80.055893873477686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-660.27259066769261</v>
      </c>
      <c r="I283" s="276">
        <f>'Resultater - Vestdanmark'!I283+'Resultater - Østdanmark'!I283</f>
        <v>-445.57932023223071</v>
      </c>
      <c r="J283" s="277">
        <f>'Resultater - Vestdanmark'!J283+'Resultater - Østdanmark'!J283</f>
        <v>-819.9507745529545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235.82565887767433</v>
      </c>
      <c r="I284" s="276">
        <f>'Resultater - Vestdanmark'!I284+'Resultater - Østdanmark'!I284</f>
        <v>159.14493235251845</v>
      </c>
      <c r="J284" s="277">
        <f>'Resultater - Vestdanmark'!J284+'Resultater - Østdanmark'!J284</f>
        <v>292.8569720888633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1770707.1441729828</v>
      </c>
      <c r="I285" s="276">
        <f>'Resultater - Vestdanmark'!I285+'Resultater - Østdanmark'!I285</f>
        <v>1642701.6170237337</v>
      </c>
      <c r="J285" s="277">
        <f>'Resultater - Vestdanmark'!J285+'Resultater - Østdanmark'!J285</f>
        <v>1301138.1501185654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-8443698.8320951127</v>
      </c>
      <c r="I286" s="276">
        <f>'Resultater - Vestdanmark'!I286+'Resultater - Østdanmark'!I286</f>
        <v>-7307181.4938607328</v>
      </c>
      <c r="J286" s="277">
        <f>'Resultater - Vestdanmark'!J286+'Resultater - Østdanmark'!J286</f>
        <v>-5395249.9022799395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135120.63677615169</v>
      </c>
      <c r="I287" s="276">
        <f>'Resultater - Vestdanmark'!I287+'Resultater - Østdanmark'!I287</f>
        <v>116933.47147062857</v>
      </c>
      <c r="J287" s="277">
        <f>'Resultater - Vestdanmark'!J287+'Resultater - Østdanmark'!J287</f>
        <v>86337.707781750476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59290.041004910265</v>
      </c>
      <c r="I288" s="276">
        <f>'Resultater - Vestdanmark'!I288+'Resultater - Østdanmark'!I288</f>
        <v>21518.942650629775</v>
      </c>
      <c r="J288" s="277">
        <f>'Resultater - Vestdanmark'!J288+'Resultater - Østdanmark'!J288</f>
        <v>17905.29898064911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-207278.07918935828</v>
      </c>
      <c r="I289" s="276">
        <f>'Resultater - Vestdanmark'!I289+'Resultater - Østdanmark'!I289</f>
        <v>-70177.479747888996</v>
      </c>
      <c r="J289" s="277">
        <f>'Resultater - Vestdanmark'!J289+'Resultater - Østdanmark'!J289</f>
        <v>-54432.134068178268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26517.821531805323</v>
      </c>
      <c r="I290" s="276">
        <f>'Resultater - Vestdanmark'!I290+'Resultater - Østdanmark'!I290</f>
        <v>8978.0544608691307</v>
      </c>
      <c r="J290" s="277">
        <f>'Resultater - Vestdanmark'!J290+'Resultater - Østdanmark'!J290</f>
        <v>6963.6964143063988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39797.443271560704</v>
      </c>
      <c r="I291" s="276">
        <f>'Resultater - Vestdanmark'!I291+'Resultater - Østdanmark'!I291</f>
        <v>13719.264280981672</v>
      </c>
      <c r="J291" s="277">
        <f>'Resultater - Vestdanmark'!J291+'Resultater - Østdanmark'!J291</f>
        <v>11415.408867141883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-102957.62524429863</v>
      </c>
      <c r="I292" s="276">
        <f>'Resultater - Vestdanmark'!I292+'Resultater - Østdanmark'!I292</f>
        <v>-33108.490555538512</v>
      </c>
      <c r="J292" s="277">
        <f>'Resultater - Vestdanmark'!J292+'Resultater - Østdanmark'!J292</f>
        <v>-25680.115660869073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39069.861329482206</v>
      </c>
      <c r="I293" s="276">
        <f>'Resultater - Vestdanmark'!I293+'Resultater - Østdanmark'!I293</f>
        <v>12563.849756285948</v>
      </c>
      <c r="J293" s="277">
        <f>'Resultater - Vestdanmark'!J293+'Resultater - Østdanmark'!J293</f>
        <v>9744.9660033876789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129051.01918003485</v>
      </c>
      <c r="I294" s="276">
        <f>'Resultater - Vestdanmark'!I294+'Resultater - Østdanmark'!I294</f>
        <v>250040.45044080695</v>
      </c>
      <c r="J294" s="277">
        <f>'Resultater - Vestdanmark'!J294+'Resultater - Østdanmark'!J294</f>
        <v>469872.64121190616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-615385.74773192033</v>
      </c>
      <c r="I295" s="276">
        <f>'Resultater - Vestdanmark'!I295+'Resultater - Østdanmark'!I295</f>
        <v>-1112247.6128610694</v>
      </c>
      <c r="J295" s="277">
        <f>'Resultater - Vestdanmark'!J295+'Resultater - Østdanmark'!J295</f>
        <v>-1948355.9999770555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17276.729229188404</v>
      </c>
      <c r="I296" s="276">
        <f>'Resultater - Vestdanmark'!I296+'Resultater - Østdanmark'!I296</f>
        <v>31225.943912472452</v>
      </c>
      <c r="J296" s="277">
        <f>'Resultater - Vestdanmark'!J296+'Resultater - Østdanmark'!J296</f>
        <v>54699.380311830013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4321.1212221563428</v>
      </c>
      <c r="I297" s="276">
        <f>'Resultater - Vestdanmark'!I297+'Resultater - Østdanmark'!I297</f>
        <v>3275.4616283400314</v>
      </c>
      <c r="J297" s="277">
        <f>'Resultater - Vestdanmark'!J297+'Resultater - Østdanmark'!J297</f>
        <v>6466.0390773722183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-15106.646777302138</v>
      </c>
      <c r="I298" s="276">
        <f>'Resultater - Vestdanmark'!I298+'Resultater - Østdanmark'!I298</f>
        <v>-10681.92084619422</v>
      </c>
      <c r="J298" s="277">
        <f>'Resultater - Vestdanmark'!J298+'Resultater - Østdanmark'!J298</f>
        <v>-19656.767883629334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3390.6088165638589</v>
      </c>
      <c r="I299" s="276">
        <f>'Resultater - Vestdanmark'!I299+'Resultater - Østdanmark'!I299</f>
        <v>2397.501942877328</v>
      </c>
      <c r="J299" s="277">
        <f>'Resultater - Vestdanmark'!J299+'Resultater - Østdanmark'!J299</f>
        <v>4411.8599894400595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2900.4799759551861</v>
      </c>
      <c r="I300" s="276">
        <f>'Resultater - Vestdanmark'!I300+'Resultater - Østdanmark'!I300</f>
        <v>2088.2496157447736</v>
      </c>
      <c r="J300" s="277">
        <f>'Resultater - Vestdanmark'!J300+'Resultater - Østdanmark'!J300</f>
        <v>4122.381865775742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-7503.6611863552844</v>
      </c>
      <c r="I301" s="276">
        <f>'Resultater - Vestdanmark'!I301+'Resultater - Østdanmark'!I301</f>
        <v>-5039.5408430418838</v>
      </c>
      <c r="J301" s="277">
        <f>'Resultater - Vestdanmark'!J301+'Resultater - Østdanmark'!J301</f>
        <v>-9273.7145330034637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4995.5316324451924</v>
      </c>
      <c r="I302" s="276">
        <f>'Resultater - Vestdanmark'!I302+'Resultater - Østdanmark'!I302</f>
        <v>3355.053629046311</v>
      </c>
      <c r="J302" s="277">
        <f>'Resultater - Vestdanmark'!J302+'Resultater - Østdanmark'!J302</f>
        <v>6173.93738194458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6824552.1371091604</v>
      </c>
      <c r="I303" s="276">
        <f>'Resultater - Vestdanmark'!I303+'Resultater - Østdanmark'!I303</f>
        <v>5966178.342712881</v>
      </c>
      <c r="J303" s="277">
        <f>'Resultater - Vestdanmark'!J303+'Resultater - Østdanmark'!J303</f>
        <v>4725643.5202028118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-24532202.694618411</v>
      </c>
      <c r="I304" s="276">
        <f>'Resultater - Vestdanmark'!I304+'Resultater - Østdanmark'!I304</f>
        <v>-20006164.446402721</v>
      </c>
      <c r="J304" s="277">
        <f>'Resultater - Vestdanmark'!J304+'Resultater - Østdanmark'!J304</f>
        <v>-14771530.837866429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348617.06930478453</v>
      </c>
      <c r="I305" s="276">
        <f>'Resultater - Vestdanmark'!I305+'Resultater - Østdanmark'!I305</f>
        <v>284299.39635483595</v>
      </c>
      <c r="J305" s="277">
        <f>'Resultater - Vestdanmark'!J305+'Resultater - Østdanmark'!J305</f>
        <v>209912.16540746679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263505.94367690803</v>
      </c>
      <c r="I306" s="276">
        <f>'Resultater - Vestdanmark'!I306+'Resultater - Østdanmark'!I306</f>
        <v>95619.342798436875</v>
      </c>
      <c r="J306" s="277">
        <f>'Resultater - Vestdanmark'!J306+'Resultater - Østdanmark'!J306</f>
        <v>79562.130395337226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-641349.74683588033</v>
      </c>
      <c r="I307" s="276">
        <f>'Resultater - Vestdanmark'!I307+'Resultater - Østdanmark'!I307</f>
        <v>-217097.8292756895</v>
      </c>
      <c r="J307" s="277">
        <f>'Resultater - Vestdanmark'!J307+'Resultater - Østdanmark'!J307</f>
        <v>-168388.75080007812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78894.37795433517</v>
      </c>
      <c r="I308" s="276">
        <f>'Resultater - Vestdanmark'!I308+'Resultater - Østdanmark'!I308</f>
        <v>26705.862566318185</v>
      </c>
      <c r="J308" s="277">
        <f>'Resultater - Vestdanmark'!J308+'Resultater - Østdanmark'!J308</f>
        <v>20714.011059365555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104547.38485235954</v>
      </c>
      <c r="I309" s="276">
        <f>'Resultater - Vestdanmark'!I309+'Resultater - Østdanmark'!I309</f>
        <v>35913.247638373672</v>
      </c>
      <c r="J309" s="277">
        <f>'Resultater - Vestdanmark'!J309+'Resultater - Østdanmark'!J309</f>
        <v>29882.38998408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-167775.11450454078</v>
      </c>
      <c r="I310" s="276">
        <f>'Resultater - Vestdanmark'!I310+'Resultater - Østdanmark'!I310</f>
        <v>-53761.857434551603</v>
      </c>
      <c r="J310" s="277">
        <f>'Resultater - Vestdanmark'!J310+'Resultater - Østdanmark'!J310</f>
        <v>-41699.597109282447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68706.752116598291</v>
      </c>
      <c r="I311" s="276">
        <f>'Resultater - Vestdanmark'!I311+'Resultater - Østdanmark'!I311</f>
        <v>22016.391542880829</v>
      </c>
      <c r="J311" s="277">
        <f>'Resultater - Vestdanmark'!J311+'Resultater - Østdanmark'!J311</f>
        <v>17076.69156066615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724255.98356433213</v>
      </c>
      <c r="I312" s="276">
        <f>'Resultater - Vestdanmark'!I312+'Resultater - Østdanmark'!I312</f>
        <v>1322364.1170096344</v>
      </c>
      <c r="J312" s="277">
        <f>'Resultater - Vestdanmark'!J312+'Resultater - Østdanmark'!J312</f>
        <v>2484968.8088778253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-2603481.405758102</v>
      </c>
      <c r="I313" s="276">
        <f>'Resultater - Vestdanmark'!I313+'Resultater - Østdanmark'!I313</f>
        <v>-4434234.5238857409</v>
      </c>
      <c r="J313" s="277">
        <f>'Resultater - Vestdanmark'!J313+'Resultater - Østdanmark'!J313</f>
        <v>-7767575.6189708617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44574.706386485894</v>
      </c>
      <c r="I314" s="276">
        <f>'Resultater - Vestdanmark'!I314+'Resultater - Østdanmark'!I314</f>
        <v>75919.382989974285</v>
      </c>
      <c r="J314" s="277">
        <f>'Resultater - Vestdanmark'!J314+'Resultater - Østdanmark'!J314</f>
        <v>132990.15763457411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27964.583254485577</v>
      </c>
      <c r="I315" s="276">
        <f>'Resultater - Vestdanmark'!I315+'Resultater - Østdanmark'!I315</f>
        <v>21193.397271326179</v>
      </c>
      <c r="J315" s="277">
        <f>'Resultater - Vestdanmark'!J315+'Resultater - Østdanmark'!J315</f>
        <v>41837.563827031569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-68063.278347246393</v>
      </c>
      <c r="I316" s="276">
        <f>'Resultater - Vestdanmark'!I316+'Resultater - Østdanmark'!I316</f>
        <v>-48118.303346647233</v>
      </c>
      <c r="J316" s="277">
        <f>'Resultater - Vestdanmark'!J316+'Resultater - Østdanmark'!J316</f>
        <v>-88546.838481404673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10087.55463371877</v>
      </c>
      <c r="I317" s="276">
        <f>'Resultater - Vestdanmark'!I317+'Resultater - Østdanmark'!I317</f>
        <v>7131.5403206815135</v>
      </c>
      <c r="J317" s="277">
        <f>'Resultater - Vestdanmark'!J317+'Resultater - Østdanmark'!J317</f>
        <v>13123.391827634141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11095.097161555068</v>
      </c>
      <c r="I318" s="276">
        <f>'Resultater - Vestdanmark'!I318+'Resultater - Østdanmark'!I318</f>
        <v>7959.9346976061042</v>
      </c>
      <c r="J318" s="277">
        <f>'Resultater - Vestdanmark'!J318+'Resultater - Østdanmark'!J318</f>
        <v>15713.586250783264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-17805.143565739752</v>
      </c>
      <c r="I319" s="276">
        <f>'Resultater - Vestdanmark'!I319+'Resultater - Østdanmark'!I319</f>
        <v>-11915.961449940849</v>
      </c>
      <c r="J319" s="277">
        <f>'Resultater - Vestdanmark'!J319+'Resultater - Østdanmark'!J319</f>
        <v>-21927.637519914246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8784.9493671490909</v>
      </c>
      <c r="I320" s="276">
        <f>'Resultater - Vestdanmark'!I320+'Resultater - Østdanmark'!I320</f>
        <v>5879.2627878640542</v>
      </c>
      <c r="J320" s="277">
        <f>'Resultater - Vestdanmark'!J320+'Resultater - Østdanmark'!J320</f>
        <v>10818.962770078733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613620.0150142312</v>
      </c>
      <c r="I321" s="276">
        <f>'Resultater - Vestdanmark'!I321+'Resultater - Østdanmark'!I321</f>
        <v>442336.29590996419</v>
      </c>
      <c r="J321" s="277">
        <f>'Resultater - Vestdanmark'!J321+'Resultater - Østdanmark'!J321</f>
        <v>350362.24706064432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327737.51811917598</v>
      </c>
      <c r="I322" s="276">
        <f>'Resultater - Vestdanmark'!I322+'Resultater - Østdanmark'!I322</f>
        <v>316031.12783343426</v>
      </c>
      <c r="J322" s="277">
        <f>'Resultater - Vestdanmark'!J322+'Resultater - Østdanmark'!J322</f>
        <v>233341.25654238911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-24405341.506247833</v>
      </c>
      <c r="I323" s="276">
        <f>'Resultater - Vestdanmark'!I323+'Resultater - Østdanmark'!I323</f>
        <v>-16411306.772439733</v>
      </c>
      <c r="J323" s="277">
        <f>'Resultater - Vestdanmark'!J323+'Resultater - Østdanmark'!J323</f>
        <v>-12117271.390437305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317087.35725322756</v>
      </c>
      <c r="I324" s="276">
        <f>'Resultater - Vestdanmark'!I324+'Resultater - Østdanmark'!I324</f>
        <v>213224.5472661269</v>
      </c>
      <c r="J324" s="277">
        <f>'Resultater - Vestdanmark'!J324+'Resultater - Østdanmark'!J324</f>
        <v>157434.12405560008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13566.838006498305</v>
      </c>
      <c r="I325" s="276">
        <f>'Resultater - Vestdanmark'!I325+'Resultater - Østdanmark'!I325</f>
        <v>4924.5879034408163</v>
      </c>
      <c r="J325" s="277">
        <f>'Resultater - Vestdanmark'!J325+'Resultater - Østdanmark'!J325</f>
        <v>4097.6092645060889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7246.116013460778</v>
      </c>
      <c r="I326" s="276">
        <f>'Resultater - Vestdanmark'!I326+'Resultater - Østdanmark'!I326</f>
        <v>3518.4159284004854</v>
      </c>
      <c r="J326" s="277">
        <f>'Resultater - Vestdanmark'!J326+'Resultater - Østdanmark'!J326</f>
        <v>2729.0077701610549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-372574.14979966939</v>
      </c>
      <c r="I327" s="276">
        <f>'Resultater - Vestdanmark'!I327+'Resultater - Østdanmark'!I327</f>
        <v>-126156.37119779622</v>
      </c>
      <c r="J327" s="277">
        <f>'Resultater - Vestdanmark'!J327+'Resultater - Østdanmark'!J327</f>
        <v>-97851.341131980051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41090.289191876247</v>
      </c>
      <c r="I328" s="276">
        <f>'Resultater - Vestdanmark'!I328+'Resultater - Østdanmark'!I328</f>
        <v>13913.476763491053</v>
      </c>
      <c r="J328" s="277">
        <f>'Resultater - Vestdanmark'!J328+'Resultater - Østdanmark'!J328</f>
        <v>10791.784419525406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6570.1536799285823</v>
      </c>
      <c r="I329" s="276">
        <f>'Resultater - Vestdanmark'!I329+'Resultater - Østdanmark'!I329</f>
        <v>2269.8272371259291</v>
      </c>
      <c r="J329" s="277">
        <f>'Resultater - Vestdanmark'!J329+'Resultater - Østdanmark'!J329</f>
        <v>1888.6585635271003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3509.1519312182554</v>
      </c>
      <c r="I330" s="276">
        <f>'Resultater - Vestdanmark'!I330+'Resultater - Østdanmark'!I330</f>
        <v>1621.6983963756984</v>
      </c>
      <c r="J330" s="277">
        <f>'Resultater - Vestdanmark'!J330+'Resultater - Østdanmark'!J330</f>
        <v>1257.8466033090485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-122657.08980386153</v>
      </c>
      <c r="I331" s="276">
        <f>'Resultater - Vestdanmark'!I331+'Resultater - Østdanmark'!I331</f>
        <v>-39528.937940595591</v>
      </c>
      <c r="J331" s="277">
        <f>'Resultater - Vestdanmark'!J331+'Resultater - Østdanmark'!J331</f>
        <v>-30660.04161569968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43678.396988286549</v>
      </c>
      <c r="I332" s="276">
        <f>'Resultater - Vestdanmark'!I332+'Resultater - Østdanmark'!I332</f>
        <v>14076.321610561481</v>
      </c>
      <c r="J332" s="277">
        <f>'Resultater - Vestdanmark'!J332+'Resultater - Østdanmark'!J332</f>
        <v>10918.092639482766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43152.111373008069</v>
      </c>
      <c r="I333" s="276">
        <f>'Resultater - Vestdanmark'!I333+'Resultater - Østdanmark'!I333</f>
        <v>64966.878226159723</v>
      </c>
      <c r="J333" s="277">
        <f>'Resultater - Vestdanmark'!J333+'Resultater - Østdanmark'!J333</f>
        <v>122084.88110464557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23047.758444880474</v>
      </c>
      <c r="I334" s="276">
        <f>'Resultater - Vestdanmark'!I334+'Resultater - Østdanmark'!I334</f>
        <v>46416.167941619147</v>
      </c>
      <c r="J334" s="277">
        <f>'Resultater - Vestdanmark'!J334+'Resultater - Østdanmark'!J334</f>
        <v>81308.530815693943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-1716277.1568810029</v>
      </c>
      <c r="I335" s="276">
        <f>'Resultater - Vestdanmark'!I335+'Resultater - Østdanmark'!I335</f>
        <v>-2410363.7401581476</v>
      </c>
      <c r="J335" s="277">
        <f>'Resultater - Vestdanmark'!J335+'Resultater - Østdanmark'!J335</f>
        <v>-4222303.2002594816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40543.269658642035</v>
      </c>
      <c r="I336" s="276">
        <f>'Resultater - Vestdanmark'!I336+'Resultater - Østdanmark'!I336</f>
        <v>56939.537242480699</v>
      </c>
      <c r="J336" s="277">
        <f>'Resultater - Vestdanmark'!J336+'Resultater - Østdanmark'!J336</f>
        <v>99742.61822593055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954.07204835454411</v>
      </c>
      <c r="I337" s="276">
        <f>'Resultater - Vestdanmark'!I337+'Resultater - Østdanmark'!I337</f>
        <v>723.28476228407953</v>
      </c>
      <c r="J337" s="277">
        <f>'Resultater - Vestdanmark'!J337+'Resultater - Østdanmark'!J337</f>
        <v>1427.8254694031878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509.57465138640373</v>
      </c>
      <c r="I338" s="276">
        <f>'Resultater - Vestdanmark'!I338+'Resultater - Østdanmark'!I338</f>
        <v>516.75727559083623</v>
      </c>
      <c r="J338" s="277">
        <f>'Resultater - Vestdanmark'!J338+'Resultater - Østdanmark'!J338</f>
        <v>950.93176262252291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-26200.842237009252</v>
      </c>
      <c r="I339" s="276">
        <f>'Resultater - Vestdanmark'!I339+'Resultater - Østdanmark'!I339</f>
        <v>-18528.856168587372</v>
      </c>
      <c r="J339" s="277">
        <f>'Resultater - Vestdanmark'!J339+'Resultater - Østdanmark'!J339</f>
        <v>-34096.622704786263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5253.8665984320505</v>
      </c>
      <c r="I340" s="276">
        <f>'Resultater - Vestdanmark'!I340+'Resultater - Østdanmark'!I340</f>
        <v>3715.4583677385194</v>
      </c>
      <c r="J340" s="277">
        <f>'Resultater - Vestdanmark'!J340+'Resultater - Østdanmark'!J340</f>
        <v>6837.1507117041674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462.03838922607775</v>
      </c>
      <c r="I341" s="276">
        <f>'Resultater - Vestdanmark'!I341+'Resultater - Østdanmark'!I341</f>
        <v>333.37438295770426</v>
      </c>
      <c r="J341" s="277">
        <f>'Resultater - Vestdanmark'!J341+'Resultater - Østdanmark'!J341</f>
        <v>658.10930860814494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246.77701387759424</v>
      </c>
      <c r="I342" s="276">
        <f>'Resultater - Vestdanmark'!I342+'Resultater - Østdanmark'!I342</f>
        <v>238.18231334636721</v>
      </c>
      <c r="J342" s="277">
        <f>'Resultater - Vestdanmark'!J342+'Resultater - Østdanmark'!J342</f>
        <v>438.30079953302459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-8625.7166819803479</v>
      </c>
      <c r="I343" s="276">
        <f>'Resultater - Vestdanmark'!I343+'Resultater - Østdanmark'!I343</f>
        <v>-5805.6996935173947</v>
      </c>
      <c r="J343" s="277">
        <f>'Resultater - Vestdanmark'!J343+'Resultater - Østdanmark'!J343</f>
        <v>-10683.592672210147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5584.7859804107484</v>
      </c>
      <c r="I344" s="276">
        <f>'Resultater - Vestdanmark'!I344+'Resultater - Østdanmark'!I344</f>
        <v>3758.9444970486684</v>
      </c>
      <c r="J344" s="277">
        <f>'Resultater - Vestdanmark'!J344+'Resultater - Østdanmark'!J344</f>
        <v>6917.1734681273856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1241441.5414695307</v>
      </c>
      <c r="I345" s="276">
        <f>'Resultater - Vestdanmark'!I345+'Resultater - Østdanmark'!I345</f>
        <v>1137779.8675883613</v>
      </c>
      <c r="J345" s="277">
        <f>'Resultater - Vestdanmark'!J345+'Resultater - Østdanmark'!J345</f>
        <v>901203.71028689283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206239.95017814124</v>
      </c>
      <c r="I346" s="276">
        <f>'Resultater - Vestdanmark'!I346+'Resultater - Østdanmark'!I346</f>
        <v>252845.60365803316</v>
      </c>
      <c r="J346" s="277">
        <f>'Resultater - Vestdanmark'!J346+'Resultater - Østdanmark'!J346</f>
        <v>186688.2900847673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-13032265.787648994</v>
      </c>
      <c r="I347" s="276">
        <f>'Resultater - Vestdanmark'!I347+'Resultater - Østdanmark'!I347</f>
        <v>-11141845.049560802</v>
      </c>
      <c r="J347" s="277">
        <f>'Resultater - Vestdanmark'!J347+'Resultater - Østdanmark'!J347</f>
        <v>-8226569.774593154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197542.59544633992</v>
      </c>
      <c r="I348" s="276">
        <f>'Resultater - Vestdanmark'!I348+'Resultater - Østdanmark'!I348</f>
        <v>168887.66888388107</v>
      </c>
      <c r="J348" s="277">
        <f>'Resultater - Vestdanmark'!J348+'Resultater - Østdanmark'!J348</f>
        <v>124698.03573479061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87728.525972100848</v>
      </c>
      <c r="I349" s="276">
        <f>'Resultater - Vestdanmark'!I349+'Resultater - Østdanmark'!I349</f>
        <v>31851.145962635987</v>
      </c>
      <c r="J349" s="277">
        <f>'Resultater - Vestdanmark'!J349+'Resultater - Østdanmark'!J349</f>
        <v>26502.430932432526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14574.288213579908</v>
      </c>
      <c r="I350" s="276">
        <f>'Resultater - Vestdanmark'!I350+'Resultater - Østdanmark'!I350</f>
        <v>7078.1901293374613</v>
      </c>
      <c r="J350" s="277">
        <f>'Resultater - Vestdanmark'!J350+'Resultater - Østdanmark'!J350</f>
        <v>5490.0944785174106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-690710.01096458826</v>
      </c>
      <c r="I351" s="276">
        <f>'Resultater - Vestdanmark'!I351+'Resultater - Østdanmark'!I351</f>
        <v>-233929.60915113526</v>
      </c>
      <c r="J351" s="277">
        <f>'Resultater - Vestdanmark'!J351+'Resultater - Østdanmark'!J351</f>
        <v>-181444.07427532569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81819.432532653533</v>
      </c>
      <c r="I352" s="276">
        <f>'Resultater - Vestdanmark'!I352+'Resultater - Østdanmark'!I352</f>
        <v>27710.598615187293</v>
      </c>
      <c r="J352" s="277">
        <f>'Resultater - Vestdanmark'!J352+'Resultater - Østdanmark'!J352</f>
        <v>21493.319856313625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76654.605084511393</v>
      </c>
      <c r="I353" s="276">
        <f>'Resultater - Vestdanmark'!I353+'Resultater - Østdanmark'!I353</f>
        <v>26583.704998425925</v>
      </c>
      <c r="J353" s="277">
        <f>'Resultater - Vestdanmark'!J353+'Resultater - Østdanmark'!J353</f>
        <v>22119.543405923894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12734.584275986817</v>
      </c>
      <c r="I354" s="276">
        <f>'Resultater - Vestdanmark'!I354+'Resultater - Østdanmark'!I354</f>
        <v>5907.6216140483539</v>
      </c>
      <c r="J354" s="277">
        <f>'Resultater - Vestdanmark'!J354+'Resultater - Østdanmark'!J354</f>
        <v>4582.1601584320306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-459826.35229782818</v>
      </c>
      <c r="I355" s="276">
        <f>'Resultater - Vestdanmark'!I355+'Resultater - Østdanmark'!I355</f>
        <v>-148756.62952950364</v>
      </c>
      <c r="J355" s="277">
        <f>'Resultater - Vestdanmark'!J355+'Resultater - Østdanmark'!J355</f>
        <v>-115380.9004137661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156922.23534513626</v>
      </c>
      <c r="I356" s="276">
        <f>'Resultater - Vestdanmark'!I356+'Resultater - Østdanmark'!I356</f>
        <v>50765.300230245783</v>
      </c>
      <c r="J356" s="277">
        <f>'Resultater - Vestdanmark'!J356+'Resultater - Østdanmark'!J356</f>
        <v>39375.361413248538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90477.579370643434</v>
      </c>
      <c r="I357" s="276">
        <f>'Resultater - Vestdanmark'!I357+'Resultater - Østdanmark'!I357</f>
        <v>173184.82410075166</v>
      </c>
      <c r="J357" s="277">
        <f>'Resultater - Vestdanmark'!J357+'Resultater - Østdanmark'!J357</f>
        <v>325446.58504086209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15030.986831286333</v>
      </c>
      <c r="I358" s="276">
        <f>'Resultater - Vestdanmark'!I358+'Resultater - Østdanmark'!I358</f>
        <v>38486.373894960954</v>
      </c>
      <c r="J358" s="277">
        <f>'Resultater - Vestdanmark'!J358+'Resultater - Østdanmark'!J358</f>
        <v>67417.68346233695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-949805.38574983133</v>
      </c>
      <c r="I359" s="276">
        <f>'Resultater - Vestdanmark'!I359+'Resultater - Østdanmark'!I359</f>
        <v>-1695933.0447250712</v>
      </c>
      <c r="J359" s="277">
        <f>'Resultater - Vestdanmark'!J359+'Resultater - Østdanmark'!J359</f>
        <v>-2970814.4886458702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25258.095389318682</v>
      </c>
      <c r="I360" s="276">
        <f>'Resultater - Vestdanmark'!I360+'Resultater - Østdanmark'!I360</f>
        <v>45099.805981565645</v>
      </c>
      <c r="J360" s="277">
        <f>'Resultater - Vestdanmark'!J360+'Resultater - Østdanmark'!J360</f>
        <v>79002.621867582639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6393.7482407061234</v>
      </c>
      <c r="I361" s="276">
        <f>'Resultater - Vestdanmark'!I361+'Resultater - Østdanmark'!I361</f>
        <v>4848.1567200151649</v>
      </c>
      <c r="J361" s="277">
        <f>'Resultater - Vestdanmark'!J361+'Resultater - Østdanmark'!J361</f>
        <v>9570.6725835557409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1062.1896195401109</v>
      </c>
      <c r="I362" s="276">
        <f>'Resultater - Vestdanmark'!I362+'Resultater - Østdanmark'!I362</f>
        <v>1077.3921629491169</v>
      </c>
      <c r="J362" s="277">
        <f>'Resultater - Vestdanmark'!J362+'Resultater - Østdanmark'!J362</f>
        <v>1982.606683916546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-50339.679921755182</v>
      </c>
      <c r="I363" s="276">
        <f>'Resultater - Vestdanmark'!I363+'Resultater - Østdanmark'!I363</f>
        <v>-35607.114668559239</v>
      </c>
      <c r="J363" s="277">
        <f>'Resultater - Vestdanmark'!J363+'Resultater - Østdanmark'!J363</f>
        <v>-65523.869547770679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10461.556541465279</v>
      </c>
      <c r="I364" s="276">
        <f>'Resultater - Vestdanmark'!I364+'Resultater - Østdanmark'!I364</f>
        <v>7399.8452902873005</v>
      </c>
      <c r="J364" s="277">
        <f>'Resultater - Vestdanmark'!J364+'Resultater - Østdanmark'!J364</f>
        <v>13617.124049160968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5586.669113270872</v>
      </c>
      <c r="I365" s="276">
        <f>'Resultater - Vestdanmark'!I365+'Resultater - Østdanmark'!I365</f>
        <v>4046.3840196584615</v>
      </c>
      <c r="J365" s="277">
        <f>'Resultater - Vestdanmark'!J365+'Resultater - Østdanmark'!J365</f>
        <v>7987.9052670892561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928.11004070224612</v>
      </c>
      <c r="I366" s="276">
        <f>'Resultater - Vestdanmark'!I366+'Resultater - Østdanmark'!I366</f>
        <v>899.21648222810245</v>
      </c>
      <c r="J366" s="277">
        <f>'Resultater - Vestdanmark'!J366+'Resultater - Østdanmark'!J366</f>
        <v>1654.729511929406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-33512.633416062716</v>
      </c>
      <c r="I367" s="276">
        <f>'Resultater - Vestdanmark'!I367+'Resultater - Østdanmark'!I367</f>
        <v>-22642.684628876174</v>
      </c>
      <c r="J367" s="277">
        <f>'Resultater - Vestdanmark'!J367+'Resultater - Østdanmark'!J367</f>
        <v>-41666.850224846552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20064.314636026029</v>
      </c>
      <c r="I368" s="276">
        <f>'Resultater - Vestdanmark'!I368+'Resultater - Østdanmark'!I368</f>
        <v>13556.378663466345</v>
      </c>
      <c r="J368" s="277">
        <f>'Resultater - Vestdanmark'!J368+'Resultater - Østdanmark'!J368</f>
        <v>24946.317480463575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804386.70310434792</v>
      </c>
      <c r="I369" s="276">
        <f>'Resultater - Vestdanmark'!I369+'Resultater - Østdanmark'!I369</f>
        <v>747766.64747733285</v>
      </c>
      <c r="J369" s="277">
        <f>'Resultater - Vestdanmark'!J369+'Resultater - Østdanmark'!J369</f>
        <v>592285.11272900365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-1769650.7468295656</v>
      </c>
      <c r="I370" s="276">
        <f>'Resultater - Vestdanmark'!I370+'Resultater - Østdanmark'!I370</f>
        <v>-1534595.7317631829</v>
      </c>
      <c r="J370" s="277">
        <f>'Resultater - Vestdanmark'!J370+'Resultater - Østdanmark'!J370</f>
        <v>-1133067.1721772244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31623.568231448324</v>
      </c>
      <c r="I371" s="276">
        <f>'Resultater - Vestdanmark'!I371+'Resultater - Østdanmark'!I371</f>
        <v>27423.147148128344</v>
      </c>
      <c r="J371" s="277">
        <f>'Resultater - Vestdanmark'!J371+'Resultater - Østdanmark'!J371</f>
        <v>20247.852348467713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27393.452669089784</v>
      </c>
      <c r="I372" s="276">
        <f>'Resultater - Vestdanmark'!I372+'Resultater - Østdanmark'!I372</f>
        <v>9941.7809350770185</v>
      </c>
      <c r="J372" s="277">
        <f>'Resultater - Vestdanmark'!J372+'Resultater - Østdanmark'!J372</f>
        <v>8272.2726173286956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-45655.75444848297</v>
      </c>
      <c r="I373" s="276">
        <f>'Resultater - Vestdanmark'!I373+'Resultater - Østdanmark'!I373</f>
        <v>-15456.748966226705</v>
      </c>
      <c r="J373" s="277">
        <f>'Resultater - Vestdanmark'!J373+'Resultater - Østdanmark'!J373</f>
        <v>-11988.800894679271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4867.6770004669015</v>
      </c>
      <c r="I374" s="276">
        <f>'Resultater - Vestdanmark'!I374+'Resultater - Østdanmark'!I374</f>
        <v>1647.95133392856</v>
      </c>
      <c r="J374" s="277">
        <f>'Resultater - Vestdanmark'!J374+'Resultater - Østdanmark'!J374</f>
        <v>1278.2093097170664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18360.165184548681</v>
      </c>
      <c r="I375" s="276">
        <f>'Resultater - Vestdanmark'!I375+'Resultater - Østdanmark'!I375</f>
        <v>6323.4805490219205</v>
      </c>
      <c r="J375" s="277">
        <f>'Resultater - Vestdanmark'!J375+'Resultater - Østdanmark'!J375</f>
        <v>5261.587972364573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-23605.926665848303</v>
      </c>
      <c r="I376" s="276">
        <f>'Resultater - Vestdanmark'!I376+'Resultater - Østdanmark'!I376</f>
        <v>-7584.1317885390818</v>
      </c>
      <c r="J376" s="277">
        <f>'Resultater - Vestdanmark'!J376+'Resultater - Østdanmark'!J376</f>
        <v>-5882.5207144448641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7475.6545232364842</v>
      </c>
      <c r="I377" s="276">
        <f>'Resultater - Vestdanmark'!I377+'Resultater - Østdanmark'!I377</f>
        <v>2401.7845142185761</v>
      </c>
      <c r="J377" s="277">
        <f>'Resultater - Vestdanmark'!J377+'Resultater - Østdanmark'!J377</f>
        <v>1862.9089723723307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58624.558099339294</v>
      </c>
      <c r="I378" s="276">
        <f>'Resultater - Vestdanmark'!I378+'Resultater - Østdanmark'!I378</f>
        <v>113819.76338381058</v>
      </c>
      <c r="J378" s="277">
        <f>'Resultater - Vestdanmark'!J378+'Resultater - Østdanmark'!J378</f>
        <v>213888.56382629977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-128974.02781854646</v>
      </c>
      <c r="I379" s="276">
        <f>'Resultater - Vestdanmark'!I379+'Resultater - Østdanmark'!I379</f>
        <v>-233585.33530259633</v>
      </c>
      <c r="J379" s="277">
        <f>'Resultater - Vestdanmark'!J379+'Resultater - Østdanmark'!J379</f>
        <v>-409178.12210248655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4043.4373211296634</v>
      </c>
      <c r="I380" s="276">
        <f>'Resultater - Vestdanmark'!I380+'Resultater - Østdanmark'!I380</f>
        <v>7323.0841775361459</v>
      </c>
      <c r="J380" s="277">
        <f>'Resultater - Vestdanmark'!J380+'Resultater - Østdanmark'!J380</f>
        <v>12828.056298487018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1996.4639536467182</v>
      </c>
      <c r="I381" s="276">
        <f>'Resultater - Vestdanmark'!I381+'Resultater - Østdanmark'!I381</f>
        <v>1513.2677519940426</v>
      </c>
      <c r="J381" s="277">
        <f>'Resultater - Vestdanmark'!J381+'Resultater - Østdanmark'!J381</f>
        <v>2987.3188970556034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-3327.4399227445301</v>
      </c>
      <c r="I382" s="276">
        <f>'Resultater - Vestdanmark'!I382+'Resultater - Østdanmark'!I382</f>
        <v>-2352.7172761101406</v>
      </c>
      <c r="J382" s="277">
        <f>'Resultater - Vestdanmark'!J382+'Resultater - Østdanmark'!J382</f>
        <v>-4329.4476768921795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622.38855232406365</v>
      </c>
      <c r="I383" s="276">
        <f>'Resultater - Vestdanmark'!I383+'Resultater - Østdanmark'!I383</f>
        <v>440.06934264893385</v>
      </c>
      <c r="J383" s="277">
        <f>'Resultater - Vestdanmark'!J383+'Resultater - Østdanmark'!J383</f>
        <v>809.81136686042748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1338.1083581082171</v>
      </c>
      <c r="I384" s="276">
        <f>'Resultater - Vestdanmark'!I384+'Resultater - Østdanmark'!I384</f>
        <v>962.51559531293628</v>
      </c>
      <c r="J384" s="277">
        <f>'Resultater - Vestdanmark'!J384+'Resultater - Østdanmark'!J384</f>
        <v>1900.0874252426265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-1720.4250318534218</v>
      </c>
      <c r="I385" s="276">
        <f>'Resultater - Vestdanmark'!I385+'Resultater - Østdanmark'!I385</f>
        <v>-1154.4030327580524</v>
      </c>
      <c r="J385" s="277">
        <f>'Resultater - Vestdanmark'!J385+'Resultater - Østdanmark'!J385</f>
        <v>-2124.3213449917566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955.84850760346353</v>
      </c>
      <c r="I386" s="276">
        <f>'Resultater - Vestdanmark'!I386+'Resultater - Østdanmark'!I386</f>
        <v>641.37314652179987</v>
      </c>
      <c r="J386" s="277">
        <f>'Resultater - Vestdanmark'!J386+'Resultater - Østdanmark'!J386</f>
        <v>1180.2486883680449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151198.05286083202</v>
      </c>
      <c r="I387" s="276">
        <f>'Resultater - Vestdanmark'!I387+'Resultater - Østdanmark'!I387</f>
        <v>140267.85103492235</v>
      </c>
      <c r="J387" s="277">
        <f>'Resultater - Vestdanmark'!J387+'Resultater - Østdanmark'!J387</f>
        <v>111102.25394880619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-743894.42007529351</v>
      </c>
      <c r="I388" s="276">
        <f>'Resultater - Vestdanmark'!I388+'Resultater - Østdanmark'!I388</f>
        <v>-643766.62974983011</v>
      </c>
      <c r="J388" s="277">
        <f>'Resultater - Vestdanmark'!J388+'Resultater - Østdanmark'!J388</f>
        <v>-475324.4255896752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12185.575596215564</v>
      </c>
      <c r="I389" s="276">
        <f>'Resultater - Vestdanmark'!I389+'Resultater - Østdanmark'!I389</f>
        <v>10545.403650619493</v>
      </c>
      <c r="J389" s="277">
        <f>'Resultater - Vestdanmark'!J389+'Resultater - Østdanmark'!J389</f>
        <v>7786.1878842490542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22604.883417166257</v>
      </c>
      <c r="I390" s="276">
        <f>'Resultater - Vestdanmark'!I390+'Resultater - Østdanmark'!I390</f>
        <v>8204.298422358781</v>
      </c>
      <c r="J390" s="277">
        <f>'Resultater - Vestdanmark'!J390+'Resultater - Østdanmark'!J390</f>
        <v>6826.5629294059454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-92680.022010381668</v>
      </c>
      <c r="I391" s="276">
        <f>'Resultater - Vestdanmark'!I391+'Resultater - Østdanmark'!I391</f>
        <v>-31378.380160140856</v>
      </c>
      <c r="J391" s="277">
        <f>'Resultater - Vestdanmark'!J391+'Resultater - Østdanmark'!J391</f>
        <v>-24338.180878751635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8234.3839053876236</v>
      </c>
      <c r="I392" s="276">
        <f>'Resultater - Vestdanmark'!I392+'Resultater - Østdanmark'!I392</f>
        <v>2787.8891584515945</v>
      </c>
      <c r="J392" s="277">
        <f>'Resultater - Vestdanmark'!J392+'Resultater - Østdanmark'!J392</f>
        <v>2162.3853832485725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21807.878272481728</v>
      </c>
      <c r="I393" s="276">
        <f>'Resultater - Vestdanmark'!I393+'Resultater - Østdanmark'!I393</f>
        <v>7517.7705106864214</v>
      </c>
      <c r="J393" s="277">
        <f>'Resultater - Vestdanmark'!J393+'Resultater - Østdanmark'!J393</f>
        <v>6255.3226172480208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-76639.115071864377</v>
      </c>
      <c r="I394" s="276">
        <f>'Resultater - Vestdanmark'!I394+'Resultater - Østdanmark'!I394</f>
        <v>-24645.143198678841</v>
      </c>
      <c r="J394" s="277">
        <f>'Resultater - Vestdanmark'!J394+'Resultater - Østdanmark'!J394</f>
        <v>-19115.644271341782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18202.871953106896</v>
      </c>
      <c r="I395" s="276">
        <f>'Resultater - Vestdanmark'!I395+'Resultater - Østdanmark'!I395</f>
        <v>5853.569492430478</v>
      </c>
      <c r="J395" s="277">
        <f>'Resultater - Vestdanmark'!J395+'Resultater - Østdanmark'!J395</f>
        <v>4540.2354221613159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11019.474837461308</v>
      </c>
      <c r="I396" s="276">
        <f>'Resultater - Vestdanmark'!I396+'Resultater - Østdanmark'!I396</f>
        <v>21350.582657050654</v>
      </c>
      <c r="J396" s="277">
        <f>'Resultater - Vestdanmark'!J396+'Resultater - Østdanmark'!J396</f>
        <v>40121.726891771192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-54215.816200309637</v>
      </c>
      <c r="I397" s="276">
        <f>'Resultater - Vestdanmark'!I397+'Resultater - Østdanmark'!I397</f>
        <v>-97989.614433478739</v>
      </c>
      <c r="J397" s="277">
        <f>'Resultater - Vestdanmark'!J397+'Resultater - Østdanmark'!J397</f>
        <v>-171651.21418044719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1558.0661481516906</v>
      </c>
      <c r="I398" s="276">
        <f>'Resultater - Vestdanmark'!I398+'Resultater - Østdanmark'!I398</f>
        <v>2816.0472684789647</v>
      </c>
      <c r="J398" s="277">
        <f>'Resultater - Vestdanmark'!J398+'Resultater - Østdanmark'!J398</f>
        <v>4932.9506562360457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1647.4679356385941</v>
      </c>
      <c r="I399" s="276">
        <f>'Resultater - Vestdanmark'!I399+'Resultater - Østdanmark'!I399</f>
        <v>1248.8004223153769</v>
      </c>
      <c r="J399" s="277">
        <f>'Resultater - Vestdanmark'!J399+'Resultater - Østdanmark'!J399</f>
        <v>2465.2379562823253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-6754.6185361182361</v>
      </c>
      <c r="I400" s="276">
        <f>'Resultater - Vestdanmark'!I400+'Resultater - Østdanmark'!I400</f>
        <v>-4776.1956450494827</v>
      </c>
      <c r="J400" s="277">
        <f>'Resultater - Vestdanmark'!J400+'Resultater - Østdanmark'!J400</f>
        <v>-8789.1092354413358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1052.8607953369108</v>
      </c>
      <c r="I401" s="276">
        <f>'Resultater - Vestdanmark'!I401+'Resultater - Østdanmark'!I401</f>
        <v>744.47862875486351</v>
      </c>
      <c r="J401" s="277">
        <f>'Resultater - Vestdanmark'!J401+'Resultater - Østdanmark'!J401</f>
        <v>1369.9824039578853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1589.3813533645339</v>
      </c>
      <c r="I402" s="276">
        <f>'Resultater - Vestdanmark'!I402+'Resultater - Østdanmark'!I402</f>
        <v>1144.3019872400173</v>
      </c>
      <c r="J402" s="277">
        <f>'Resultater - Vestdanmark'!J402+'Resultater - Østdanmark'!J402</f>
        <v>2258.9491819381878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-5585.5401846810773</v>
      </c>
      <c r="I403" s="276">
        <f>'Resultater - Vestdanmark'!I403+'Resultater - Østdanmark'!I403</f>
        <v>-3751.3098195768162</v>
      </c>
      <c r="J403" s="277">
        <f>'Resultater - Vestdanmark'!J403+'Resultater - Østdanmark'!J403</f>
        <v>-6903.1242081589353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2327.4467722381351</v>
      </c>
      <c r="I404" s="276">
        <f>'Resultater - Vestdanmark'!I404+'Resultater - Østdanmark'!I404</f>
        <v>1563.1386835573901</v>
      </c>
      <c r="J404" s="277">
        <f>'Resultater - Vestdanmark'!J404+'Resultater - Østdanmark'!J404</f>
        <v>2876.4727538265515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2074307.374215838</v>
      </c>
      <c r="I405" s="276">
        <f>'Resultater - Vestdanmark'!I405+'Resultater - Østdanmark'!I405</f>
        <v>1923802.9942417541</v>
      </c>
      <c r="J405" s="277">
        <f>'Resultater - Vestdanmark'!J405+'Resultater - Østdanmark'!J405</f>
        <v>1523790.713529266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-7521056.4692379907</v>
      </c>
      <c r="I406" s="276">
        <f>'Resultater - Vestdanmark'!I406+'Resultater - Østdanmark'!I406</f>
        <v>-6506861.2957750922</v>
      </c>
      <c r="J406" s="277">
        <f>'Resultater - Vestdanmark'!J406+'Resultater - Østdanmark'!J406</f>
        <v>-4804334.3113449123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295681.96678242408</v>
      </c>
      <c r="I407" s="276">
        <f>'Resultater - Vestdanmark'!I407+'Resultater - Østdanmark'!I407</f>
        <v>255810.01198228489</v>
      </c>
      <c r="J407" s="277">
        <f>'Resultater - Vestdanmark'!J407+'Resultater - Østdanmark'!J407</f>
        <v>188877.05790655667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362795.13500095531</v>
      </c>
      <c r="I408" s="276">
        <f>'Resultater - Vestdanmark'!I408+'Resultater - Østdanmark'!I408</f>
        <v>513561.51650354778</v>
      </c>
      <c r="J408" s="277">
        <f>'Resultater - Vestdanmark'!J408+'Resultater - Østdanmark'!J408</f>
        <v>427319.90354937204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-1096190.2797950064</v>
      </c>
      <c r="I409" s="276">
        <f>'Resultater - Vestdanmark'!I409+'Resultater - Østdanmark'!I409</f>
        <v>-1447512.0220810256</v>
      </c>
      <c r="J409" s="277">
        <f>'Resultater - Vestdanmark'!J409+'Resultater - Østdanmark'!J409</f>
        <v>-1122741.4939132854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233744.91463565463</v>
      </c>
      <c r="I410" s="276">
        <f>'Resultater - Vestdanmark'!I410+'Resultater - Østdanmark'!I410</f>
        <v>308658.61545377527</v>
      </c>
      <c r="J410" s="277">
        <f>'Resultater - Vestdanmark'!J410+'Resultater - Østdanmark'!J410</f>
        <v>239406.53323594973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458081.74348965334</v>
      </c>
      <c r="I411" s="276">
        <f>'Resultater - Vestdanmark'!I411+'Resultater - Østdanmark'!I411</f>
        <v>402510.16967816441</v>
      </c>
      <c r="J411" s="277">
        <f>'Resultater - Vestdanmark'!J411+'Resultater - Østdanmark'!J411</f>
        <v>334917.24235012144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-1186371.4479686453</v>
      </c>
      <c r="I412" s="276">
        <f>'Resultater - Vestdanmark'!I412+'Resultater - Østdanmark'!I412</f>
        <v>-972433.19317965012</v>
      </c>
      <c r="J412" s="277">
        <f>'Resultater - Vestdanmark'!J412+'Resultater - Østdanmark'!J412</f>
        <v>-754253.56016854732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676271.92832627031</v>
      </c>
      <c r="I413" s="276">
        <f>'Resultater - Vestdanmark'!I413+'Resultater - Østdanmark'!I413</f>
        <v>554319.87329608691</v>
      </c>
      <c r="J413" s="277">
        <f>'Resultater - Vestdanmark'!J413+'Resultater - Østdanmark'!J413</f>
        <v>429950.08895023499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265224.08195726445</v>
      </c>
      <c r="I414" s="276">
        <f>'Resultater - Vestdanmark'!I414+'Resultater - Østdanmark'!I414</f>
        <v>513732.8400613562</v>
      </c>
      <c r="J414" s="277">
        <f>'Resultater - Vestdanmark'!J414+'Resultater - Østdanmark'!J414</f>
        <v>965399.82235421613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-961653.66917064704</v>
      </c>
      <c r="I415" s="276">
        <f>'Resultater - Vestdanmark'!I415+'Resultater - Østdanmark'!I415</f>
        <v>-1737593.8926019699</v>
      </c>
      <c r="J415" s="277">
        <f>'Resultater - Vestdanmark'!J415+'Resultater - Østdanmark'!J415</f>
        <v>-3043792.9891043166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37806.344019209348</v>
      </c>
      <c r="I416" s="276">
        <f>'Resultater - Vestdanmark'!I416+'Resultater - Østdanmark'!I416</f>
        <v>68311.570553296566</v>
      </c>
      <c r="J416" s="277">
        <f>'Resultater - Vestdanmark'!J416+'Resultater - Østdanmark'!J416</f>
        <v>119663.3346894818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46387.535336013323</v>
      </c>
      <c r="I417" s="276">
        <f>'Resultater - Vestdanmark'!I417+'Resultater - Østdanmark'!I417</f>
        <v>137141.59776717244</v>
      </c>
      <c r="J417" s="277">
        <f>'Resultater - Vestdanmark'!J417+'Resultater - Østdanmark'!J417</f>
        <v>270729.14627462806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-140160.5491177584</v>
      </c>
      <c r="I418" s="276">
        <f>'Resultater - Vestdanmark'!I418+'Resultater - Østdanmark'!I418</f>
        <v>-386543.97791897459</v>
      </c>
      <c r="J418" s="277">
        <f>'Resultater - Vestdanmark'!J418+'Resultater - Østdanmark'!J418</f>
        <v>-711314.50608671491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29886.978741449482</v>
      </c>
      <c r="I419" s="276">
        <f>'Resultater - Vestdanmark'!I419+'Resultater - Østdanmark'!I419</f>
        <v>82424.275043283124</v>
      </c>
      <c r="J419" s="277">
        <f>'Resultater - Vestdanmark'!J419+'Resultater - Østdanmark'!J419</f>
        <v>151676.35726110864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58571.025388344671</v>
      </c>
      <c r="I420" s="276">
        <f>'Resultater - Vestdanmark'!I420+'Resultater - Østdanmark'!I420</f>
        <v>107486.41791351557</v>
      </c>
      <c r="J420" s="277">
        <f>'Resultater - Vestdanmark'!J420+'Resultater - Østdanmark'!J420</f>
        <v>212187.30590587846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-151691.24984032079</v>
      </c>
      <c r="I421" s="276">
        <f>'Resultater - Vestdanmark'!I421+'Resultater - Østdanmark'!I421</f>
        <v>-259678.80682034983</v>
      </c>
      <c r="J421" s="277">
        <f>'Resultater - Vestdanmark'!J421+'Resultater - Østdanmark'!J421</f>
        <v>-477858.43983145244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86469.152823414028</v>
      </c>
      <c r="I422" s="276">
        <f>'Resultater - Vestdanmark'!I422+'Resultater - Østdanmark'!I422</f>
        <v>148025.71971413822</v>
      </c>
      <c r="J422" s="277">
        <f>'Resultater - Vestdanmark'!J422+'Resultater - Østdanmark'!J422</f>
        <v>272395.50405998999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5">
        <f ca="1">'Resultater - Vestdanmark'!H423+'Resultater - Østdanmark'!H423</f>
        <v>827707.93518034508</v>
      </c>
      <c r="I423" s="276">
        <f ca="1">'Resultater - Vestdanmark'!I423+'Resultater - Østdanmark'!I423</f>
        <v>783305.19520584797</v>
      </c>
      <c r="J423" s="277">
        <f ca="1">'Resultater - Vestdanmark'!J423+'Resultater - Østdanmark'!J423</f>
        <v>718927.5177891429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5">
        <f ca="1">'Resultater - Vestdanmark'!H424+'Resultater - Østdanmark'!H424</f>
        <v>896683.59644537373</v>
      </c>
      <c r="I424" s="276">
        <f ca="1">'Resultater - Vestdanmark'!I424+'Resultater - Østdanmark'!I424</f>
        <v>848580.62813966849</v>
      </c>
      <c r="J424" s="277">
        <f ca="1">'Resultater - Vestdanmark'!J424+'Resultater - Østdanmark'!J424</f>
        <v>778838.14427157142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-606450.26032409817</v>
      </c>
      <c r="I425" s="276">
        <f ca="1">'Resultater - Vestdanmark'!I425+'Resultater - Østdanmark'!I425</f>
        <v>-573916.98128676519</v>
      </c>
      <c r="J425" s="277">
        <f ca="1">'Resultater - Vestdanmark'!J425+'Resultater - Østdanmark'!J425</f>
        <v>-530715.87959602266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3878541.0587026458</v>
      </c>
      <c r="J426" s="277">
        <f>'Resultater - Vestdanmark'!J426+'Resultater - Østdanmark'!J426</f>
        <v>3547972.3654347276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150992.00939323241</v>
      </c>
      <c r="J427" s="277">
        <f>'Resultater - Vestdanmark'!J427+'Resultater - Østdanmark'!J427</f>
        <v>138122.93556274578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19840.350034270738</v>
      </c>
      <c r="J428" s="277">
        <f>'Resultater - Vestdanmark'!J428+'Resultater - Østdanmark'!J428</f>
        <v>18149.353732944797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2010147.3076334181</v>
      </c>
      <c r="J429" s="277">
        <f>'Resultater - Vestdanmark'!J429+'Resultater - Østdanmark'!J429</f>
        <v>1838822.1215123583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1794699.0036953683</v>
      </c>
      <c r="J430" s="277">
        <f>'Resultater - Vestdanmark'!J430+'Resultater - Østdanmark'!J430</f>
        <v>1564418.5813248954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34383.614914062069</v>
      </c>
      <c r="J431" s="277">
        <f>'Resultater - Vestdanmark'!J431+'Resultater - Østdanmark'!J431</f>
        <v>29971.803602677464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160058.16022790095</v>
      </c>
      <c r="J432" s="277">
        <f>'Resultater - Vestdanmark'!J432+'Resultater - Østdanmark'!J432</f>
        <v>139520.86641694489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157929.45765362235</v>
      </c>
      <c r="J433" s="277">
        <f>'Resultater - Vestdanmark'!J433+'Resultater - Østdanmark'!J433</f>
        <v>137665.30074578855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128228.70460548824</v>
      </c>
      <c r="J434" s="277">
        <f>'Resultater - Vestdanmark'!J434+'Resultater - Østdanmark'!J434</f>
        <v>108996.70746946134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62191.960864169152</v>
      </c>
      <c r="J435" s="277">
        <f>'Resultater - Vestdanmark'!J435+'Resultater - Østdanmark'!J435</f>
        <v>52864.286402327889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8209.1310079688592</v>
      </c>
      <c r="J436" s="277">
        <f>'Resultater - Vestdanmark'!J436+'Resultater - Østdanmark'!J436</f>
        <v>6977.9091491794543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84377.3971958318</v>
      </c>
      <c r="J437" s="277">
        <f>'Resultater - Vestdanmark'!J437+'Resultater - Østdanmark'!J437</f>
        <v>71722.306697895139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216612.88129376416</v>
      </c>
      <c r="J438" s="277">
        <f>'Resultater - Vestdanmark'!J438+'Resultater - Østdanmark'!J438</f>
        <v>170719.27126045484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798.97304115571035</v>
      </c>
      <c r="J439" s="280">
        <f>'Resultater - Vestdanmark'!J439+'Resultater - Østdanmark'!J439</f>
        <v>629.69521723812159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6416122001.667841</v>
      </c>
      <c r="J440" s="274">
        <f>'Resultater - Vestdanmark'!J440+'Resultater - Østdanmark'!J440</f>
        <v>6237896390.5104008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196048172.27318403</v>
      </c>
      <c r="J441" s="277">
        <f>'Resultater - Vestdanmark'!J441+'Resultater - Østdanmark'!J441</f>
        <v>196048172.273184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89112805.578720018</v>
      </c>
      <c r="J443" s="277">
        <f>'Resultater - Vestdanmark'!J443+'Resultater - Østdanmark'!J443</f>
        <v>89112805.578720018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178225611.15744004</v>
      </c>
      <c r="J444" s="277">
        <f>'Resultater - Vestdanmark'!J444+'Resultater - Østdanmark'!J444</f>
        <v>178225611.15744004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1782256111.5744004</v>
      </c>
      <c r="J445" s="277">
        <f>'Resultater - Vestdanmark'!J445+'Resultater - Østdanmark'!J445</f>
        <v>1782256111.5744002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285160977.85190403</v>
      </c>
      <c r="J446" s="277">
        <f>'Resultater - Vestdanmark'!J446+'Resultater - Østdanmark'!J446</f>
        <v>285160977.85190403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2744674411.8245764</v>
      </c>
      <c r="J449" s="277">
        <f>'Resultater - Vestdanmark'!J449+'Resultater - Østdanmark'!J449</f>
        <v>2744674411.8245764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196048172.27318403</v>
      </c>
      <c r="J450" s="277">
        <f>'Resultater - Vestdanmark'!J450+'Resultater - Østdanmark'!J450</f>
        <v>196048172.273184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'Resultater - Vestdanmark'!J451+'Resultater - Østdanmark'!J451</f>
        <v>213870733.38892803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'Resultater - Vestdanmark'!J452+'Resultater - Østdanmark'!J452</f>
        <v>926773178.01868808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142580488.92595202</v>
      </c>
      <c r="J453" s="277">
        <f>'Resultater - Vestdanmark'!J453+'Resultater - Østdanmark'!J453</f>
        <v>142580488.92595202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4829914062.3666258</v>
      </c>
      <c r="J454" s="277">
        <f>'Resultater - Vestdanmark'!J454+'Resultater - Østdanmark'!J454</f>
        <v>4829914062.3666248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12195000.399999995</v>
      </c>
      <c r="I455" s="276">
        <f>'Resultater - Vestdanmark'!I455+'Resultater - Østdanmark'!I455</f>
        <v>12195000.399999999</v>
      </c>
      <c r="J455" s="277">
        <f>'Resultater - Vestdanmark'!J455+'Resultater - Østdanmark'!J455</f>
        <v>12195000.400000002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361184.4</v>
      </c>
      <c r="I456" s="276">
        <f>'Resultater - Vestdanmark'!I456+'Resultater - Østdanmark'!I456</f>
        <v>361184.39999999991</v>
      </c>
      <c r="J456" s="277">
        <f>'Resultater - Vestdanmark'!J456+'Resultater - Østdanmark'!J456</f>
        <v>361184.39999999997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4390946.2499999981</v>
      </c>
      <c r="I457" s="276">
        <f>'Resultater - Vestdanmark'!I457+'Resultater - Østdanmark'!I457</f>
        <v>4390946.2499999991</v>
      </c>
      <c r="J457" s="277">
        <f>'Resultater - Vestdanmark'!J457+'Resultater - Østdanmark'!J457</f>
        <v>4390946.2500000009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205621290.8075152</v>
      </c>
      <c r="J458" s="277">
        <f>'Resultater - Vestdanmark'!J458+'Resultater - Østdanmark'!J458</f>
        <v>163415055.9120883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-218088.79584692352</v>
      </c>
      <c r="J459" s="283">
        <f>'Resultater - Vestdanmark'!J459+'Resultater - Østdanmark'!J459</f>
        <v>-173323.45608357817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204101075.86251873</v>
      </c>
      <c r="J460" s="277">
        <f>'Resultater - Vestdanmark'!J460+'Resultater - Østdanmark'!J460</f>
        <v>186187759.24891636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-425953.94766951294</v>
      </c>
      <c r="J461" s="283">
        <f>'Resultater - Vestdanmark'!J461+'Resultater - Østdanmark'!J461</f>
        <v>-388569.29452560941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135862.97591018351</v>
      </c>
      <c r="J462" s="277">
        <f>'Resultater - Vestdanmark'!J462+'Resultater - Østdanmark'!J462</f>
        <v>154383.50665597169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118217435.49163073</v>
      </c>
      <c r="J463" s="277">
        <f>'Resultater - Vestdanmark'!J463+'Resultater - Østdanmark'!J463</f>
        <v>141175463.65823212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33002600</v>
      </c>
      <c r="I464" s="276">
        <f>'Resultater - Vestdanmark'!I464+'Resultater - Østdanmark'!I464</f>
        <v>33002600.000000007</v>
      </c>
      <c r="J464" s="277">
        <f>'Resultater - Vestdanmark'!J464+'Resultater - Østdanmark'!J464</f>
        <v>33002600.000000004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2165561.9999999995</v>
      </c>
      <c r="I465" s="276">
        <f>'Resultater - Vestdanmark'!I465+'Resultater - Østdanmark'!I465</f>
        <v>2165562</v>
      </c>
      <c r="J465" s="277">
        <f>'Resultater - Vestdanmark'!J465+'Resultater - Østdanmark'!J465</f>
        <v>2165562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34543125.5</v>
      </c>
      <c r="J466" s="277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73910156.164999992</v>
      </c>
      <c r="J467" s="277">
        <f>'Resultater - Vestdanmark'!J467+'Resultater - Østdanmark'!J467</f>
        <v>72576421.165000021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2637739.0451301122</v>
      </c>
      <c r="J471" s="277">
        <f>'Resultater - Vestdanmark'!J471+'Resultater - Østdanmark'!J471</f>
        <v>3117327.9624264962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38685558.121365897</v>
      </c>
      <c r="J473" s="277">
        <f>'Resultater - Vestdanmark'!J473+'Resultater - Østdanmark'!J473</f>
        <v>40233827.724860057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35201978.333130173</v>
      </c>
      <c r="J474" s="283">
        <f ca="1">'Resultater - Vestdanmark'!J474+'Resultater - Østdanmark'!J474</f>
        <v>31277387.636042021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10090674.456294725</v>
      </c>
      <c r="J475" s="283">
        <f>'Resultater - Vestdanmark'!J475+'Resultater - Østdanmark'!J475</f>
        <v>8019442.5586487763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12866892.095351845</v>
      </c>
      <c r="J476" s="283">
        <f>'Resultater - Vestdanmark'!J476+'Resultater - Østdanmark'!J476</f>
        <v>11737604.995991571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8066.5040828777292</v>
      </c>
      <c r="J477" s="283">
        <f>'Resultater - Vestdanmark'!J477+'Resultater - Østdanmark'!J477</f>
        <v>9166.111506291787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10442540.135094048</v>
      </c>
      <c r="J478" s="283">
        <f>'Resultater - Vestdanmark'!J478+'Resultater - Østdanmark'!J478</f>
        <v>12470499.289810505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226479964.19997275</v>
      </c>
      <c r="J479" s="283">
        <f ca="1">'Resultater - Vestdanmark'!J479+'Resultater - Østdanmark'!J479</f>
        <v>197624801.22858736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151170766.56868804</v>
      </c>
      <c r="I480" s="282">
        <f ca="1">'Resultater - Vestdanmark'!I480+'Resultater - Østdanmark'!I480</f>
        <v>88128445.340991884</v>
      </c>
      <c r="J480" s="283">
        <f ca="1">'Resultater - Vestdanmark'!J480+'Resultater - Østdanmark'!J480</f>
        <v>82623382.681454331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19.591464268115235</v>
      </c>
      <c r="I481" s="286">
        <f>'Resultater - Vestdanmark'!I481+'Resultater - Østdanmark'!I481</f>
        <v>16.758901223301763</v>
      </c>
      <c r="J481" s="287">
        <f>'Resultater - Vestdanmark'!J481+'Resultater - Østdanmark'!J481</f>
        <v>12.666500047982415</v>
      </c>
      <c r="L481" s="167" t="s">
        <v>215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3.9505661308495017</v>
      </c>
      <c r="I482" s="286">
        <f>'Resultater - Vestdanmark'!I482+'Resultater - Østdanmark'!I482</f>
        <v>5.7742075823256434</v>
      </c>
      <c r="J482" s="287">
        <f>'Resultater - Vestdanmark'!J482+'Resultater - Østdanmark'!J482</f>
        <v>5.3818165046389463</v>
      </c>
      <c r="L482" s="167" t="s">
        <v>219</v>
      </c>
      <c r="M482" s="165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3.8615553516557766</v>
      </c>
      <c r="I483" s="286">
        <f>'Resultater - Vestdanmark'!I483+'Resultater - Østdanmark'!I483</f>
        <v>3.3070983326361532</v>
      </c>
      <c r="J483" s="287">
        <f>'Resultater - Vestdanmark'!J483+'Resultater - Østdanmark'!J483</f>
        <v>3.1101529848683138</v>
      </c>
      <c r="L483" s="167" t="s">
        <v>216</v>
      </c>
      <c r="M483" s="165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43.629875452920871</v>
      </c>
      <c r="I484" s="286">
        <f ca="1">'Resultater - Vestdanmark'!I484+'Resultater - Østdanmark'!I484</f>
        <v>41.289332451561776</v>
      </c>
      <c r="J484" s="287">
        <f ca="1">'Resultater - Vestdanmark'!J484+'Resultater - Østdanmark'!J484</f>
        <v>37.763403580019364</v>
      </c>
      <c r="L484" s="167" t="s">
        <v>217</v>
      </c>
      <c r="M484" s="165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218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0</v>
      </c>
      <c r="J486" s="287">
        <f ca="1">'Resultater - Vestdanmark'!J486+'Resultater - Østdanmark'!J486</f>
        <v>0</v>
      </c>
      <c r="L486" s="166" t="s">
        <v>109</v>
      </c>
      <c r="M486" s="165">
        <v>16604.849999999999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>'Resultater - Vestdanmark'!H487+'Resultater - Østdanmark'!H487</f>
        <v>0</v>
      </c>
      <c r="I487" s="286">
        <f>'Resultater - Vestdanmark'!I487+'Resultater - Østdanmark'!I487</f>
        <v>0</v>
      </c>
      <c r="J487" s="287">
        <f>'Resultater - Vestdanmark'!J487+'Resultater - Østdanmark'!J487</f>
        <v>0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>'Resultater - Vestdanmark'!H488+'Resultater - Østdanmark'!H488</f>
        <v>0</v>
      </c>
      <c r="I488" s="286">
        <f>'Resultater - Vestdanmark'!I488+'Resultater - Østdanmark'!I488</f>
        <v>0</v>
      </c>
      <c r="J488" s="287">
        <f>'Resultater - Vestdanmark'!J488+'Resultater - Østdanmark'!J488</f>
        <v>0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28.352327880960413</v>
      </c>
      <c r="J489" s="290">
        <f ca="1">'Resultater - Vestdanmark'!J489+'Resultater - Østdanmark'!J489</f>
        <v>27.066461052782774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285160.97785190406</v>
      </c>
      <c r="J490" s="293">
        <f>'Resultater - Vestdanmark'!J490+'Resultater - Østdanmark'!J490</f>
        <v>337008.428370432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587096.13087156718</v>
      </c>
      <c r="J491" s="293">
        <f>'Resultater - Vestdanmark'!J491+'Resultater - Østdanmark'!J491</f>
        <v>693840.88193912478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833542.99709649419</v>
      </c>
      <c r="J492" s="293">
        <f>'Resultater - Vestdanmark'!J492+'Resultater - Østdanmark'!J492</f>
        <v>985096.26929585659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339162.61425562343</v>
      </c>
      <c r="I493" s="292">
        <f>'Resultater - Vestdanmark'!I493+'Resultater - Østdanmark'!I493</f>
        <v>257777.12421096626</v>
      </c>
      <c r="J493" s="293">
        <f>'Resultater - Vestdanmark'!J493+'Resultater - Østdanmark'!J493</f>
        <v>240259.66538566723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217064.073123599</v>
      </c>
      <c r="I494" s="292">
        <f>'Resultater - Vestdanmark'!I494+'Resultater - Østdanmark'!I494</f>
        <v>164977.35949501841</v>
      </c>
      <c r="J494" s="293">
        <f>'Resultater - Vestdanmark'!J494+'Resultater - Østdanmark'!J494</f>
        <v>153766.18584682702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0</v>
      </c>
      <c r="J495" s="293">
        <f>'Resultater - Vestdanmark'!J495+'Resultater - Østdanmark'!J495</f>
        <v>0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0</v>
      </c>
      <c r="J496" s="293">
        <f>'Resultater - Vestdanmark'!J496+'Resultater - Østdanmark'!J496</f>
        <v>0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0</v>
      </c>
      <c r="J497" s="296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124" activePane="bottomRight" state="frozen"/>
      <selection pane="topRight" activeCell="F1" sqref="F1"/>
      <selection pane="bottomLeft" activeCell="A3" sqref="A3"/>
      <selection pane="bottomRight" activeCell="F211" activeCellId="1" sqref="F67 F211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7109375" style="187" bestFit="1" customWidth="1"/>
    <col min="8" max="8" width="11.710937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1" t="s">
        <v>248</v>
      </c>
      <c r="B1" s="441"/>
      <c r="C1" s="441"/>
      <c r="F1" s="442" t="s">
        <v>250</v>
      </c>
      <c r="G1" s="442"/>
      <c r="H1" s="442"/>
      <c r="I1" s="442"/>
      <c r="J1" s="442"/>
      <c r="K1" s="442"/>
      <c r="L1" s="442"/>
      <c r="M1" s="443"/>
      <c r="N1" s="444" t="s">
        <v>251</v>
      </c>
      <c r="O1" s="445"/>
      <c r="P1" s="446"/>
      <c r="Q1" s="438" t="s">
        <v>122</v>
      </c>
      <c r="R1" s="438"/>
      <c r="S1" s="438"/>
      <c r="T1" s="439"/>
      <c r="U1" s="440" t="s">
        <v>229</v>
      </c>
      <c r="V1" s="438"/>
      <c r="W1" s="438"/>
      <c r="X1" s="439"/>
    </row>
    <row r="2" spans="1:26" x14ac:dyDescent="0.25">
      <c r="A2" s="194" t="s">
        <v>128</v>
      </c>
      <c r="B2" s="194" t="s">
        <v>312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223</v>
      </c>
      <c r="N2" s="197" t="s">
        <v>249</v>
      </c>
      <c r="O2" s="194" t="s">
        <v>130</v>
      </c>
      <c r="P2" s="198" t="s">
        <v>190</v>
      </c>
      <c r="Q2" s="194" t="s">
        <v>131</v>
      </c>
      <c r="R2" s="194" t="s">
        <v>232</v>
      </c>
      <c r="S2" s="194" t="s">
        <v>233</v>
      </c>
      <c r="T2" s="196" t="s">
        <v>285</v>
      </c>
      <c r="U2" s="195" t="s">
        <v>235</v>
      </c>
      <c r="V2" s="194" t="s">
        <v>234</v>
      </c>
      <c r="W2" s="194" t="s">
        <v>236</v>
      </c>
      <c r="X2" s="196" t="s">
        <v>284</v>
      </c>
      <c r="Y2" s="95" t="s">
        <v>279</v>
      </c>
      <c r="Z2" s="194" t="s">
        <v>301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0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258397.36122446082</v>
      </c>
      <c r="G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0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193898.88574926884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230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0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0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352020220.25091624</v>
      </c>
      <c r="G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0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352020220.25091624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352020220.25091624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9570947.4163383078</v>
      </c>
      <c r="G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0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7001629.6154696662</v>
      </c>
      <c r="L7" s="190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2569317.8008686416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208</v>
      </c>
      <c r="B8" s="189" t="s">
        <v>230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0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222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0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0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222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0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0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887836.84200071916</v>
      </c>
      <c r="G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0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887836.84200071916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25948.722839676255</v>
      </c>
      <c r="G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0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-223604.86394482077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0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224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15764158.337739769</v>
      </c>
      <c r="G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75399.16825098735</v>
      </c>
      <c r="K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0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3451069.2602304816</v>
      </c>
      <c r="O16" s="190">
        <f t="shared" si="1"/>
        <v>3451069.2602304816</v>
      </c>
      <c r="P16" s="200">
        <f t="shared" ref="P16:P81" si="10">SUM(J16,L16)</f>
        <v>75399.16825098735</v>
      </c>
      <c r="Q16" s="187">
        <f>IFERROR(VLOOKUP(A16,[1]Energiindhold!$A$2:$C$11,3,FALSE),IFERROR(VLOOKUP(A16,[1]Biogasudbytte!$A$2:$B$18,2,FALSE)*[1]Energiindhold!$C$10,0))*O16</f>
        <v>6.3495360551665581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0.13872504468578536</v>
      </c>
      <c r="S16" s="187">
        <f>IFERROR(VLOOKUP(A16,[1]Biogasudbytte!$A$2:$B$18,2,FALSE)*[1]Energiindhold!$C$10,0)*J16*IFERROR(VLOOKUP(A16,Biogasanlæg!$F$3:$G$8,2,FALSE),1)</f>
        <v>0.13872504468578536</v>
      </c>
      <c r="T16" s="188">
        <f t="shared" ref="T16:T81" si="11">R16-S16</f>
        <v>0</v>
      </c>
      <c r="U16" s="186">
        <f>O16*IFERROR(VLOOKUP(A16,[1]Tørstofindhold!A$2:B$24,2,FALSE),0)</f>
        <v>966299.39286453498</v>
      </c>
      <c r="V16" s="187">
        <f>IF(D16=År1,P16,SUM(O16,P16))*IFERROR(VLOOKUP(A16,[1]Tørstofindhold!A$2:B$24,2,FALSE),0)</f>
        <v>21111.767110276462</v>
      </c>
      <c r="W16" s="187">
        <f>J16*IFERROR(VLOOKUP(A16,[1]Tørstofindhold!A$2:B$24,2,FALSE),0)</f>
        <v>21111.767110276462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0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185022.9677154524</v>
      </c>
      <c r="G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0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-76351.578443047096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227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2717336.5701075909</v>
      </c>
      <c r="G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53194.904606816119</v>
      </c>
      <c r="K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0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1162838.9310658472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1216033.8356726633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12.325575345409394</v>
      </c>
      <c r="S19" s="187">
        <f>IFERROR(VLOOKUP(A19,[1]Biogasudbytte!$A$2:$B$18,2,FALSE)*[1]Energiindhold!$C$10,0)*J19*IFERROR(VLOOKUP(A19,Biogasanlæg!$F$3:$G$8,2,FALSE),1)</f>
        <v>0.30669735030678263</v>
      </c>
      <c r="T19" s="188">
        <f t="shared" si="11"/>
        <v>12.018877995102612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1033628.7603217638</v>
      </c>
      <c r="W19" s="187">
        <f>J19*IFERROR(VLOOKUP(A19,[1]Tørstofindhold!A$2:B$24,2,FALSE),0)</f>
        <v>45215.6689157937</v>
      </c>
      <c r="X19" s="188">
        <f t="shared" si="12"/>
        <v>988413.09140597016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230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0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0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230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0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766472.09789043549</v>
      </c>
      <c r="G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0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766472.09789043549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2146636.3631328358</v>
      </c>
      <c r="G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0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2027113.3294623662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227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6843435.2641521301</v>
      </c>
      <c r="G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2843.3935258054057</v>
      </c>
      <c r="K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0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675046.7637937516</v>
      </c>
      <c r="O25" s="190">
        <f t="shared" si="1"/>
        <v>675046.7637937516</v>
      </c>
      <c r="P25" s="200">
        <f t="shared" si="10"/>
        <v>2843.3935258054057</v>
      </c>
      <c r="Q25" s="187">
        <f>IFERROR(VLOOKUP(A25,[1]Energiindhold!$A$2:$C$11,3,FALSE),IFERROR(VLOOKUP(A25,[1]Biogasudbytte!$A$2:$B$18,2,FALSE)*[1]Energiindhold!$C$10,0))*O25</f>
        <v>2.3119406594466687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9.7382247507899044E-3</v>
      </c>
      <c r="S25" s="187">
        <f>IFERROR(VLOOKUP(A25,[1]Biogasudbytte!$A$2:$B$18,2,FALSE)*[1]Energiindhold!$C$10,0)*J25*IFERROR(VLOOKUP(A25,Biogasanlæg!$F$3:$G$8,2,FALSE),1)</f>
        <v>9.7382247507899044E-3</v>
      </c>
      <c r="T25" s="188">
        <f t="shared" si="11"/>
        <v>0</v>
      </c>
      <c r="U25" s="186">
        <f>O25*IFERROR(VLOOKUP(A25,[1]Tørstofindhold!A$2:B$24,2,FALSE),0)</f>
        <v>209264.496776063</v>
      </c>
      <c r="V25" s="187">
        <f>IF(D25=År1,P25,SUM(O25,P25))*IFERROR(VLOOKUP(A25,[1]Tørstofindhold!A$2:B$24,2,FALSE),0)</f>
        <v>881.45199299967578</v>
      </c>
      <c r="W25" s="187">
        <f>J25*IFERROR(VLOOKUP(A25,[1]Tørstofindhold!A$2:B$24,2,FALSE),0)</f>
        <v>881.45199299967578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0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569996.93502990273</v>
      </c>
      <c r="L26" s="190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-569996.93502990273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222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0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0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224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7590675.3960505147</v>
      </c>
      <c r="G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314874.94627501385</v>
      </c>
      <c r="K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0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1618746.6633055378</v>
      </c>
      <c r="O29" s="190">
        <f t="shared" si="1"/>
        <v>1274488.0820395502</v>
      </c>
      <c r="P29" s="200">
        <f t="shared" si="10"/>
        <v>314874.94627501385</v>
      </c>
      <c r="Q29" s="187">
        <f>IFERROR(VLOOKUP(A29,[1]Energiindhold!$A$2:$C$11,3,FALSE),IFERROR(VLOOKUP(A29,[1]Biogasudbytte!$A$2:$B$18,2,FALSE)*[1]Energiindhold!$C$10,0))*O29</f>
        <v>4.575412214521986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1.1304010571272998</v>
      </c>
      <c r="S29" s="187">
        <f>IFERROR(VLOOKUP(A29,[1]Biogasudbytte!$A$2:$B$18,2,FALSE)*[1]Energiindhold!$C$10,0)*J29*IFERROR(VLOOKUP(A29,Biogasanlæg!$F$3:$G$8,2,FALSE),1)</f>
        <v>1.1304010571272998</v>
      </c>
      <c r="T29" s="188">
        <f t="shared" si="11"/>
        <v>0</v>
      </c>
      <c r="U29" s="186">
        <f>O29*IFERROR(VLOOKUP(A29,[1]Tørstofindhold!A$2:B$24,2,FALSE),0)</f>
        <v>382346.42461186502</v>
      </c>
      <c r="V29" s="187">
        <f>IF(D29=År1,P29,SUM(O29,P29))*IFERROR(VLOOKUP(A29,[1]Tørstofindhold!A$2:B$24,2,FALSE),0)</f>
        <v>94462.483882504152</v>
      </c>
      <c r="W29" s="187">
        <f>J29*IFERROR(VLOOKUP(A29,[1]Tørstofindhold!A$2:B$24,2,FALSE),0)</f>
        <v>94462.483882504152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0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226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0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0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1610618.3345669576</v>
      </c>
      <c r="G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0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1610618.3345669576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225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171006.78248665464</v>
      </c>
      <c r="G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0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171006.78248665464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171006.78248665464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3.146524797754445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3.146524797754445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70967.814731961684</v>
      </c>
      <c r="W34" s="187">
        <f>J34*IFERROR(VLOOKUP(A34,[1]Tørstofindhold!A$2:B$24,2,FALSE),0)</f>
        <v>0</v>
      </c>
      <c r="X34" s="188">
        <f t="shared" si="12"/>
        <v>70967.814731961684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307</v>
      </c>
      <c r="B35" s="189" t="s">
        <v>313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0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si="13">F35-SUM(G35:M35)</f>
        <v>0</v>
      </c>
      <c r="O35" s="190">
        <f t="shared" si="1"/>
        <v>0</v>
      </c>
      <c r="P35" s="200">
        <f t="shared" ref="P35:P36" si="14">SUM(J35,L35)</f>
        <v>0</v>
      </c>
      <c r="Q35" s="187">
        <f>IFERROR(VLOOKUP(A35,[1]Energiindhold!$A$2:$C$11,3,FALSE),IFERROR(VLOOKUP(A35,[1]Biogasudbytte!$A$2:$B$18,2,FALSE)*[1]Energiindhold!$C$10,0))*O35</f>
        <v>0</v>
      </c>
      <c r="R35" s="187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si="15">R35-S35</f>
        <v>0</v>
      </c>
      <c r="U35" s="186">
        <f>O35*IFERROR(VLOOKUP(A35,[1]Tørstofindhold!A$2:B$24,2,FALSE),0)</f>
        <v>0</v>
      </c>
      <c r="V35" s="187">
        <f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si="16">V35-W35</f>
        <v>0</v>
      </c>
      <c r="Y35" s="168">
        <f t="shared" si="2"/>
        <v>0</v>
      </c>
      <c r="Z35" s="103">
        <f t="shared" si="3"/>
        <v>0</v>
      </c>
    </row>
    <row r="36" spans="1:26" x14ac:dyDescent="0.25">
      <c r="A36" s="189" t="s">
        <v>308</v>
      </c>
      <c r="B36" s="189" t="s">
        <v>313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0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si="13"/>
        <v>0</v>
      </c>
      <c r="O36" s="190">
        <f t="shared" si="1"/>
        <v>0</v>
      </c>
      <c r="P36" s="200">
        <f t="shared" si="14"/>
        <v>0</v>
      </c>
      <c r="Q36" s="187">
        <f>IFERROR(VLOOKUP(A36,[1]Energiindhold!$A$2:$C$11,3,FALSE),IFERROR(VLOOKUP(A36,[1]Biogasudbytte!$A$2:$B$18,2,FALSE)*[1]Energiindhold!$C$10,0))*O36</f>
        <v>0</v>
      </c>
      <c r="R36" s="187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si="15"/>
        <v>0</v>
      </c>
      <c r="U36" s="186">
        <f>O36*IFERROR(VLOOKUP(A36,[1]Tørstofindhold!A$2:B$24,2,FALSE),0)</f>
        <v>0</v>
      </c>
      <c r="V36" s="187">
        <f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si="16"/>
        <v>0</v>
      </c>
      <c r="Y36" s="168">
        <f t="shared" si="2"/>
        <v>0</v>
      </c>
      <c r="Z36" s="103">
        <f t="shared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0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485762.00237315823</v>
      </c>
      <c r="G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0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485762.00237315823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238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242881.00118657912</v>
      </c>
      <c r="G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0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28781.895095316839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231</v>
      </c>
      <c r="B40" s="189" t="s">
        <v>231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155443.84075941064</v>
      </c>
      <c r="G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0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80830.79719489353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74613.043564517109</v>
      </c>
      <c r="N40" s="199">
        <f t="shared" si="9"/>
        <v>0</v>
      </c>
      <c r="O40" s="190">
        <f t="shared" si="1"/>
        <v>0</v>
      </c>
      <c r="P40" s="200">
        <f t="shared" si="10"/>
        <v>80830.79719489353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2.8290779018212735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2.8290779018212735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224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377517.57644613879</v>
      </c>
      <c r="G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4141.9679702877811</v>
      </c>
      <c r="K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0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-467792.00917977782</v>
      </c>
      <c r="O41" s="190">
        <f t="shared" si="1"/>
        <v>0</v>
      </c>
      <c r="P41" s="200">
        <f t="shared" si="10"/>
        <v>4141.9679702877811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1.1241466750079849E-2</v>
      </c>
      <c r="S41" s="187">
        <f>IFERROR(VLOOKUP(A41,[1]Biogasudbytte!$A$2:$B$18,2,FALSE)*[1]Energiindhold!$C$10,0)*J41*IFERROR(VLOOKUP(A41,Biogasanlæg!$F$3:$G$8,2,FALSE),1)</f>
        <v>1.1241466750079849E-2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828.39359405755624</v>
      </c>
      <c r="W41" s="187">
        <f>J41*IFERROR(VLOOKUP(A41,[1]Tørstofindhold!A$2:B$24,2,FALSE),0)</f>
        <v>828.39359405755624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0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0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230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0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222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0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0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226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0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0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225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2328677.081002241</v>
      </c>
      <c r="G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0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2328677.081002241</v>
      </c>
      <c r="M49" s="15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2328677.081002241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33.750841721162331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33.750841721162331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1151724.8729790249</v>
      </c>
      <c r="W49" s="187">
        <f>J49*IFERROR(VLOOKUP(A49,[1]Tørstofindhold!A$2:B$24,2,FALSE),0)</f>
        <v>0</v>
      </c>
      <c r="X49" s="188">
        <f t="shared" ca="1" si="12"/>
        <v>1151724.8729790249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640291.52551137318</v>
      </c>
      <c r="G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0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640291.52551137318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243893.92541050701</v>
      </c>
      <c r="G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0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211314.14085750715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214161.84763488721</v>
      </c>
      <c r="G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73265.306718627704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0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140896.54091625952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0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0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-1.5144408156629652E-2</v>
      </c>
      <c r="O53" s="190">
        <f t="shared" ca="1" si="1"/>
        <v>0</v>
      </c>
      <c r="P53" s="200">
        <f t="shared" ca="1" si="10"/>
        <v>195082.24112879002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7">
        <f ca="1">IFERROR(VLOOKUP(A53,[1]Biogasudbytte!$A$2:$B$18,2,FALSE)*[1]Energiindhold!$C$10,0)*J53*IFERROR(VLOOKUP(A53,Biogasanlæg!$F$3:$G$8,2,FALSE),1)</f>
        <v>0.6646276381240861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54623.027516061207</v>
      </c>
      <c r="W53" s="187">
        <f ca="1">J53*IFERROR(VLOOKUP(A53,[1]Tørstofindhold!A$2:B$24,2,FALSE),0)</f>
        <v>54623.027516061207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658754159.4454813</v>
      </c>
      <c r="G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0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658754159.4454813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658754159.4454813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30455669.379195884</v>
      </c>
      <c r="G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0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27991928.85213032</v>
      </c>
      <c r="L55" s="190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2463740.5270655639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742417.78752118419</v>
      </c>
      <c r="G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148483.55750423684</v>
      </c>
      <c r="K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0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593934.23001694737</v>
      </c>
      <c r="O56" s="190">
        <f t="shared" si="1"/>
        <v>593934.23001694737</v>
      </c>
      <c r="P56" s="200">
        <f t="shared" si="10"/>
        <v>148483.55750423684</v>
      </c>
      <c r="Q56" s="187">
        <f>IFERROR(VLOOKUP(A56,[1]Energiindhold!$A$2:$C$11,3,FALSE),IFERROR(VLOOKUP(A56,[1]Biogasudbytte!$A$2:$B$18,2,FALSE)*[1]Energiindhold!$C$10,0))*O56</f>
        <v>0.3373701306364244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0.42171266329553048</v>
      </c>
      <c r="S56" s="187">
        <f>IFERROR(VLOOKUP(A56,[1]Biogasudbytte!$A$2:$B$18,2,FALSE)*[1]Energiindhold!$C$10,0)*J56*IFERROR(VLOOKUP(A56,Biogasanlæg!$F$3:$G$8,2,FALSE),1)</f>
        <v>8.4342532659106101E-2</v>
      </c>
      <c r="T56" s="188">
        <f t="shared" si="11"/>
        <v>0.3373701306364244</v>
      </c>
      <c r="U56" s="186">
        <f>O56*IFERROR(VLOOKUP(A56,[1]Tørstofindhold!A$2:B$24,2,FALSE),0)</f>
        <v>25398.639662457605</v>
      </c>
      <c r="V56" s="187">
        <f>IF(D56=År1,P56,SUM(O56,P56))*IFERROR(VLOOKUP(A56,[1]Tørstofindhold!A$2:B$24,2,FALSE),0)</f>
        <v>31748.299578072005</v>
      </c>
      <c r="W56" s="187">
        <f>J56*IFERROR(VLOOKUP(A56,[1]Tørstofindhold!A$2:B$24,2,FALSE),0)</f>
        <v>6349.6599156144011</v>
      </c>
      <c r="X56" s="188">
        <f t="shared" si="12"/>
        <v>25398.639662457605</v>
      </c>
      <c r="Y56" s="168">
        <f t="shared" si="2"/>
        <v>0</v>
      </c>
      <c r="Z56" s="103">
        <f t="shared" si="3"/>
        <v>1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3467725.556428601</v>
      </c>
      <c r="G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1733862.7782143005</v>
      </c>
      <c r="K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656390.90889541374</v>
      </c>
      <c r="L57" s="190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1077471.8693188867</v>
      </c>
      <c r="O57" s="190">
        <f t="shared" si="1"/>
        <v>1077471.8693188867</v>
      </c>
      <c r="P57" s="200">
        <f t="shared" si="10"/>
        <v>1733862.7782143005</v>
      </c>
      <c r="Q57" s="187">
        <f>IFERROR(VLOOKUP(A57,[1]Energiindhold!$A$2:$C$11,3,FALSE),IFERROR(VLOOKUP(A57,[1]Biogasudbytte!$A$2:$B$18,2,FALSE)*[1]Energiindhold!$C$10,0))*O57</f>
        <v>2.3208744065128819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6.0556148307864852</v>
      </c>
      <c r="S57" s="187">
        <f>IFERROR(VLOOKUP(A57,[1]Biogasudbytte!$A$2:$B$18,2,FALSE)*[1]Energiindhold!$C$10,0)*J57*IFERROR(VLOOKUP(A57,Biogasanlæg!$F$3:$G$8,2,FALSE),1)</f>
        <v>3.7347404242736033</v>
      </c>
      <c r="T57" s="188">
        <f t="shared" si="11"/>
        <v>2.3208744065128819</v>
      </c>
      <c r="U57" s="186">
        <f>O57*IFERROR(VLOOKUP(A57,[1]Tørstofindhold!A$2:B$24,2,FALSE),0)</f>
        <v>323241.56079566601</v>
      </c>
      <c r="V57" s="187">
        <f>IF(D57=År1,P57,SUM(O57,P57))*IFERROR(VLOOKUP(A57,[1]Tørstofindhold!A$2:B$24,2,FALSE),0)</f>
        <v>843400.39425995608</v>
      </c>
      <c r="W57" s="187">
        <f>J57*IFERROR(VLOOKUP(A57,[1]Tørstofindhold!A$2:B$24,2,FALSE),0)</f>
        <v>520158.83346429013</v>
      </c>
      <c r="X57" s="188">
        <f t="shared" si="12"/>
        <v>323241.56079566595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522913.16952118598</v>
      </c>
      <c r="G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513062.37197918555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0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9850.7975420004223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1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10631.296472463182</v>
      </c>
      <c r="G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9568.1668252168638</v>
      </c>
      <c r="K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1063.129647246318</v>
      </c>
      <c r="L59" s="190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9568.1668252168638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4.4998131762312389E-3</v>
      </c>
      <c r="S59" s="187">
        <f>IFERROR(VLOOKUP(A59,[1]Biogasudbytte!$A$2:$B$18,2,FALSE)*[1]Energiindhold!$C$10,0)*J59*IFERROR(VLOOKUP(A59,Biogasanlæg!$F$3:$G$8,2,FALSE),1)</f>
        <v>4.4998131762312389E-3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602.79450998866241</v>
      </c>
      <c r="W59" s="187">
        <f>J59*IFERROR(VLOOKUP(A59,[1]Tørstofindhold!A$2:B$24,2,FALSE),0)</f>
        <v>602.79450998866241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199840.35413478027</v>
      </c>
      <c r="G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0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164545.58753569709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1055232.9746646266</v>
      </c>
      <c r="G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0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1055232.9746646266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30694.935205896549</v>
      </c>
      <c r="G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0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-227228.35917201906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0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27136587.733802605</v>
      </c>
      <c r="G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14698917.729434509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66661.570162252625</v>
      </c>
      <c r="K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0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1519317.3536669463</v>
      </c>
      <c r="N64" s="199">
        <f t="shared" si="9"/>
        <v>10851691.080538897</v>
      </c>
      <c r="O64" s="190">
        <f t="shared" si="1"/>
        <v>10851691.080538897</v>
      </c>
      <c r="P64" s="200">
        <f t="shared" si="10"/>
        <v>66661.570162252625</v>
      </c>
      <c r="Q64" s="187">
        <f>IFERROR(VLOOKUP(A64,[1]Energiindhold!$A$2:$C$11,3,FALSE),IFERROR(VLOOKUP(A64,[1]Biogasudbytte!$A$2:$B$18,2,FALSE)*[1]Energiindhold!$C$10,0))*O64</f>
        <v>19.965755126806503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20.088404083208776</v>
      </c>
      <c r="S64" s="187">
        <f>IFERROR(VLOOKUP(A64,[1]Biogasudbytte!$A$2:$B$18,2,FALSE)*[1]Energiindhold!$C$10,0)*J64*IFERROR(VLOOKUP(A64,Biogasanlæg!$F$3:$G$8,2,FALSE),1)</f>
        <v>0.12264895640227455</v>
      </c>
      <c r="T64" s="188">
        <f t="shared" si="11"/>
        <v>19.965755126806503</v>
      </c>
      <c r="U64" s="186">
        <f>O64*IFERROR(VLOOKUP(A64,[1]Tørstofindhold!A$2:B$24,2,FALSE),0)</f>
        <v>3038473.5025508916</v>
      </c>
      <c r="V64" s="187">
        <f>IF(D64=År1,P64,SUM(O64,P64))*IFERROR(VLOOKUP(A64,[1]Tørstofindhold!A$2:B$24,2,FALSE),0)</f>
        <v>3057138.7421963224</v>
      </c>
      <c r="W64" s="187">
        <f>J64*IFERROR(VLOOKUP(A64,[1]Tørstofindhold!A$2:B$24,2,FALSE),0)</f>
        <v>18665.239645430738</v>
      </c>
      <c r="X64" s="188">
        <f t="shared" si="12"/>
        <v>3038473.5025508916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253986.39662457604</v>
      </c>
      <c r="G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253986.39662457604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0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209727.86129070079</v>
      </c>
      <c r="G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0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-60412.8522945898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2864562.7907934021</v>
      </c>
      <c r="G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918861.60943487054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865639.24548804213</v>
      </c>
      <c r="I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55619.352410468891</v>
      </c>
      <c r="K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0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1024442.5834600214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1080061.9358704903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10.909115749301931</v>
      </c>
      <c r="S67" s="187">
        <f>IFERROR(VLOOKUP(A67,[1]Biogasudbytte!$A$2:$B$18,2,FALSE)*[1]Energiindhold!$C$10,0)*J67*IFERROR(VLOOKUP(A67,Biogasanlæg!$F$3:$G$8,2,FALSE),1)</f>
        <v>0.32067560109665483</v>
      </c>
      <c r="T67" s="188">
        <f t="shared" si="11"/>
        <v>10.588440148205276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918052.64548991667</v>
      </c>
      <c r="W67" s="187">
        <f>J67*IFERROR(VLOOKUP(A67,[1]Tørstofindhold!A$2:B$24,2,FALSE),0)</f>
        <v>47276.449548898556</v>
      </c>
      <c r="X67" s="188">
        <f t="shared" si="12"/>
        <v>870776.19594101817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0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5788120.7826627567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0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-5788120.7826627567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583497.9658742107</v>
      </c>
      <c r="G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529759.62082392198</v>
      </c>
      <c r="K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0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53738.345050288714</v>
      </c>
      <c r="O70" s="190">
        <f t="shared" si="20"/>
        <v>53738.345050288714</v>
      </c>
      <c r="P70" s="200">
        <f t="shared" si="10"/>
        <v>529759.62082392198</v>
      </c>
      <c r="Q70" s="187">
        <f>IFERROR(VLOOKUP(A70,[1]Energiindhold!$A$2:$C$11,3,FALSE),IFERROR(VLOOKUP(A70,[1]Biogasudbytte!$A$2:$B$18,2,FALSE)*[1]Energiindhold!$C$10,0))*O70</f>
        <v>0.23285523508775754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2.1840449450014048</v>
      </c>
      <c r="S70" s="187">
        <f>IFERROR(VLOOKUP(A70,[1]Biogasudbytte!$A$2:$B$18,2,FALSE)*[1]Energiindhold!$C$10,0)*J70*IFERROR(VLOOKUP(A70,Biogasanlæg!$F$3:$G$8,2,FALSE),1)</f>
        <v>1.951189709913647</v>
      </c>
      <c r="T70" s="188">
        <f t="shared" si="11"/>
        <v>0.23285523508775774</v>
      </c>
      <c r="U70" s="186">
        <f>O70*IFERROR(VLOOKUP(A70,[1]Tørstofindhold!A$2:B$24,2,FALSE),0)</f>
        <v>22570.104921121259</v>
      </c>
      <c r="V70" s="187">
        <f>IF(D70=År1,P70,SUM(O70,P70))*IFERROR(VLOOKUP(A70,[1]Tørstofindhold!A$2:B$24,2,FALSE),0)</f>
        <v>245069.14566716849</v>
      </c>
      <c r="W70" s="187">
        <f>J70*IFERROR(VLOOKUP(A70,[1]Tørstofindhold!A$2:B$24,2,FALSE),0)</f>
        <v>222499.04074604722</v>
      </c>
      <c r="X70" s="188">
        <f t="shared" si="12"/>
        <v>22570.104921121267</v>
      </c>
      <c r="Y70" s="168">
        <f t="shared" si="21"/>
        <v>0</v>
      </c>
      <c r="Z70" s="103">
        <f t="shared" si="22"/>
        <v>1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679822.00220339897</v>
      </c>
      <c r="G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0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679822.00220339897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1684191.1850670902</v>
      </c>
      <c r="G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0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1560659.5019702991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5179259.7430223692</v>
      </c>
      <c r="G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6350412.4997561099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2918.824426874643</v>
      </c>
      <c r="K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0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-1470004.6241836976</v>
      </c>
      <c r="O73" s="190">
        <f t="shared" si="20"/>
        <v>0</v>
      </c>
      <c r="P73" s="200">
        <f t="shared" si="10"/>
        <v>2918.824426874643</v>
      </c>
      <c r="Q73" s="187">
        <f>IFERROR(VLOOKUP(A73,[1]Energiindhold!$A$2:$C$11,3,FALSE),IFERROR(VLOOKUP(A73,[1]Biogasudbytte!$A$2:$B$18,2,FALSE)*[1]Energiindhold!$C$10,0))*O73</f>
        <v>0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9.9965650266258914E-3</v>
      </c>
      <c r="S73" s="187">
        <f>IFERROR(VLOOKUP(A73,[1]Biogasudbytte!$A$2:$B$18,2,FALSE)*[1]Energiindhold!$C$10,0)*J73*IFERROR(VLOOKUP(A73,Biogasanlæg!$F$3:$G$8,2,FALSE),1)</f>
        <v>9.9965650266258914E-3</v>
      </c>
      <c r="T73" s="188">
        <f t="shared" si="11"/>
        <v>0</v>
      </c>
      <c r="U73" s="186">
        <f>O73*IFERROR(VLOOKUP(A73,[1]Tørstofindhold!A$2:B$24,2,FALSE),0)</f>
        <v>0</v>
      </c>
      <c r="V73" s="187">
        <f>IF(D73=År1,P73,SUM(O73,P73))*IFERROR(VLOOKUP(A73,[1]Tørstofindhold!A$2:B$24,2,FALSE),0)</f>
        <v>904.83557233113936</v>
      </c>
      <c r="W73" s="187">
        <f>J73*IFERROR(VLOOKUP(A73,[1]Tørstofindhold!A$2:B$24,2,FALSE),0)</f>
        <v>904.83557233113936</v>
      </c>
      <c r="X73" s="188">
        <f t="shared" si="12"/>
        <v>0</v>
      </c>
      <c r="Y73" s="168">
        <f t="shared" si="21"/>
        <v>1</v>
      </c>
      <c r="Z73" s="103">
        <f t="shared" si="22"/>
        <v>0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0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266669.76960219257</v>
      </c>
      <c r="L74" s="190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-266669.76960219257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15016343.382284625</v>
      </c>
      <c r="G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13514709.044056162</v>
      </c>
      <c r="K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1501634.338228462</v>
      </c>
      <c r="L75" s="190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13514709.044056162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6.8410105710107896</v>
      </c>
      <c r="S75" s="187">
        <f>IFERROR(VLOOKUP(A75,[1]Biogasudbytte!$A$2:$B$18,2,FALSE)*[1]Energiindhold!$C$10,0)*J75*IFERROR(VLOOKUP(A75,Biogasanlæg!$F$3:$G$8,2,FALSE),1)</f>
        <v>6.8410105710107896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1027117.8873482683</v>
      </c>
      <c r="W75" s="187">
        <f>J75*IFERROR(VLOOKUP(A75,[1]Tørstofindhold!A$2:B$24,2,FALSE),0)</f>
        <v>1027117.8873482683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1876758.5518994229</v>
      </c>
      <c r="G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1812574.6986106629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0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64183.853288759943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1</v>
      </c>
      <c r="Z76" s="103">
        <f t="shared" si="22"/>
        <v>0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5765243.9580687238</v>
      </c>
      <c r="G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5991945.9604161605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255419.79717931396</v>
      </c>
      <c r="K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0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-482121.79952675104</v>
      </c>
      <c r="O77" s="190">
        <f t="shared" si="20"/>
        <v>0</v>
      </c>
      <c r="P77" s="200">
        <f t="shared" si="10"/>
        <v>255419.79717931396</v>
      </c>
      <c r="Q77" s="187">
        <f>IFERROR(VLOOKUP(A77,[1]Energiindhold!$A$2:$C$11,3,FALSE),IFERROR(VLOOKUP(A77,[1]Biogasudbytte!$A$2:$B$18,2,FALSE)*[1]Energiindhold!$C$10,0))*O77</f>
        <v>0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0.91695707187373721</v>
      </c>
      <c r="S77" s="187">
        <f>IFERROR(VLOOKUP(A77,[1]Biogasudbytte!$A$2:$B$18,2,FALSE)*[1]Energiindhold!$C$10,0)*J77*IFERROR(VLOOKUP(A77,Biogasanlæg!$F$3:$G$8,2,FALSE),1)</f>
        <v>0.91695707187373721</v>
      </c>
      <c r="T77" s="188">
        <f t="shared" si="11"/>
        <v>0</v>
      </c>
      <c r="U77" s="186">
        <f>O77*IFERROR(VLOOKUP(A77,[1]Tørstofindhold!A$2:B$24,2,FALSE),0)</f>
        <v>0</v>
      </c>
      <c r="V77" s="187">
        <f>IF(D77=År1,P77,SUM(O77,P77))*IFERROR(VLOOKUP(A77,[1]Tørstofindhold!A$2:B$24,2,FALSE),0)</f>
        <v>76625.939153794185</v>
      </c>
      <c r="W77" s="187">
        <f>J77*IFERROR(VLOOKUP(A77,[1]Tørstofindhold!A$2:B$24,2,FALSE),0)</f>
        <v>76625.939153794185</v>
      </c>
      <c r="X77" s="188">
        <f t="shared" si="12"/>
        <v>0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3621169.9874786926</v>
      </c>
      <c r="G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0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3148763.1114601945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0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119719.7424554231</v>
      </c>
      <c r="G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0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59691.489416520832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1491840.6351818247</v>
      </c>
      <c r="G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0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1491840.6351818247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140070.99404320476</v>
      </c>
      <c r="G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0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140070.99404320476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140070.99404320476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2.5773062903949673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2.5773062903949673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58129.46252792998</v>
      </c>
      <c r="W82" s="187">
        <f>J82*IFERROR(VLOOKUP(A82,[1]Tørstofindhold!A$2:B$24,2,FALSE),0)</f>
        <v>0</v>
      </c>
      <c r="X82" s="188">
        <f t="shared" ref="X82:X149" si="26">V82-W82</f>
        <v>58129.46252792998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0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si="29">F83-SUM(G83:M83)</f>
        <v>0</v>
      </c>
      <c r="O83" s="190">
        <f t="shared" si="20"/>
        <v>0</v>
      </c>
      <c r="P83" s="200">
        <f t="shared" ref="P83:P84" si="30">SUM(J83,L83)</f>
        <v>0</v>
      </c>
      <c r="Q83" s="187">
        <f>IFERROR(VLOOKUP(A83,[1]Energiindhold!$A$2:$C$11,3,FALSE),IFERROR(VLOOKUP(A83,[1]Biogasudbytte!$A$2:$B$18,2,FALSE)*[1]Energiindhold!$C$10,0))*O83</f>
        <v>0</v>
      </c>
      <c r="R83" s="187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si="31">R83-S83</f>
        <v>0</v>
      </c>
      <c r="U83" s="186">
        <f>O83*IFERROR(VLOOKUP(A83,[1]Tørstofindhold!A$2:B$24,2,FALSE),0)</f>
        <v>0</v>
      </c>
      <c r="V83" s="187">
        <f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si="32">V83-W83</f>
        <v>0</v>
      </c>
      <c r="Y83" s="168">
        <f t="shared" si="21"/>
        <v>0</v>
      </c>
      <c r="Z83" s="103">
        <f t="shared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0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si="29"/>
        <v>0</v>
      </c>
      <c r="O84" s="190">
        <f t="shared" si="20"/>
        <v>0</v>
      </c>
      <c r="P84" s="200">
        <f t="shared" si="30"/>
        <v>0</v>
      </c>
      <c r="Q84" s="187">
        <f>IFERROR(VLOOKUP(A84,[1]Energiindhold!$A$2:$C$11,3,FALSE),IFERROR(VLOOKUP(A84,[1]Biogasudbytte!$A$2:$B$18,2,FALSE)*[1]Energiindhold!$C$10,0))*O84</f>
        <v>0</v>
      </c>
      <c r="R84" s="187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7">
        <f>IFERROR(VLOOKUP(A84,[1]Biogasudbytte!$A$2:$B$18,2,FALSE)*[1]Energiindhold!$C$10,0)*J84*IFERROR(VLOOKUP(A84,Biogasanlæg!$F$3:$G$8,2,FALSE),1)</f>
        <v>0</v>
      </c>
      <c r="T84" s="188">
        <f t="shared" si="31"/>
        <v>0</v>
      </c>
      <c r="U84" s="186">
        <f>O84*IFERROR(VLOOKUP(A84,[1]Tørstofindhold!A$2:B$24,2,FALSE),0)</f>
        <v>0</v>
      </c>
      <c r="V84" s="187">
        <f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si="32"/>
        <v>0</v>
      </c>
      <c r="Y84" s="168">
        <f t="shared" si="21"/>
        <v>0</v>
      </c>
      <c r="Z84" s="103">
        <f t="shared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5638901.0660288362</v>
      </c>
      <c r="G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0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5638901.0660288362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397049.43546707177</v>
      </c>
      <c r="G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0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397049.43546707177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198524.71773353589</v>
      </c>
      <c r="G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251878.62569823104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0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-53353.907964695158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1</v>
      </c>
      <c r="Z87" s="103">
        <f t="shared" si="22"/>
        <v>0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127055.81934946297</v>
      </c>
      <c r="G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0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127055.81934946297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127055.81934946297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4.4469536772312033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4.4469536772312033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1914743.5473328009</v>
      </c>
      <c r="G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1042365.5001332033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21983.639092994388</v>
      </c>
      <c r="K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0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850394.40810660319</v>
      </c>
      <c r="O89" s="190">
        <f t="shared" si="20"/>
        <v>850394.40810660319</v>
      </c>
      <c r="P89" s="200">
        <f t="shared" si="24"/>
        <v>21983.639092994388</v>
      </c>
      <c r="Q89" s="187">
        <f>IFERROR(VLOOKUP(A89,[1]Energiindhold!$A$2:$C$11,3,FALSE),IFERROR(VLOOKUP(A89,[1]Biogasudbytte!$A$2:$B$18,2,FALSE)*[1]Energiindhold!$C$10,0))*O89</f>
        <v>2.3080044393776453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2.3676689152215959</v>
      </c>
      <c r="S89" s="187">
        <f>IFERROR(VLOOKUP(A89,[1]Biogasudbytte!$A$2:$B$18,2,FALSE)*[1]Energiindhold!$C$10,0)*J89*IFERROR(VLOOKUP(A89,Biogasanlæg!$F$3:$G$8,2,FALSE),1)</f>
        <v>5.9664475843950487E-2</v>
      </c>
      <c r="T89" s="188">
        <f t="shared" si="25"/>
        <v>2.3080044393776453</v>
      </c>
      <c r="U89" s="186">
        <f>O89*IFERROR(VLOOKUP(A89,[1]Tørstofindhold!A$2:B$24,2,FALSE),0)</f>
        <v>170078.88162132064</v>
      </c>
      <c r="V89" s="187">
        <f>IF(D89=År1,P89,SUM(O89,P89))*IFERROR(VLOOKUP(A89,[1]Tørstofindhold!A$2:B$24,2,FALSE),0)</f>
        <v>174475.60943991953</v>
      </c>
      <c r="W89" s="187">
        <f>J89*IFERROR(VLOOKUP(A89,[1]Tørstofindhold!A$2:B$24,2,FALSE),0)</f>
        <v>4396.727818598878</v>
      </c>
      <c r="X89" s="188">
        <f t="shared" si="26"/>
        <v>170078.88162132064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216720.35926101435</v>
      </c>
      <c r="G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0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216720.35926101435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147465.74012636166</v>
      </c>
      <c r="G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46179.344840832011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0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101286.39528552965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3993122.7357712239</v>
      </c>
      <c r="G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1514387.1819129025</v>
      </c>
      <c r="K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0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2478735.5538583212</v>
      </c>
      <c r="O92" s="190">
        <f t="shared" si="20"/>
        <v>2478735.5538583212</v>
      </c>
      <c r="P92" s="200">
        <f t="shared" si="24"/>
        <v>1514387.1819129025</v>
      </c>
      <c r="Q92" s="187">
        <f>IFERROR(VLOOKUP(A92,[1]Energiindhold!$A$2:$C$11,3,FALSE),IFERROR(VLOOKUP(A92,[1]Biogasudbytte!$A$2:$B$18,2,FALSE)*[1]Energiindhold!$C$10,0))*O92</f>
        <v>1.236913828730841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1.9926081763771986</v>
      </c>
      <c r="S92" s="187">
        <f>IFERROR(VLOOKUP(A92,[1]Biogasudbytte!$A$2:$B$18,2,FALSE)*[1]Energiindhold!$C$10,0)*J92*IFERROR(VLOOKUP(A92,Biogasanlæg!$F$3:$G$8,2,FALSE),1)</f>
        <v>0.75569434764635757</v>
      </c>
      <c r="T92" s="188">
        <f t="shared" si="25"/>
        <v>1.236913828730841</v>
      </c>
      <c r="U92" s="186">
        <f>O92*IFERROR(VLOOKUP(A92,[1]Tørstofindhold!A$2:B$24,2,FALSE),0)</f>
        <v>148724.13323149926</v>
      </c>
      <c r="V92" s="187">
        <f>IF(D92=År1,P92,SUM(O92,P92))*IFERROR(VLOOKUP(A92,[1]Tørstofindhold!A$2:B$24,2,FALSE),0)</f>
        <v>239587.36414627344</v>
      </c>
      <c r="W92" s="187">
        <f>J92*IFERROR(VLOOKUP(A92,[1]Tørstofindhold!A$2:B$24,2,FALSE),0)</f>
        <v>90863.230914774147</v>
      </c>
      <c r="X92" s="188">
        <f t="shared" si="26"/>
        <v>148724.13323149929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16629449.193931503</v>
      </c>
      <c r="G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14966504.274538353</v>
      </c>
      <c r="K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1662944.9193931499</v>
      </c>
      <c r="L93" s="190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14966504.274538353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6.4475700414711232</v>
      </c>
      <c r="S93" s="187">
        <f>IFERROR(VLOOKUP(A93,[1]Biogasudbytte!$A$2:$B$18,2,FALSE)*[1]Energiindhold!$C$10,0)*J93*IFERROR(VLOOKUP(A93,Biogasanlæg!$F$3:$G$8,2,FALSE),1)</f>
        <v>6.4475700414711232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748325.21372691775</v>
      </c>
      <c r="W93" s="187">
        <f>J93*IFERROR(VLOOKUP(A93,[1]Tørstofindhold!A$2:B$24,2,FALSE),0)</f>
        <v>748325.21372691775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1567563.5653193598</v>
      </c>
      <c r="G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0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1445688.0212706793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0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0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2203754.2205130709</v>
      </c>
      <c r="G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0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2203754.2205130709</v>
      </c>
      <c r="M97" s="15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2203754.2205130709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31.9402636353806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31.9402636353806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1089940.1082287563</v>
      </c>
      <c r="W97" s="187">
        <f>J97*IFERROR(VLOOKUP(A97,[1]Tørstofindhold!A$2:B$24,2,FALSE),0)</f>
        <v>0</v>
      </c>
      <c r="X97" s="188">
        <f t="shared" ca="1" si="26"/>
        <v>1089940.1082287563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605942.81758342392</v>
      </c>
      <c r="G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0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605942.81758342392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214311.08005782543</v>
      </c>
      <c r="G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0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180461.11117138062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199367.45685670001</v>
      </c>
      <c r="G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73265.306718627704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0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126102.15013807231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0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0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-9.8743131762603298E-2</v>
      </c>
      <c r="O101" s="190">
        <f t="shared" ca="1" si="20"/>
        <v>0</v>
      </c>
      <c r="P101" s="200">
        <f t="shared" ca="1" si="24"/>
        <v>197484.23354298095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7">
        <f ca="1">IFERROR(VLOOKUP(A101,[1]Biogasudbytte!$A$2:$B$18,2,FALSE)*[1]Energiindhold!$C$10,0)*J101*IFERROR(VLOOKUP(A101,Biogasanlæg!$F$3:$G$8,2,FALSE),1)</f>
        <v>0.67281101009991739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55295.585392034671</v>
      </c>
      <c r="W101" s="187">
        <f ca="1">J101*IFERROR(VLOOKUP(A101,[1]Tørstofindhold!A$2:B$24,2,FALSE),0)</f>
        <v>55295.585392034671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624851382.26676178</v>
      </c>
      <c r="G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0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624851382.26676178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624851382.26676178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26908389.88104884</v>
      </c>
      <c r="G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0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24288497.234138582</v>
      </c>
      <c r="L103" s="190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2619892.6469102576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877402.83979776292</v>
      </c>
      <c r="G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175480.5679595526</v>
      </c>
      <c r="K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0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701922.27183821029</v>
      </c>
      <c r="O104" s="190">
        <f t="shared" si="20"/>
        <v>701922.27183821029</v>
      </c>
      <c r="P104" s="200">
        <f t="shared" si="24"/>
        <v>175480.5679595526</v>
      </c>
      <c r="Q104" s="187">
        <f>IFERROR(VLOOKUP(A104,[1]Energiindhold!$A$2:$C$11,3,FALSE),IFERROR(VLOOKUP(A104,[1]Biogasudbytte!$A$2:$B$18,2,FALSE)*[1]Energiindhold!$C$10,0))*O104</f>
        <v>0.39871015438850144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0.4983876929856268</v>
      </c>
      <c r="S104" s="187">
        <f>IFERROR(VLOOKUP(A104,[1]Biogasudbytte!$A$2:$B$18,2,FALSE)*[1]Energiindhold!$C$10,0)*J104*IFERROR(VLOOKUP(A104,Biogasanlæg!$F$3:$G$8,2,FALSE),1)</f>
        <v>9.9677538597125373E-2</v>
      </c>
      <c r="T104" s="188">
        <f t="shared" si="25"/>
        <v>0.39871015438850144</v>
      </c>
      <c r="U104" s="186">
        <f>O104*IFERROR(VLOOKUP(A104,[1]Tørstofindhold!A$2:B$24,2,FALSE),0)</f>
        <v>30016.574146540795</v>
      </c>
      <c r="V104" s="187">
        <f>IF(D104=År1,P104,SUM(O104,P104))*IFERROR(VLOOKUP(A104,[1]Tørstofindhold!A$2:B$24,2,FALSE),0)</f>
        <v>37520.717683175993</v>
      </c>
      <c r="W104" s="187">
        <f>J104*IFERROR(VLOOKUP(A104,[1]Tørstofindhold!A$2:B$24,2,FALSE),0)</f>
        <v>7504.1435366351998</v>
      </c>
      <c r="X104" s="188">
        <f t="shared" si="26"/>
        <v>30016.574146540792</v>
      </c>
      <c r="Y104" s="168">
        <f t="shared" si="21"/>
        <v>0</v>
      </c>
      <c r="Z104" s="103">
        <f t="shared" si="22"/>
        <v>1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4132042.9154774514</v>
      </c>
      <c r="G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2066021.4577387257</v>
      </c>
      <c r="K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782136.69471537473</v>
      </c>
      <c r="L105" s="190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1283884.7630233509</v>
      </c>
      <c r="O105" s="190">
        <f t="shared" si="20"/>
        <v>1283884.7630233509</v>
      </c>
      <c r="P105" s="200">
        <f t="shared" si="24"/>
        <v>2066021.4577387257</v>
      </c>
      <c r="Q105" s="187">
        <f>IFERROR(VLOOKUP(A105,[1]Energiindhold!$A$2:$C$11,3,FALSE),IFERROR(VLOOKUP(A105,[1]Biogasudbytte!$A$2:$B$18,2,FALSE)*[1]Energiindhold!$C$10,0))*O105</f>
        <v>2.7654877795522976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7.2156979995215131</v>
      </c>
      <c r="S105" s="187">
        <f>IFERROR(VLOOKUP(A105,[1]Biogasudbytte!$A$2:$B$18,2,FALSE)*[1]Energiindhold!$C$10,0)*J105*IFERROR(VLOOKUP(A105,Biogasanlæg!$F$3:$G$8,2,FALSE),1)</f>
        <v>4.4502102199692155</v>
      </c>
      <c r="T105" s="188">
        <f t="shared" si="25"/>
        <v>2.7654877795522976</v>
      </c>
      <c r="U105" s="186">
        <f>O105*IFERROR(VLOOKUP(A105,[1]Tørstofindhold!A$2:B$24,2,FALSE),0)</f>
        <v>385165.42890700523</v>
      </c>
      <c r="V105" s="187">
        <f>IF(D105=År1,P105,SUM(O105,P105))*IFERROR(VLOOKUP(A105,[1]Tørstofindhold!A$2:B$24,2,FALSE),0)</f>
        <v>1004971.866228623</v>
      </c>
      <c r="W105" s="187">
        <f>J105*IFERROR(VLOOKUP(A105,[1]Tørstofindhold!A$2:B$24,2,FALSE),0)</f>
        <v>619806.43732161773</v>
      </c>
      <c r="X105" s="188">
        <f t="shared" si="26"/>
        <v>385165.42890700523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617988.29125231062</v>
      </c>
      <c r="G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615674.84637502255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0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2313.4448772880714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1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12080.53053985185</v>
      </c>
      <c r="G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10872.477485866666</v>
      </c>
      <c r="K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1208.0530539851848</v>
      </c>
      <c r="L107" s="190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10872.477485866666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5.1132174368282348E-3</v>
      </c>
      <c r="S107" s="187">
        <f>IFERROR(VLOOKUP(A107,[1]Biogasudbytte!$A$2:$B$18,2,FALSE)*[1]Energiindhold!$C$10,0)*J107*IFERROR(VLOOKUP(A107,Biogasanlæg!$F$3:$G$8,2,FALSE),1)</f>
        <v>5.1132174368282348E-3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684.9660816096</v>
      </c>
      <c r="W107" s="187">
        <f>J107*IFERROR(VLOOKUP(A107,[1]Tørstofindhold!A$2:B$24,2,FALSE),0)</f>
        <v>684.9660816096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157500.32695448503</v>
      </c>
      <c r="G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0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120829.52732750315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983449.7427254892</v>
      </c>
      <c r="G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0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983449.7427254892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28565.28523056208</v>
      </c>
      <c r="G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0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-239413.63512045937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0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26645387.494822316</v>
      </c>
      <c r="G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14698917.729434509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66308.44487944337</v>
      </c>
      <c r="K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0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1795556.8725154817</v>
      </c>
      <c r="N112" s="199">
        <f t="shared" si="23"/>
        <v>10084604.447992884</v>
      </c>
      <c r="O112" s="190">
        <f t="shared" si="20"/>
        <v>10084604.447992884</v>
      </c>
      <c r="P112" s="200">
        <f t="shared" si="24"/>
        <v>66308.44487944337</v>
      </c>
      <c r="Q112" s="187">
        <f>IFERROR(VLOOKUP(A112,[1]Energiindhold!$A$2:$C$11,3,FALSE),IFERROR(VLOOKUP(A112,[1]Biogasudbytte!$A$2:$B$18,2,FALSE)*[1]Energiindhold!$C$10,0))*O112</f>
        <v>18.554411608750907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18.676410858773473</v>
      </c>
      <c r="S112" s="187">
        <f>IFERROR(VLOOKUP(A112,[1]Biogasudbytte!$A$2:$B$18,2,FALSE)*[1]Energiindhold!$C$10,0)*J112*IFERROR(VLOOKUP(A112,Biogasanlæg!$F$3:$G$8,2,FALSE),1)</f>
        <v>0.12199925002256588</v>
      </c>
      <c r="T112" s="188">
        <f t="shared" si="25"/>
        <v>18.554411608750907</v>
      </c>
      <c r="U112" s="186">
        <f>O112*IFERROR(VLOOKUP(A112,[1]Tørstofindhold!A$2:B$24,2,FALSE),0)</f>
        <v>2823689.2454380076</v>
      </c>
      <c r="V112" s="187">
        <f>IF(D112=År1,P112,SUM(O112,P112))*IFERROR(VLOOKUP(A112,[1]Tørstofindhold!A$2:B$24,2,FALSE),0)</f>
        <v>2842255.6100042514</v>
      </c>
      <c r="W112" s="187">
        <f>J112*IFERROR(VLOOKUP(A112,[1]Tørstofindhold!A$2:B$24,2,FALSE),0)</f>
        <v>18566.364566244145</v>
      </c>
      <c r="X112" s="188">
        <f t="shared" si="26"/>
        <v>2823689.2454380072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300165.74146540801</v>
      </c>
      <c r="G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300165.74146540801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0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193718.4082328768</v>
      </c>
      <c r="G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0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-86954.250450561463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2529642.2629303834</v>
      </c>
      <c r="G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918861.60943487042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849907.04589271802</v>
      </c>
      <c r="I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54669.921184812862</v>
      </c>
      <c r="K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0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706203.68641798187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760873.60760279477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7.6143861561869199</v>
      </c>
      <c r="S115" s="187">
        <f>IFERROR(VLOOKUP(A115,[1]Biogasudbytte!$A$2:$B$18,2,FALSE)*[1]Energiindhold!$C$10,0)*J115*IFERROR(VLOOKUP(A115,Biogasanlæg!$F$3:$G$8,2,FALSE),1)</f>
        <v>0.31520161738788599</v>
      </c>
      <c r="T115" s="188">
        <f t="shared" si="25"/>
        <v>7.2991845387990342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646742.56646237557</v>
      </c>
      <c r="W115" s="187">
        <f>J115*IFERROR(VLOOKUP(A115,[1]Tørstofindhold!A$2:B$24,2,FALSE),0)</f>
        <v>46469.433007090935</v>
      </c>
      <c r="X115" s="188">
        <f t="shared" si="26"/>
        <v>600273.13345528464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0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5788120.7826627549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0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-5788120.7826627549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568531.79900121083</v>
      </c>
      <c r="G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517021.84354515088</v>
      </c>
      <c r="K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0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51509.95545605995</v>
      </c>
      <c r="O118" s="190">
        <f t="shared" si="20"/>
        <v>51509.95545605995</v>
      </c>
      <c r="P118" s="200">
        <f t="shared" si="24"/>
        <v>517021.84354515088</v>
      </c>
      <c r="Q118" s="187">
        <f>IFERROR(VLOOKUP(A118,[1]Energiindhold!$A$2:$C$11,3,FALSE),IFERROR(VLOOKUP(A118,[1]Biogasudbytte!$A$2:$B$18,2,FALSE)*[1]Energiindhold!$C$10,0))*O118</f>
        <v>0.22319933328531708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2.1274737650679971</v>
      </c>
      <c r="S118" s="187">
        <f>IFERROR(VLOOKUP(A118,[1]Biogasudbytte!$A$2:$B$18,2,FALSE)*[1]Energiindhold!$C$10,0)*J118*IFERROR(VLOOKUP(A118,Biogasanlæg!$F$3:$G$8,2,FALSE),1)</f>
        <v>1.9042744317826799</v>
      </c>
      <c r="T118" s="188">
        <f t="shared" si="25"/>
        <v>0.22319933328531727</v>
      </c>
      <c r="U118" s="186">
        <f>O118*IFERROR(VLOOKUP(A118,[1]Tørstofindhold!A$2:B$24,2,FALSE),0)</f>
        <v>21634.181291545177</v>
      </c>
      <c r="V118" s="187">
        <f>IF(D118=År1,P118,SUM(O118,P118))*IFERROR(VLOOKUP(A118,[1]Tørstofindhold!A$2:B$24,2,FALSE),0)</f>
        <v>238783.35558050853</v>
      </c>
      <c r="W118" s="187">
        <f>J118*IFERROR(VLOOKUP(A118,[1]Tørstofindhold!A$2:B$24,2,FALSE),0)</f>
        <v>217149.17428896338</v>
      </c>
      <c r="X118" s="188">
        <f t="shared" si="26"/>
        <v>21634.181291545159</v>
      </c>
      <c r="Y118" s="168">
        <f t="shared" si="21"/>
        <v>0</v>
      </c>
      <c r="Z118" s="103">
        <f t="shared" si="22"/>
        <v>1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632878.59681876935</v>
      </c>
      <c r="G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0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632878.59681876935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1568806.308043394</v>
      </c>
      <c r="G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0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1440458.5093489573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4931706.2535388134</v>
      </c>
      <c r="G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6174012.1525406614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2900.6853742765697</v>
      </c>
      <c r="K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0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-1552677.135094665</v>
      </c>
      <c r="O121" s="190">
        <f t="shared" si="20"/>
        <v>0</v>
      </c>
      <c r="P121" s="200">
        <f t="shared" si="24"/>
        <v>2900.6853742765697</v>
      </c>
      <c r="Q121" s="187">
        <f>IFERROR(VLOOKUP(A121,[1]Energiindhold!$A$2:$C$11,3,FALSE),IFERROR(VLOOKUP(A121,[1]Biogasudbytte!$A$2:$B$18,2,FALSE)*[1]Energiindhold!$C$10,0))*O121</f>
        <v>0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9.9344413109448537E-3</v>
      </c>
      <c r="S121" s="187">
        <f>IFERROR(VLOOKUP(A121,[1]Biogasudbytte!$A$2:$B$18,2,FALSE)*[1]Energiindhold!$C$10,0)*J121*IFERROR(VLOOKUP(A121,Biogasanlæg!$F$3:$G$8,2,FALSE),1)</f>
        <v>9.9344413109448537E-3</v>
      </c>
      <c r="T121" s="188">
        <f t="shared" si="25"/>
        <v>0</v>
      </c>
      <c r="U121" s="186">
        <f>O121*IFERROR(VLOOKUP(A121,[1]Tørstofindhold!A$2:B$24,2,FALSE),0)</f>
        <v>0</v>
      </c>
      <c r="V121" s="187">
        <f>IF(D121=År1,P121,SUM(O121,P121))*IFERROR(VLOOKUP(A121,[1]Tørstofindhold!A$2:B$24,2,FALSE),0)</f>
        <v>899.2124660257366</v>
      </c>
      <c r="W121" s="187">
        <f>J121*IFERROR(VLOOKUP(A121,[1]Tørstofindhold!A$2:B$24,2,FALSE),0)</f>
        <v>899.2124660257366</v>
      </c>
      <c r="X121" s="188">
        <f t="shared" si="26"/>
        <v>0</v>
      </c>
      <c r="Y121" s="168">
        <f t="shared" si="21"/>
        <v>1</v>
      </c>
      <c r="Z121" s="103">
        <f t="shared" si="22"/>
        <v>0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0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255065.50061315967</v>
      </c>
      <c r="L122" s="190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-255065.50061315967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13698405.628900958</v>
      </c>
      <c r="G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12328565.066010863</v>
      </c>
      <c r="K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1369840.5628900954</v>
      </c>
      <c r="L123" s="190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12328565.066010863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6.2405963507640392</v>
      </c>
      <c r="S123" s="187">
        <f>IFERROR(VLOOKUP(A123,[1]Biogasudbytte!$A$2:$B$18,2,FALSE)*[1]Energiindhold!$C$10,0)*J123*IFERROR(VLOOKUP(A123,Biogasanlæg!$F$3:$G$8,2,FALSE),1)</f>
        <v>6.2405963507640392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936970.94501682557</v>
      </c>
      <c r="W123" s="187">
        <f>J123*IFERROR(VLOOKUP(A123,[1]Tørstofindhold!A$2:B$24,2,FALSE),0)</f>
        <v>936970.94501682557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1716802.1114000401</v>
      </c>
      <c r="G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1812574.6986106627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0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-95772.587210622616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1</v>
      </c>
      <c r="Z124" s="103">
        <f t="shared" si="22"/>
        <v>0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5675509.2625816874</v>
      </c>
      <c r="G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5991945.9604161596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253885.21862507635</v>
      </c>
      <c r="K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0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-570321.91645954829</v>
      </c>
      <c r="O125" s="190">
        <f t="shared" si="20"/>
        <v>0</v>
      </c>
      <c r="P125" s="200">
        <f t="shared" si="24"/>
        <v>253885.21862507635</v>
      </c>
      <c r="Q125" s="187">
        <f>IFERROR(VLOOKUP(A125,[1]Energiindhold!$A$2:$C$11,3,FALSE),IFERROR(VLOOKUP(A125,[1]Biogasudbytte!$A$2:$B$18,2,FALSE)*[1]Energiindhold!$C$10,0))*O125</f>
        <v>0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0.9114479348640242</v>
      </c>
      <c r="S125" s="187">
        <f>IFERROR(VLOOKUP(A125,[1]Biogasudbytte!$A$2:$B$18,2,FALSE)*[1]Energiindhold!$C$10,0)*J125*IFERROR(VLOOKUP(A125,Biogasanlæg!$F$3:$G$8,2,FALSE),1)</f>
        <v>0.9114479348640242</v>
      </c>
      <c r="T125" s="188">
        <f t="shared" si="25"/>
        <v>0</v>
      </c>
      <c r="U125" s="186">
        <f>O125*IFERROR(VLOOKUP(A125,[1]Tørstofindhold!A$2:B$24,2,FALSE),0)</f>
        <v>0</v>
      </c>
      <c r="V125" s="187">
        <f>IF(D125=År1,P125,SUM(O125,P125))*IFERROR(VLOOKUP(A125,[1]Tørstofindhold!A$2:B$24,2,FALSE),0)</f>
        <v>76165.565587522899</v>
      </c>
      <c r="W125" s="187">
        <f>J125*IFERROR(VLOOKUP(A125,[1]Tørstofindhold!A$2:B$24,2,FALSE),0)</f>
        <v>76165.565587522899</v>
      </c>
      <c r="X125" s="188">
        <f t="shared" si="26"/>
        <v>0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3312537.0730027938</v>
      </c>
      <c r="G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0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2821712.5241493438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0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101763.93645151507</v>
      </c>
      <c r="G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0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39395.368778240489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1</v>
      </c>
      <c r="Z128" s="103">
        <f t="shared" si="22"/>
        <v>0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1388742.1614343196</v>
      </c>
      <c r="G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0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1388742.1614343196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131051.12576863175</v>
      </c>
      <c r="G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0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131051.12576863175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131051.12576863175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2.411340714142824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2.411340714142824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54386.217193982186</v>
      </c>
      <c r="W130" s="187">
        <f>J130*IFERROR(VLOOKUP(A130,[1]Tørstofindhold!A$2:B$24,2,FALSE),0)</f>
        <v>0</v>
      </c>
      <c r="X130" s="188">
        <f t="shared" si="26"/>
        <v>54386.217193982186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0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si="38">F131-SUM(G131:M131)</f>
        <v>0</v>
      </c>
      <c r="O131" s="190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si="40">SUM(J131,L131)</f>
        <v>0</v>
      </c>
      <c r="Q131" s="187">
        <f>IFERROR(VLOOKUP(A131,[1]Energiindhold!$A$2:$C$11,3,FALSE),IFERROR(VLOOKUP(A131,[1]Biogasudbytte!$A$2:$B$18,2,FALSE)*[1]Energiindhold!$C$10,0))*O131</f>
        <v>0</v>
      </c>
      <c r="R131" s="187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si="41">R131-S131</f>
        <v>0</v>
      </c>
      <c r="U131" s="186">
        <f>O131*IFERROR(VLOOKUP(A131,[1]Tørstofindhold!A$2:B$24,2,FALSE),0)</f>
        <v>0</v>
      </c>
      <c r="V131" s="187">
        <f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si="42">V131-W131</f>
        <v>0</v>
      </c>
      <c r="Y131" s="168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0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si="38"/>
        <v>0</v>
      </c>
      <c r="O132" s="190">
        <f t="shared" si="39"/>
        <v>0</v>
      </c>
      <c r="P132" s="200">
        <f t="shared" si="40"/>
        <v>0</v>
      </c>
      <c r="Q132" s="187">
        <f>IFERROR(VLOOKUP(A132,[1]Energiindhold!$A$2:$C$11,3,FALSE),IFERROR(VLOOKUP(A132,[1]Biogasudbytte!$A$2:$B$18,2,FALSE)*[1]Energiindhold!$C$10,0))*O132</f>
        <v>0</v>
      </c>
      <c r="R132" s="187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si="41"/>
        <v>0</v>
      </c>
      <c r="U132" s="186">
        <f>O132*IFERROR(VLOOKUP(A132,[1]Tørstofindhold!A$2:B$24,2,FALSE),0)</f>
        <v>0</v>
      </c>
      <c r="V132" s="187">
        <f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si="42"/>
        <v>0</v>
      </c>
      <c r="Y132" s="168">
        <f t="shared" si="43"/>
        <v>0</v>
      </c>
      <c r="Z132" s="103">
        <f t="shared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5158296.5993875219</v>
      </c>
      <c r="G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0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5158296.5993875219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367729.31318887876</v>
      </c>
      <c r="G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0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367729.31318887876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183864.65659443938</v>
      </c>
      <c r="G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251878.62569823102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0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-68013.969103791635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1</v>
      </c>
      <c r="Z135" s="103">
        <f t="shared" si="44"/>
        <v>0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117673.38022044121</v>
      </c>
      <c r="G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0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117673.38022044121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117673.38022044121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4.1185683077154422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4.1185683077154422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1780122.6131143337</v>
      </c>
      <c r="G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1042365.5001332033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21838.567357649685</v>
      </c>
      <c r="K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0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715918.54562348058</v>
      </c>
      <c r="O137" s="190">
        <f t="shared" si="39"/>
        <v>715918.54562348058</v>
      </c>
      <c r="P137" s="200">
        <f t="shared" si="24"/>
        <v>21838.567357649685</v>
      </c>
      <c r="Q137" s="187">
        <f>IFERROR(VLOOKUP(A137,[1]Energiindhold!$A$2:$C$11,3,FALSE),IFERROR(VLOOKUP(A137,[1]Biogasudbytte!$A$2:$B$18,2,FALSE)*[1]Energiindhold!$C$10,0))*O137</f>
        <v>1.9430315695639513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2.002302314915307</v>
      </c>
      <c r="S137" s="187">
        <f>IFERROR(VLOOKUP(A137,[1]Biogasudbytte!$A$2:$B$18,2,FALSE)*[1]Energiindhold!$C$10,0)*J137*IFERROR(VLOOKUP(A137,Biogasanlæg!$F$3:$G$8,2,FALSE),1)</f>
        <v>5.9270745351355549E-2</v>
      </c>
      <c r="T137" s="188">
        <f t="shared" si="25"/>
        <v>1.9430315695639515</v>
      </c>
      <c r="U137" s="186">
        <f>O137*IFERROR(VLOOKUP(A137,[1]Tørstofindhold!A$2:B$24,2,FALSE),0)</f>
        <v>143183.70912469612</v>
      </c>
      <c r="V137" s="187">
        <f>IF(D137=År1,P137,SUM(O137,P137))*IFERROR(VLOOKUP(A137,[1]Tørstofindhold!A$2:B$24,2,FALSE),0)</f>
        <v>147551.42259622607</v>
      </c>
      <c r="W137" s="187">
        <f>J137*IFERROR(VLOOKUP(A137,[1]Tørstofindhold!A$2:B$24,2,FALSE),0)</f>
        <v>4367.7134715299371</v>
      </c>
      <c r="X137" s="188">
        <f t="shared" si="26"/>
        <v>143183.70912469612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187205.4874474731</v>
      </c>
      <c r="G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0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187205.4874474731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128378.10633228059</v>
      </c>
      <c r="G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46179.344840832004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0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82198.761491448589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4131290.9636463677</v>
      </c>
      <c r="G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1566787.3226266655</v>
      </c>
      <c r="K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0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2564503.641019702</v>
      </c>
      <c r="O140" s="190">
        <f t="shared" si="39"/>
        <v>2564503.641019702</v>
      </c>
      <c r="P140" s="200">
        <f t="shared" si="24"/>
        <v>1566787.3226266655</v>
      </c>
      <c r="Q140" s="187">
        <f>IFERROR(VLOOKUP(A140,[1]Energiindhold!$A$2:$C$11,3,FALSE),IFERROR(VLOOKUP(A140,[1]Biogasudbytte!$A$2:$B$18,2,FALSE)*[1]Energiindhold!$C$10,0))*O140</f>
        <v>1.2797129619052416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2.0615555037691742</v>
      </c>
      <c r="S140" s="187">
        <f>IFERROR(VLOOKUP(A140,[1]Biogasudbytte!$A$2:$B$18,2,FALSE)*[1]Energiindhold!$C$10,0)*J140*IFERROR(VLOOKUP(A140,Biogasanlæg!$F$3:$G$8,2,FALSE),1)</f>
        <v>0.78184254186393243</v>
      </c>
      <c r="T140" s="188">
        <f t="shared" si="25"/>
        <v>1.2797129619052416</v>
      </c>
      <c r="U140" s="186">
        <f>O140*IFERROR(VLOOKUP(A140,[1]Tørstofindhold!A$2:B$24,2,FALSE),0)</f>
        <v>153870.21846118211</v>
      </c>
      <c r="V140" s="187">
        <f>IF(D140=År1,P140,SUM(O140,P140))*IFERROR(VLOOKUP(A140,[1]Tørstofindhold!A$2:B$24,2,FALSE),0)</f>
        <v>247877.45781878202</v>
      </c>
      <c r="W140" s="187">
        <f>J140*IFERROR(VLOOKUP(A140,[1]Tørstofindhold!A$2:B$24,2,FALSE),0)</f>
        <v>94007.23935759993</v>
      </c>
      <c r="X140" s="188">
        <f t="shared" si="26"/>
        <v>153870.21846118208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13216055.395535078</v>
      </c>
      <c r="G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11894449.85598157</v>
      </c>
      <c r="K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1321605.5395535075</v>
      </c>
      <c r="L141" s="190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11894449.85598157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5.1241289979568609</v>
      </c>
      <c r="S141" s="187">
        <f>IFERROR(VLOOKUP(A141,[1]Biogasudbytte!$A$2:$B$18,2,FALSE)*[1]Energiindhold!$C$10,0)*J141*IFERROR(VLOOKUP(A141,Biogasanlæg!$F$3:$G$8,2,FALSE),1)</f>
        <v>5.1241289979568609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594722.49279907846</v>
      </c>
      <c r="W141" s="187">
        <f>J141*IFERROR(VLOOKUP(A141,[1]Tørstofindhold!A$2:B$24,2,FALSE),0)</f>
        <v>594722.49279907846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1366427.219240695</v>
      </c>
      <c r="G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0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1239800.1272979861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0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0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2017363.2784560476</v>
      </c>
      <c r="G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0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2017363.2784560476</v>
      </c>
      <c r="M145" s="15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2017363.2784560476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29.238793674196714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29.238793674196714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997754.25480305357</v>
      </c>
      <c r="W145" s="187">
        <f>J145*IFERROR(VLOOKUP(A145,[1]Tørstofindhold!A$2:B$24,2,FALSE),0)</f>
        <v>0</v>
      </c>
      <c r="X145" s="188">
        <f t="shared" ca="1" si="26"/>
        <v>997754.25480305357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556795.12476417224</v>
      </c>
      <c r="G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0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556795.12476417224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0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26972.495538657848</v>
      </c>
      <c r="G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0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19055.87878491775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230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0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0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110817068.59908372</v>
      </c>
      <c r="G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0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110817068.59908372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110817068.59908372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2463073.3914116896</v>
      </c>
      <c r="G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0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1801862.1200388186</v>
      </c>
      <c r="L151" s="190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661211.27137287101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208</v>
      </c>
      <c r="B152" s="189" t="s">
        <v>230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0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222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0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0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222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0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0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620445.82725004398</v>
      </c>
      <c r="G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0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620445.82725004398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15780.226177538038</v>
      </c>
      <c r="G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0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-197024.06677216437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0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224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2148848.2010935447</v>
      </c>
      <c r="G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10277.831749012612</v>
      </c>
      <c r="K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0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636502.29333281773</v>
      </c>
      <c r="O160" s="190">
        <f t="shared" si="39"/>
        <v>636502.29333281773</v>
      </c>
      <c r="P160" s="200">
        <f t="shared" si="49"/>
        <v>10277.831749012612</v>
      </c>
      <c r="Q160" s="187">
        <f>IFERROR(VLOOKUP(A160,[1]Energiindhold!$A$2:$C$11,3,FALSE),IFERROR(VLOOKUP(A160,[1]Biogasudbytte!$A$2:$B$18,2,FALSE)*[1]Energiindhold!$C$10,0))*O160</f>
        <v>1.1710846569457181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1.8909925689214579E-2</v>
      </c>
      <c r="S160" s="187">
        <f>IFERROR(VLOOKUP(A160,[1]Biogasudbytte!$A$2:$B$18,2,FALSE)*[1]Energiindhold!$C$10,0)*J160*IFERROR(VLOOKUP(A160,Biogasanlæg!$F$3:$G$8,2,FALSE),1)</f>
        <v>1.8909925689214579E-2</v>
      </c>
      <c r="T160" s="188">
        <f t="shared" si="50"/>
        <v>0</v>
      </c>
      <c r="U160" s="186">
        <f>O160*IFERROR(VLOOKUP(A160,[1]Tørstofindhold!A$2:B$24,2,FALSE),0)</f>
        <v>178220.64213318899</v>
      </c>
      <c r="V160" s="187">
        <f>IF(D160=År1,P160,SUM(O160,P160))*IFERROR(VLOOKUP(A160,[1]Tørstofindhold!A$2:B$24,2,FALSE),0)</f>
        <v>2877.7928897235315</v>
      </c>
      <c r="W160" s="187">
        <f>J160*IFERROR(VLOOKUP(A160,[1]Tørstofindhold!A$2:B$24,2,FALSE),0)</f>
        <v>2877.7928897235315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0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95299.46904386401</v>
      </c>
      <c r="G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0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-127585.02725608747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227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954412.72069157928</v>
      </c>
      <c r="G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22739.095393183845</v>
      </c>
      <c r="K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0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732655.58820898295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755394.68360216683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7.7036894370658402</v>
      </c>
      <c r="S163" s="187">
        <f>IFERROR(VLOOKUP(A163,[1]Biogasudbytte!$A$2:$B$18,2,FALSE)*[1]Energiindhold!$C$10,0)*J163*IFERROR(VLOOKUP(A163,Biogasanlæg!$F$3:$G$8,2,FALSE),1)</f>
        <v>0.1311031640532172</v>
      </c>
      <c r="T163" s="188">
        <f t="shared" si="50"/>
        <v>7.5725862730126234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642085.48106184183</v>
      </c>
      <c r="W163" s="187">
        <f>J163*IFERROR(VLOOKUP(A163,[1]Tørstofindhold!A$2:B$24,2,FALSE),0)</f>
        <v>19328.231084206269</v>
      </c>
      <c r="X163" s="188">
        <f t="shared" si="51"/>
        <v>622757.24997763557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230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0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0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230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0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145627.35347864506</v>
      </c>
      <c r="G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0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145627.35347864506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116539.79424410909</v>
      </c>
      <c r="G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0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14617.738147146345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227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2268650.5850062412</v>
      </c>
      <c r="G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942.6064741945944</v>
      </c>
      <c r="K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0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1301921.4452316216</v>
      </c>
      <c r="O169" s="190">
        <f t="shared" si="39"/>
        <v>1301921.4452316216</v>
      </c>
      <c r="P169" s="200">
        <f t="shared" si="49"/>
        <v>942.6064741945944</v>
      </c>
      <c r="Q169" s="187">
        <f>IFERROR(VLOOKUP(A169,[1]Energiindhold!$A$2:$C$11,3,FALSE),IFERROR(VLOOKUP(A169,[1]Biogasudbytte!$A$2:$B$18,2,FALSE)*[1]Energiindhold!$C$10,0))*O169</f>
        <v>4.4588986809159721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3.2282952092100993E-3</v>
      </c>
      <c r="S169" s="187">
        <f>IFERROR(VLOOKUP(A169,[1]Biogasudbytte!$A$2:$B$18,2,FALSE)*[1]Energiindhold!$C$10,0)*J169*IFERROR(VLOOKUP(A169,Biogasanlæg!$F$3:$G$8,2,FALSE),1)</f>
        <v>3.2282952092100993E-3</v>
      </c>
      <c r="T169" s="188">
        <f t="shared" si="50"/>
        <v>0</v>
      </c>
      <c r="U169" s="186">
        <f>O169*IFERROR(VLOOKUP(A169,[1]Tørstofindhold!A$2:B$24,2,FALSE),0)</f>
        <v>403595.64802180271</v>
      </c>
      <c r="V169" s="187">
        <f>IF(D169=År1,P169,SUM(O169,P169))*IFERROR(VLOOKUP(A169,[1]Tørstofindhold!A$2:B$24,2,FALSE),0)</f>
        <v>292.20800700032424</v>
      </c>
      <c r="W169" s="187">
        <f>J169*IFERROR(VLOOKUP(A169,[1]Tørstofindhold!A$2:B$24,2,FALSE),0)</f>
        <v>292.20800700032424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0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374820.3560243976</v>
      </c>
      <c r="L170" s="190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-374820.3560243976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222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0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0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224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365245.73356828612</v>
      </c>
      <c r="G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15151.053724986185</v>
      </c>
      <c r="K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0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-344258.58126598754</v>
      </c>
      <c r="O173" s="190">
        <f t="shared" si="39"/>
        <v>0</v>
      </c>
      <c r="P173" s="200">
        <f t="shared" si="49"/>
        <v>15151.053724986185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5.4392282872700405E-2</v>
      </c>
      <c r="S173" s="187">
        <f>IFERROR(VLOOKUP(A173,[1]Biogasudbytte!$A$2:$B$18,2,FALSE)*[1]Energiindhold!$C$10,0)*J173*IFERROR(VLOOKUP(A173,Biogasanlæg!$F$3:$G$8,2,FALSE),1)</f>
        <v>5.4392282872700405E-2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4545.316117495855</v>
      </c>
      <c r="W173" s="187">
        <f>J173*IFERROR(VLOOKUP(A173,[1]Tørstofindhold!A$2:B$24,2,FALSE),0)</f>
        <v>4545.316117495855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0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226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0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0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395448.91426064254</v>
      </c>
      <c r="G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0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395448.91426064254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225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38860.356190289756</v>
      </c>
      <c r="G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0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38860.356190289756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38860.356190289756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0.71503055390133141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0.71503055390133141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16127.04781897025</v>
      </c>
      <c r="W178" s="187">
        <f>J178*IFERROR(VLOOKUP(A178,[1]Tørstofindhold!A$2:B$24,2,FALSE),0)</f>
        <v>0</v>
      </c>
      <c r="X178" s="188">
        <f t="shared" si="51"/>
        <v>16127.04781897025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307</v>
      </c>
      <c r="B179" s="189" t="s">
        <v>313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0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si="52">F179-SUM(G179:M179)</f>
        <v>0</v>
      </c>
      <c r="O179" s="190">
        <f t="shared" si="39"/>
        <v>0</v>
      </c>
      <c r="P179" s="200">
        <f t="shared" ref="P179:P180" si="53">SUM(J179,L179)</f>
        <v>0</v>
      </c>
      <c r="Q179" s="187">
        <f>IFERROR(VLOOKUP(A179,[1]Energiindhold!$A$2:$C$11,3,FALSE),IFERROR(VLOOKUP(A179,[1]Biogasudbytte!$A$2:$B$18,2,FALSE)*[1]Energiindhold!$C$10,0))*O179</f>
        <v>0</v>
      </c>
      <c r="R179" s="187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si="54">R179-S179</f>
        <v>0</v>
      </c>
      <c r="U179" s="186">
        <f>O179*IFERROR(VLOOKUP(A179,[1]Tørstofindhold!A$2:B$24,2,FALSE),0)</f>
        <v>0</v>
      </c>
      <c r="V179" s="187">
        <f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si="55">V179-W179</f>
        <v>0</v>
      </c>
      <c r="Y179" s="168">
        <f t="shared" si="43"/>
        <v>0</v>
      </c>
      <c r="Z179" s="103">
        <f t="shared" si="44"/>
        <v>0</v>
      </c>
    </row>
    <row r="180" spans="1:26" x14ac:dyDescent="0.25">
      <c r="A180" s="189" t="s">
        <v>308</v>
      </c>
      <c r="B180" s="189" t="s">
        <v>313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0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si="52"/>
        <v>0</v>
      </c>
      <c r="O180" s="190">
        <f t="shared" si="39"/>
        <v>0</v>
      </c>
      <c r="P180" s="200">
        <f t="shared" si="53"/>
        <v>0</v>
      </c>
      <c r="Q180" s="187">
        <f>IFERROR(VLOOKUP(A180,[1]Energiindhold!$A$2:$C$11,3,FALSE),IFERROR(VLOOKUP(A180,[1]Biogasudbytte!$A$2:$B$18,2,FALSE)*[1]Energiindhold!$C$10,0))*O180</f>
        <v>0</v>
      </c>
      <c r="R180" s="187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si="54"/>
        <v>0</v>
      </c>
      <c r="U180" s="186">
        <f>O180*IFERROR(VLOOKUP(A180,[1]Tørstofindhold!A$2:B$24,2,FALSE),0)</f>
        <v>0</v>
      </c>
      <c r="V180" s="187">
        <f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si="55"/>
        <v>0</v>
      </c>
      <c r="Y180" s="168">
        <f t="shared" si="43"/>
        <v>0</v>
      </c>
      <c r="Z180" s="103">
        <f t="shared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0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192563.22613808865</v>
      </c>
      <c r="G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0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192563.22613808865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238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96281.613069044324</v>
      </c>
      <c r="G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0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70002.843567045958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231</v>
      </c>
      <c r="B184" s="189" t="s">
        <v>231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61620.23236418837</v>
      </c>
      <c r="G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0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32042.520829377954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29577.711534810416</v>
      </c>
      <c r="N184" s="199">
        <f t="shared" si="48"/>
        <v>0</v>
      </c>
      <c r="O184" s="190">
        <f t="shared" si="39"/>
        <v>0</v>
      </c>
      <c r="P184" s="200">
        <f t="shared" si="49"/>
        <v>32042.520829377954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1.1214882290282282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1.1214882290282282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224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2233316.4654569654</v>
      </c>
      <c r="G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24503.032029712213</v>
      </c>
      <c r="K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0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2105567.5565972263</v>
      </c>
      <c r="O185" s="190">
        <f t="shared" si="39"/>
        <v>1637775.5474174484</v>
      </c>
      <c r="P185" s="200">
        <f t="shared" si="49"/>
        <v>24503.032029712213</v>
      </c>
      <c r="Q185" s="187">
        <f>IFERROR(VLOOKUP(A185,[1]Energiindhold!$A$2:$C$11,3,FALSE),IFERROR(VLOOKUP(A185,[1]Biogasudbytte!$A$2:$B$18,2,FALSE)*[1]Energiindhold!$C$10,0))*O185</f>
        <v>4.4449883467128517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6.650220904992013E-2</v>
      </c>
      <c r="S185" s="187">
        <f>IFERROR(VLOOKUP(A185,[1]Biogasudbytte!$A$2:$B$18,2,FALSE)*[1]Energiindhold!$C$10,0)*J185*IFERROR(VLOOKUP(A185,Biogasanlæg!$F$3:$G$8,2,FALSE),1)</f>
        <v>6.650220904992013E-2</v>
      </c>
      <c r="T185" s="188">
        <f t="shared" si="50"/>
        <v>0</v>
      </c>
      <c r="U185" s="186">
        <f>O185*IFERROR(VLOOKUP(A185,[1]Tørstofindhold!A$2:B$24,2,FALSE),0)</f>
        <v>327555.10948348971</v>
      </c>
      <c r="V185" s="187">
        <f>IF(D185=År1,P185,SUM(O185,P185))*IFERROR(VLOOKUP(A185,[1]Tørstofindhold!A$2:B$24,2,FALSE),0)</f>
        <v>4900.6064059424425</v>
      </c>
      <c r="W185" s="187">
        <f>J185*IFERROR(VLOOKUP(A185,[1]Tørstofindhold!A$2:B$24,2,FALSE),0)</f>
        <v>4900.6064059424425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0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0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230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0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222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0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0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226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0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0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225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681614.98381741357</v>
      </c>
      <c r="G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0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681614.98381741357</v>
      </c>
      <c r="M193" s="15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681614.98381741357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9.8790337317585379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9.8790337317585379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337115.41074636247</v>
      </c>
      <c r="W193" s="187">
        <f>J193*IFERROR(VLOOKUP(A193,[1]Tørstofindhold!A$2:B$24,2,FALSE),0)</f>
        <v>0</v>
      </c>
      <c r="X193" s="188">
        <f t="shared" ca="1" si="51"/>
        <v>337115.41074636247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187416.40966897184</v>
      </c>
      <c r="G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0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187416.40966897184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20469.927135437214</v>
      </c>
      <c r="G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0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-7739.4129891913253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62904.656720576306</v>
      </c>
      <c r="G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8992.6676617292323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0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53911.989058847073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0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0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-1.3112847955198959E-2</v>
      </c>
      <c r="O197" s="190">
        <f t="shared" ca="1" si="59"/>
        <v>0</v>
      </c>
      <c r="P197" s="200">
        <f t="shared" ca="1" si="49"/>
        <v>168912.75887120995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7">
        <f ca="1">IFERROR(VLOOKUP(A197,[1]Biogasudbytte!$A$2:$B$18,2,FALSE)*[1]Energiindhold!$C$10,0)*J197*IFERROR(VLOOKUP(A197,Biogasanlæg!$F$3:$G$8,2,FALSE),1)</f>
        <v>0.57547056732591406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47295.572483938791</v>
      </c>
      <c r="W197" s="187">
        <f ca="1">J197*IFERROR(VLOOKUP(A197,[1]Tørstofindhold!A$2:B$24,2,FALSE),0)</f>
        <v>47295.572483938791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131648320.0935895</v>
      </c>
      <c r="G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0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131648320.0935895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131648320.0935895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4746308.9539342923</v>
      </c>
      <c r="G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0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4362351.7478657896</v>
      </c>
      <c r="L199" s="190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383957.20606850274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91125.209575309986</v>
      </c>
      <c r="G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18225.041915061996</v>
      </c>
      <c r="K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0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72900.167660247986</v>
      </c>
      <c r="O200" s="190">
        <f t="shared" si="59"/>
        <v>72900.167660247986</v>
      </c>
      <c r="P200" s="200">
        <f t="shared" si="49"/>
        <v>18225.041915061996</v>
      </c>
      <c r="Q200" s="187">
        <f>IFERROR(VLOOKUP(A200,[1]Energiindhold!$A$2:$C$11,3,FALSE),IFERROR(VLOOKUP(A200,[1]Biogasudbytte!$A$2:$B$18,2,FALSE)*[1]Energiindhold!$C$10,0))*O200</f>
        <v>4.1409196244259788E-2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5.1761495305324735E-2</v>
      </c>
      <c r="S200" s="187">
        <f>IFERROR(VLOOKUP(A200,[1]Biogasudbytte!$A$2:$B$18,2,FALSE)*[1]Energiindhold!$C$10,0)*J200*IFERROR(VLOOKUP(A200,Biogasanlæg!$F$3:$G$8,2,FALSE),1)</f>
        <v>1.0352299061064947E-2</v>
      </c>
      <c r="T200" s="188">
        <f t="shared" si="50"/>
        <v>4.1409196244259788E-2</v>
      </c>
      <c r="U200" s="186">
        <f>O200*IFERROR(VLOOKUP(A200,[1]Tørstofindhold!A$2:B$24,2,FALSE),0)</f>
        <v>3117.4581227327999</v>
      </c>
      <c r="V200" s="187">
        <f>IF(D200=År1,P200,SUM(O200,P200))*IFERROR(VLOOKUP(A200,[1]Tørstofindhold!A$2:B$24,2,FALSE),0)</f>
        <v>3896.8226534159999</v>
      </c>
      <c r="W200" s="187">
        <f>J200*IFERROR(VLOOKUP(A200,[1]Tørstofindhold!A$2:B$24,2,FALSE),0)</f>
        <v>779.36453068319997</v>
      </c>
      <c r="X200" s="188">
        <f t="shared" si="51"/>
        <v>3117.4581227327999</v>
      </c>
      <c r="Y200" s="168">
        <f t="shared" si="60"/>
        <v>0</v>
      </c>
      <c r="Z200" s="103">
        <f t="shared" si="61"/>
        <v>1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472855.62662575697</v>
      </c>
      <c r="G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236427.81331287848</v>
      </c>
      <c r="K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89504.815039875422</v>
      </c>
      <c r="L201" s="190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146922.99827300303</v>
      </c>
      <c r="O201" s="190">
        <f t="shared" si="59"/>
        <v>146922.99827300303</v>
      </c>
      <c r="P201" s="200">
        <f t="shared" si="49"/>
        <v>236427.81331287848</v>
      </c>
      <c r="Q201" s="187">
        <f>IFERROR(VLOOKUP(A201,[1]Energiindhold!$A$2:$C$11,3,FALSE),IFERROR(VLOOKUP(A201,[1]Biogasudbytte!$A$2:$B$18,2,FALSE)*[1]Energiindhold!$C$10,0))*O201</f>
        <v>0.31647213828004855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0.82573764815598882</v>
      </c>
      <c r="S201" s="187">
        <f>IFERROR(VLOOKUP(A201,[1]Biogasudbytte!$A$2:$B$18,2,FALSE)*[1]Energiindhold!$C$10,0)*J201*IFERROR(VLOOKUP(A201,Biogasanlæg!$F$3:$G$8,2,FALSE),1)</f>
        <v>0.50926550987594021</v>
      </c>
      <c r="T201" s="188">
        <f t="shared" si="50"/>
        <v>0.31647213828004861</v>
      </c>
      <c r="U201" s="186">
        <f>O201*IFERROR(VLOOKUP(A201,[1]Tørstofindhold!A$2:B$24,2,FALSE),0)</f>
        <v>44076.899481900909</v>
      </c>
      <c r="V201" s="187">
        <f>IF(D201=År1,P201,SUM(O201,P201))*IFERROR(VLOOKUP(A201,[1]Tørstofindhold!A$2:B$24,2,FALSE),0)</f>
        <v>115005.24347576445</v>
      </c>
      <c r="W201" s="187">
        <f>J201*IFERROR(VLOOKUP(A201,[1]Tørstofindhold!A$2:B$24,2,FALSE),0)</f>
        <v>70928.343993863542</v>
      </c>
      <c r="X201" s="188">
        <f t="shared" si="51"/>
        <v>44076.899481900909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64182.961350381185</v>
      </c>
      <c r="G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62973.863177375562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0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1209.0981730056228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1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892.28078879071916</v>
      </c>
      <c r="G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803.0527099116473</v>
      </c>
      <c r="K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89.228078879071901</v>
      </c>
      <c r="L203" s="190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803.0527099116473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3.7766765894434862E-4</v>
      </c>
      <c r="S203" s="187">
        <f>IFERROR(VLOOKUP(A203,[1]Biogasudbytte!$A$2:$B$18,2,FALSE)*[1]Energiindhold!$C$10,0)*J203*IFERROR(VLOOKUP(A203,Biogasanlæg!$F$3:$G$8,2,FALSE),1)</f>
        <v>3.7766765894434862E-4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50.592320724433783</v>
      </c>
      <c r="W203" s="187">
        <f>J203*IFERROR(VLOOKUP(A203,[1]Tørstofindhold!A$2:B$24,2,FALSE),0)</f>
        <v>50.592320724433783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16772.527158983896</v>
      </c>
      <c r="G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0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-13787.591309363688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323061.108725222</v>
      </c>
      <c r="G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0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323061.108725222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9235.3984880191911</v>
      </c>
      <c r="G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0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-214088.54416529011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0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7740799.9666379569</v>
      </c>
      <c r="G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1804161.9976497933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19015.429837747353</v>
      </c>
      <c r="K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0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186482.75215301919</v>
      </c>
      <c r="N208" s="199">
        <f t="shared" si="48"/>
        <v>5731139.7869973974</v>
      </c>
      <c r="O208" s="190">
        <f t="shared" si="59"/>
        <v>5731139.7869973974</v>
      </c>
      <c r="P208" s="200">
        <f t="shared" si="49"/>
        <v>19015.429837747353</v>
      </c>
      <c r="Q208" s="187">
        <f>IFERROR(VLOOKUP(A208,[1]Energiindhold!$A$2:$C$11,3,FALSE),IFERROR(VLOOKUP(A208,[1]Biogasudbytte!$A$2:$B$18,2,FALSE)*[1]Energiindhold!$C$10,0))*O208</f>
        <v>10.544580815601837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10.579566829574562</v>
      </c>
      <c r="S208" s="187">
        <f>IFERROR(VLOOKUP(A208,[1]Biogasudbytte!$A$2:$B$18,2,FALSE)*[1]Energiindhold!$C$10,0)*J208*IFERROR(VLOOKUP(A208,Biogasanlæg!$F$3:$G$8,2,FALSE),1)</f>
        <v>3.498601397272541E-2</v>
      </c>
      <c r="T208" s="188">
        <f t="shared" si="50"/>
        <v>10.544580815601837</v>
      </c>
      <c r="U208" s="186">
        <f>O208*IFERROR(VLOOKUP(A208,[1]Tørstofindhold!A$2:B$24,2,FALSE),0)</f>
        <v>1604719.1403592713</v>
      </c>
      <c r="V208" s="187">
        <f>IF(D208=År1,P208,SUM(O208,P208))*IFERROR(VLOOKUP(A208,[1]Tørstofindhold!A$2:B$24,2,FALSE),0)</f>
        <v>1610043.4607138408</v>
      </c>
      <c r="W208" s="187">
        <f>J208*IFERROR(VLOOKUP(A208,[1]Tørstofindhold!A$2:B$24,2,FALSE),0)</f>
        <v>5324.3203545692595</v>
      </c>
      <c r="X208" s="188">
        <f t="shared" si="51"/>
        <v>1604719.1403592716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31174.581227328003</v>
      </c>
      <c r="G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31174.581227328003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0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62807.246394125483</v>
      </c>
      <c r="G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0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-171095.1988059195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853278.4052559135</v>
      </c>
      <c r="G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112782.12636853076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123183.11249498594</v>
      </c>
      <c r="I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20314.647589531094</v>
      </c>
      <c r="K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0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596998.51880286576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617313.1663923969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6.2875859883598322</v>
      </c>
      <c r="S211" s="187">
        <f>IFERROR(VLOOKUP(A211,[1]Biogasudbytte!$A$2:$B$18,2,FALSE)*[1]Energiindhold!$C$10,0)*J211*IFERROR(VLOOKUP(A211,Biogasanlæg!$F$3:$G$8,2,FALSE),1)</f>
        <v>0.11712491326334511</v>
      </c>
      <c r="T211" s="188">
        <f t="shared" si="50"/>
        <v>6.1704610750964868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524716.1914335374</v>
      </c>
      <c r="W211" s="187">
        <f>J211*IFERROR(VLOOKUP(A211,[1]Tørstofindhold!A$2:B$24,2,FALSE),0)</f>
        <v>17267.450451101431</v>
      </c>
      <c r="X211" s="188">
        <f t="shared" si="51"/>
        <v>507448.74098243599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0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710440.57434076618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0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-710440.57434076618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209986.47985944702</v>
      </c>
      <c r="G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190647.37917607787</v>
      </c>
      <c r="K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0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19339.10068336915</v>
      </c>
      <c r="O214" s="190">
        <f t="shared" si="59"/>
        <v>19339.10068336915</v>
      </c>
      <c r="P214" s="200">
        <f t="shared" si="49"/>
        <v>190647.37917607787</v>
      </c>
      <c r="Q214" s="187">
        <f>IFERROR(VLOOKUP(A214,[1]Energiindhold!$A$2:$C$11,3,FALSE),IFERROR(VLOOKUP(A214,[1]Biogasudbytte!$A$2:$B$18,2,FALSE)*[1]Energiindhold!$C$10,0))*O214</f>
        <v>8.379883734412738E-2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0.78598373375398001</v>
      </c>
      <c r="S214" s="187">
        <f>IFERROR(VLOOKUP(A214,[1]Biogasudbytte!$A$2:$B$18,2,FALSE)*[1]Energiindhold!$C$10,0)*J214*IFERROR(VLOOKUP(A214,Biogasanlæg!$F$3:$G$8,2,FALSE),1)</f>
        <v>0.7021848964098526</v>
      </c>
      <c r="T214" s="188">
        <f t="shared" si="50"/>
        <v>8.3798837344127408E-2</v>
      </c>
      <c r="U214" s="186">
        <f>O214*IFERROR(VLOOKUP(A214,[1]Tørstofindhold!A$2:B$24,2,FALSE),0)</f>
        <v>8122.4222870150425</v>
      </c>
      <c r="V214" s="187">
        <f>IF(D214=År1,P214,SUM(O214,P214))*IFERROR(VLOOKUP(A214,[1]Tørstofindhold!A$2:B$24,2,FALSE),0)</f>
        <v>88194.32154096775</v>
      </c>
      <c r="W214" s="187">
        <f>J214*IFERROR(VLOOKUP(A214,[1]Tørstofindhold!A$2:B$24,2,FALSE),0)</f>
        <v>80071.899253952695</v>
      </c>
      <c r="X214" s="188">
        <f t="shared" si="51"/>
        <v>8122.4222870150552</v>
      </c>
      <c r="Y214" s="168">
        <f t="shared" si="60"/>
        <v>0</v>
      </c>
      <c r="Z214" s="103">
        <f t="shared" si="61"/>
        <v>1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200505.45348915044</v>
      </c>
      <c r="G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0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200505.45348915044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488697.95225826954</v>
      </c>
      <c r="G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0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381737.53761905298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1538745.3574347503</v>
      </c>
      <c r="G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779456.90372273244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867.1755731253553</v>
      </c>
      <c r="K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0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502186.43867351662</v>
      </c>
      <c r="O217" s="190">
        <f t="shared" si="59"/>
        <v>0</v>
      </c>
      <c r="P217" s="200">
        <f t="shared" si="63"/>
        <v>867.1755731253553</v>
      </c>
      <c r="Q217" s="187">
        <f>IFERROR(VLOOKUP(A217,[1]Energiindhold!$A$2:$C$11,3,FALSE),IFERROR(VLOOKUP(A217,[1]Biogasudbytte!$A$2:$B$18,2,FALSE)*[1]Energiindhold!$C$10,0))*O217</f>
        <v>0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2.9699549333741049E-3</v>
      </c>
      <c r="S217" s="187">
        <f>IFERROR(VLOOKUP(A217,[1]Biogasudbytte!$A$2:$B$18,2,FALSE)*[1]Energiindhold!$C$10,0)*J217*IFERROR(VLOOKUP(A217,Biogasanlæg!$F$3:$G$8,2,FALSE),1)</f>
        <v>2.9699549333741049E-3</v>
      </c>
      <c r="T217" s="188">
        <f t="shared" si="64"/>
        <v>0</v>
      </c>
      <c r="U217" s="186">
        <f>O217*IFERROR(VLOOKUP(A217,[1]Tørstofindhold!A$2:B$24,2,FALSE),0)</f>
        <v>0</v>
      </c>
      <c r="V217" s="187">
        <f>IF(D217=År1,P217,SUM(O217,P217))*IFERROR(VLOOKUP(A217,[1]Tørstofindhold!A$2:B$24,2,FALSE),0)</f>
        <v>268.82442766886015</v>
      </c>
      <c r="W217" s="187">
        <f>J217*IFERROR(VLOOKUP(A217,[1]Tørstofindhold!A$2:B$24,2,FALSE),0)</f>
        <v>268.82442766886015</v>
      </c>
      <c r="X217" s="188">
        <f t="shared" si="65"/>
        <v>0</v>
      </c>
      <c r="Y217" s="168">
        <f t="shared" si="60"/>
        <v>1</v>
      </c>
      <c r="Z217" s="103">
        <f t="shared" si="61"/>
        <v>0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0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284133.01377900678</v>
      </c>
      <c r="L218" s="190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-284133.01377900678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1067271.7369051871</v>
      </c>
      <c r="G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960544.56321466842</v>
      </c>
      <c r="K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106727.17369051868</v>
      </c>
      <c r="L219" s="190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960544.56321466842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0.48621805245363309</v>
      </c>
      <c r="S219" s="187">
        <f>IFERROR(VLOOKUP(A219,[1]Biogasudbytte!$A$2:$B$18,2,FALSE)*[1]Energiindhold!$C$10,0)*J219*IFERROR(VLOOKUP(A219,Biogasanlæg!$F$3:$G$8,2,FALSE),1)</f>
        <v>0.48621805245363309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73001.386804314796</v>
      </c>
      <c r="W219" s="187">
        <f>J219*IFERROR(VLOOKUP(A219,[1]Tørstofindhold!A$2:B$24,2,FALSE),0)</f>
        <v>73001.386804314796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133388.75573399532</v>
      </c>
      <c r="G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222477.49455637607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0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-89088.73882238075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1</v>
      </c>
      <c r="Z220" s="103">
        <f t="shared" si="61"/>
        <v>0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1683984.4240595349</v>
      </c>
      <c r="G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735458.31011123862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74606.202820686085</v>
      </c>
      <c r="K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0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873919.91112761025</v>
      </c>
      <c r="O221" s="190">
        <f t="shared" si="59"/>
        <v>391798.11160085921</v>
      </c>
      <c r="P221" s="200">
        <f t="shared" si="63"/>
        <v>74606.202820686085</v>
      </c>
      <c r="Q221" s="187">
        <f>IFERROR(VLOOKUP(A221,[1]Energiindhold!$A$2:$C$11,3,FALSE),IFERROR(VLOOKUP(A221,[1]Biogasudbytte!$A$2:$B$18,2,FALSE)*[1]Energiindhold!$C$10,0))*O221</f>
        <v>1.4065552206470846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1.6743914887733478</v>
      </c>
      <c r="S221" s="187">
        <f>IFERROR(VLOOKUP(A221,[1]Biogasudbytte!$A$2:$B$18,2,FALSE)*[1]Energiindhold!$C$10,0)*J221*IFERROR(VLOOKUP(A221,Biogasanlæg!$F$3:$G$8,2,FALSE),1)</f>
        <v>0.2678362681262631</v>
      </c>
      <c r="T221" s="188">
        <f t="shared" si="64"/>
        <v>1.4065552206470846</v>
      </c>
      <c r="U221" s="186">
        <f>O221*IFERROR(VLOOKUP(A221,[1]Tørstofindhold!A$2:B$24,2,FALSE),0)</f>
        <v>117539.43348025777</v>
      </c>
      <c r="V221" s="187">
        <f>IF(D221=År1,P221,SUM(O221,P221))*IFERROR(VLOOKUP(A221,[1]Tørstofindhold!A$2:B$24,2,FALSE),0)</f>
        <v>139921.2943264636</v>
      </c>
      <c r="W221" s="187">
        <f>J221*IFERROR(VLOOKUP(A221,[1]Tørstofindhold!A$2:B$24,2,FALSE),0)</f>
        <v>22381.860846205826</v>
      </c>
      <c r="X221" s="188">
        <f t="shared" si="65"/>
        <v>117539.43348025778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257371.07122395348</v>
      </c>
      <c r="G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0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-151664.36058316039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0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8508.9621500651465</v>
      </c>
      <c r="G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0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-43466.747029562932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441503.35045841202</v>
      </c>
      <c r="G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0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441503.35045841202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39662.610991368812</v>
      </c>
      <c r="G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0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39662.610991368812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39662.610991368812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0.72979204224118599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0.72979204224118599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16459.983561418059</v>
      </c>
      <c r="W226" s="187">
        <f>J226*IFERROR(VLOOKUP(A226,[1]Tørstofindhold!A$2:B$24,2,FALSE),0)</f>
        <v>0</v>
      </c>
      <c r="X226" s="188">
        <f t="shared" si="65"/>
        <v>16459.983561418059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0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si="68">F227-SUM(G227:M227)</f>
        <v>0</v>
      </c>
      <c r="O227" s="190">
        <f t="shared" si="59"/>
        <v>0</v>
      </c>
      <c r="P227" s="200">
        <f t="shared" ref="P227:P228" si="69">SUM(J227,L227)</f>
        <v>0</v>
      </c>
      <c r="Q227" s="187">
        <f>IFERROR(VLOOKUP(A227,[1]Energiindhold!$A$2:$C$11,3,FALSE),IFERROR(VLOOKUP(A227,[1]Biogasudbytte!$A$2:$B$18,2,FALSE)*[1]Energiindhold!$C$10,0))*O227</f>
        <v>0</v>
      </c>
      <c r="R227" s="18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si="70">R227-S227</f>
        <v>0</v>
      </c>
      <c r="U227" s="186">
        <f>O227*IFERROR(VLOOKUP(A227,[1]Tørstofindhold!A$2:B$24,2,FALSE),0)</f>
        <v>0</v>
      </c>
      <c r="V227" s="187">
        <f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si="71">V227-W227</f>
        <v>0</v>
      </c>
      <c r="Y227" s="168">
        <f t="shared" si="60"/>
        <v>0</v>
      </c>
      <c r="Z227" s="103">
        <f t="shared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0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si="68"/>
        <v>0</v>
      </c>
      <c r="O228" s="190">
        <f t="shared" si="59"/>
        <v>0</v>
      </c>
      <c r="P228" s="200">
        <f t="shared" si="69"/>
        <v>0</v>
      </c>
      <c r="Q228" s="187">
        <f>IFERROR(VLOOKUP(A228,[1]Energiindhold!$A$2:$C$11,3,FALSE),IFERROR(VLOOKUP(A228,[1]Biogasudbytte!$A$2:$B$18,2,FALSE)*[1]Energiindhold!$C$10,0))*O228</f>
        <v>0</v>
      </c>
      <c r="R228" s="187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si="70"/>
        <v>0</v>
      </c>
      <c r="U228" s="186">
        <f>O228*IFERROR(VLOOKUP(A228,[1]Tørstofindhold!A$2:B$24,2,FALSE),0)</f>
        <v>0</v>
      </c>
      <c r="V228" s="187">
        <f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si="71"/>
        <v>0</v>
      </c>
      <c r="Y228" s="168">
        <f t="shared" si="60"/>
        <v>0</v>
      </c>
      <c r="Z228" s="103">
        <f t="shared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400779.30970046029</v>
      </c>
      <c r="G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0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400779.30970046029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118504.81295486072</v>
      </c>
      <c r="G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0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118504.81295486072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59252.406477430362</v>
      </c>
      <c r="G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30915.871009673829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0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28336.535467756534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1</v>
      </c>
      <c r="Z231" s="103">
        <f t="shared" si="61"/>
        <v>0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37921.540145555431</v>
      </c>
      <c r="G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0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37921.540145555431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37921.540145555431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1.3272539050944401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1.3272539050944401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580195.01499224489</v>
      </c>
      <c r="G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127941.13536914771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6661.3609070056164</v>
      </c>
      <c r="K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0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445592.51871609152</v>
      </c>
      <c r="O233" s="190">
        <f t="shared" si="59"/>
        <v>445592.51871609152</v>
      </c>
      <c r="P233" s="200">
        <f t="shared" si="63"/>
        <v>6661.3609070056164</v>
      </c>
      <c r="Q233" s="187">
        <f>IFERROR(VLOOKUP(A233,[1]Energiindhold!$A$2:$C$11,3,FALSE),IFERROR(VLOOKUP(A233,[1]Biogasudbytte!$A$2:$B$18,2,FALSE)*[1]Energiindhold!$C$10,0))*O233</f>
        <v>1.2093559194962211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1.2274351194522706</v>
      </c>
      <c r="S233" s="187">
        <f>IFERROR(VLOOKUP(A233,[1]Biogasudbytte!$A$2:$B$18,2,FALSE)*[1]Energiindhold!$C$10,0)*J233*IFERROR(VLOOKUP(A233,Biogasanlæg!$F$3:$G$8,2,FALSE),1)</f>
        <v>1.8079199956049521E-2</v>
      </c>
      <c r="T233" s="188">
        <f t="shared" si="64"/>
        <v>1.2093559194962211</v>
      </c>
      <c r="U233" s="186">
        <f>O233*IFERROR(VLOOKUP(A233,[1]Tørstofindhold!A$2:B$24,2,FALSE),0)</f>
        <v>89118.503743218316</v>
      </c>
      <c r="V233" s="187">
        <f>IF(D233=År1,P233,SUM(O233,P233))*IFERROR(VLOOKUP(A233,[1]Tørstofindhold!A$2:B$24,2,FALSE),0)</f>
        <v>90450.775924619433</v>
      </c>
      <c r="W233" s="187">
        <f>J233*IFERROR(VLOOKUP(A233,[1]Tørstofindhold!A$2:B$24,2,FALSE),0)</f>
        <v>1332.2721814011234</v>
      </c>
      <c r="X233" s="188">
        <f t="shared" si="65"/>
        <v>89118.503743218316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25586.495588439793</v>
      </c>
      <c r="G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0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25586.495588439793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20801.551109508149</v>
      </c>
      <c r="G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5668.1056776960004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0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15133.44543181215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3345419.54603831</v>
      </c>
      <c r="G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1268746.495883205</v>
      </c>
      <c r="K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0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2076673.0501551051</v>
      </c>
      <c r="O236" s="190">
        <f t="shared" si="59"/>
        <v>2076673.0501551051</v>
      </c>
      <c r="P236" s="200">
        <f t="shared" si="63"/>
        <v>1268746.495883205</v>
      </c>
      <c r="Q236" s="187">
        <f>IFERROR(VLOOKUP(A236,[1]Energiindhold!$A$2:$C$11,3,FALSE),IFERROR(VLOOKUP(A236,[1]Biogasudbytte!$A$2:$B$18,2,FALSE)*[1]Energiindhold!$C$10,0))*O236</f>
        <v>1.0362806187578992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1.6693978076685774</v>
      </c>
      <c r="S236" s="187">
        <f>IFERROR(VLOOKUP(A236,[1]Biogasudbytte!$A$2:$B$18,2,FALSE)*[1]Energiindhold!$C$10,0)*J236*IFERROR(VLOOKUP(A236,Biogasanlæg!$F$3:$G$8,2,FALSE),1)</f>
        <v>0.63311718891067825</v>
      </c>
      <c r="T236" s="188">
        <f t="shared" si="64"/>
        <v>1.0362806187578992</v>
      </c>
      <c r="U236" s="186">
        <f>O236*IFERROR(VLOOKUP(A236,[1]Tørstofindhold!A$2:B$24,2,FALSE),0)</f>
        <v>124600.3830093063</v>
      </c>
      <c r="V236" s="187">
        <f>IF(D236=År1,P236,SUM(O236,P236))*IFERROR(VLOOKUP(A236,[1]Tørstofindhold!A$2:B$24,2,FALSE),0)</f>
        <v>200725.17276229861</v>
      </c>
      <c r="W236" s="187">
        <f>J236*IFERROR(VLOOKUP(A236,[1]Tørstofindhold!A$2:B$24,2,FALSE),0)</f>
        <v>76124.789752992292</v>
      </c>
      <c r="X236" s="188">
        <f t="shared" si="65"/>
        <v>124600.38300930632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2409559.214171757</v>
      </c>
      <c r="G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2168603.2927545812</v>
      </c>
      <c r="K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240955.92141717565</v>
      </c>
      <c r="L237" s="190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2168603.2927545812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0.93423429851867379</v>
      </c>
      <c r="S237" s="187">
        <f>IFERROR(VLOOKUP(A237,[1]Biogasudbytte!$A$2:$B$18,2,FALSE)*[1]Energiindhold!$C$10,0)*J237*IFERROR(VLOOKUP(A237,Biogasanlæg!$F$3:$G$8,2,FALSE),1)</f>
        <v>0.93423429851867379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108430.16463772906</v>
      </c>
      <c r="W237" s="187">
        <f>J237*IFERROR(VLOOKUP(A237,[1]Tørstofindhold!A$2:B$24,2,FALSE),0)</f>
        <v>108430.16463772906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227135.43837600856</v>
      </c>
      <c r="G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0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121608.99852646064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0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0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645049.46160507516</v>
      </c>
      <c r="G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0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645049.46160507516</v>
      </c>
      <c r="M241" s="15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645049.46160507516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9.3490688161811804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9.3490688161811804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319030.71288551006</v>
      </c>
      <c r="W241" s="187">
        <f>J241*IFERROR(VLOOKUP(A241,[1]Tørstofindhold!A$2:B$24,2,FALSE),0)</f>
        <v>0</v>
      </c>
      <c r="X241" s="188">
        <f t="shared" ca="1" si="65"/>
        <v>319030.71288551006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177362.37762242398</v>
      </c>
      <c r="G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0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177362.37762242398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17987.049844381028</v>
      </c>
      <c r="G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0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-11544.952175720926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60139.381804839322</v>
      </c>
      <c r="G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8992.6676617292323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0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51146.71414311009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0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0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-8.6147268739296123E-2</v>
      </c>
      <c r="O245" s="190">
        <f t="shared" ca="1" si="59"/>
        <v>0</v>
      </c>
      <c r="P245" s="200">
        <f t="shared" ca="1" si="63"/>
        <v>172292.76645701908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7">
        <f ca="1">IFERROR(VLOOKUP(A245,[1]Biogasudbytte!$A$2:$B$18,2,FALSE)*[1]Energiindhold!$C$10,0)*J245*IFERROR(VLOOKUP(A245,Biogasanlæg!$F$3:$G$8,2,FALSE),1)</f>
        <v>0.58698594897008305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48241.974607965349</v>
      </c>
      <c r="W245" s="187">
        <f ca="1">J245*IFERROR(VLOOKUP(A245,[1]Tørstofindhold!A$2:B$24,2,FALSE),0)</f>
        <v>48241.974607965349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129650929.78141758</v>
      </c>
      <c r="G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0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129650929.78141758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129650929.78141758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4368997.7549931835</v>
      </c>
      <c r="G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0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3943617.2270881846</v>
      </c>
      <c r="L247" s="190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425380.52790499898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107693.42949809364</v>
      </c>
      <c r="G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21538.685899618729</v>
      </c>
      <c r="K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0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86154.743598474917</v>
      </c>
      <c r="O248" s="190">
        <f t="shared" si="59"/>
        <v>86154.743598474917</v>
      </c>
      <c r="P248" s="200">
        <f t="shared" si="63"/>
        <v>21538.685899618729</v>
      </c>
      <c r="Q248" s="187">
        <f>IFERROR(VLOOKUP(A248,[1]Energiindhold!$A$2:$C$11,3,FALSE),IFERROR(VLOOKUP(A248,[1]Biogasudbytte!$A$2:$B$18,2,FALSE)*[1]Energiindhold!$C$10,0))*O248</f>
        <v>4.8938141015943397E-2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6.1172676269929248E-2</v>
      </c>
      <c r="S248" s="187">
        <f>IFERROR(VLOOKUP(A248,[1]Biogasudbytte!$A$2:$B$18,2,FALSE)*[1]Energiindhold!$C$10,0)*J248*IFERROR(VLOOKUP(A248,Biogasanlæg!$F$3:$G$8,2,FALSE),1)</f>
        <v>1.2234535253985849E-2</v>
      </c>
      <c r="T248" s="188">
        <f t="shared" si="64"/>
        <v>4.8938141015943397E-2</v>
      </c>
      <c r="U248" s="186">
        <f>O248*IFERROR(VLOOKUP(A248,[1]Tørstofindhold!A$2:B$24,2,FALSE),0)</f>
        <v>3684.2686905024007</v>
      </c>
      <c r="V248" s="187">
        <f>IF(D248=År1,P248,SUM(O248,P248))*IFERROR(VLOOKUP(A248,[1]Tørstofindhold!A$2:B$24,2,FALSE),0)</f>
        <v>4605.3358631280007</v>
      </c>
      <c r="W248" s="187">
        <f>J248*IFERROR(VLOOKUP(A248,[1]Tørstofindhold!A$2:B$24,2,FALSE),0)</f>
        <v>921.06717262560016</v>
      </c>
      <c r="X248" s="188">
        <f t="shared" si="65"/>
        <v>3684.2686905024007</v>
      </c>
      <c r="Y248" s="168">
        <f t="shared" si="60"/>
        <v>0</v>
      </c>
      <c r="Z248" s="103">
        <f t="shared" si="61"/>
        <v>1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573805.87313028623</v>
      </c>
      <c r="G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286902.93656514311</v>
      </c>
      <c r="K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108613.25455680418</v>
      </c>
      <c r="L249" s="190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178289.68200833892</v>
      </c>
      <c r="O249" s="190">
        <f t="shared" si="59"/>
        <v>178289.68200833892</v>
      </c>
      <c r="P249" s="200">
        <f t="shared" si="63"/>
        <v>286902.93656514311</v>
      </c>
      <c r="Q249" s="187">
        <f>IFERROR(VLOOKUP(A249,[1]Energiindhold!$A$2:$C$11,3,FALSE),IFERROR(VLOOKUP(A249,[1]Biogasudbytte!$A$2:$B$18,2,FALSE)*[1]Energiindhold!$C$10,0))*O249</f>
        <v>0.38403597504596204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1.0020249004072803</v>
      </c>
      <c r="S249" s="187">
        <f>IFERROR(VLOOKUP(A249,[1]Biogasudbytte!$A$2:$B$18,2,FALSE)*[1]Energiindhold!$C$10,0)*J249*IFERROR(VLOOKUP(A249,Biogasanlæg!$F$3:$G$8,2,FALSE),1)</f>
        <v>0.61798892536131833</v>
      </c>
      <c r="T249" s="188">
        <f t="shared" si="64"/>
        <v>0.38403597504596199</v>
      </c>
      <c r="U249" s="186">
        <f>O249*IFERROR(VLOOKUP(A249,[1]Tørstofindhold!A$2:B$24,2,FALSE),0)</f>
        <v>53486.904602501672</v>
      </c>
      <c r="V249" s="187">
        <f>IF(D249=År1,P249,SUM(O249,P249))*IFERROR(VLOOKUP(A249,[1]Tørstofindhold!A$2:B$24,2,FALSE),0)</f>
        <v>139557.78557204461</v>
      </c>
      <c r="W249" s="187">
        <f>J249*IFERROR(VLOOKUP(A249,[1]Tørstofindhold!A$2:B$24,2,FALSE),0)</f>
        <v>86070.880969542937</v>
      </c>
      <c r="X249" s="188">
        <f t="shared" si="65"/>
        <v>53486.904602501672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75852.590686814132</v>
      </c>
      <c r="G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75568.635812850684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0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283.95487396344834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1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1013.9144691364182</v>
      </c>
      <c r="G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912.52302222277638</v>
      </c>
      <c r="K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101.39144691364179</v>
      </c>
      <c r="L251" s="190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912.52302222277638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4.2915045212114949E-4</v>
      </c>
      <c r="S251" s="187">
        <f>IFERROR(VLOOKUP(A251,[1]Biogasudbytte!$A$2:$B$18,2,FALSE)*[1]Energiindhold!$C$10,0)*J251*IFERROR(VLOOKUP(A251,Biogasanlæg!$F$3:$G$8,2,FALSE),1)</f>
        <v>4.2915045212114949E-4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57.488950400034909</v>
      </c>
      <c r="W251" s="187">
        <f>J251*IFERROR(VLOOKUP(A251,[1]Tørstofindhold!A$2:B$24,2,FALSE),0)</f>
        <v>57.488950400034909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13218.944305969808</v>
      </c>
      <c r="G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0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-18774.057882473979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309381.10479126737</v>
      </c>
      <c r="G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0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309381.10479126737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8833.9151758514763</v>
      </c>
      <c r="G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0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-224961.10081662235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0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7783060.7751449523</v>
      </c>
      <c r="G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1804161.9976497933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19368.555120556652</v>
      </c>
      <c r="K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0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220388.70708993179</v>
      </c>
      <c r="N256" s="199">
        <f t="shared" si="62"/>
        <v>5739141.5152846705</v>
      </c>
      <c r="O256" s="190">
        <f t="shared" si="59"/>
        <v>5739141.5152846705</v>
      </c>
      <c r="P256" s="200">
        <f t="shared" si="63"/>
        <v>19368.555120556652</v>
      </c>
      <c r="Q256" s="187">
        <f>IFERROR(VLOOKUP(A256,[1]Energiindhold!$A$2:$C$11,3,FALSE),IFERROR(VLOOKUP(A256,[1]Biogasudbytte!$A$2:$B$18,2,FALSE)*[1]Energiindhold!$C$10,0))*O256</f>
        <v>10.559302995434384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10.594938715786819</v>
      </c>
      <c r="S256" s="187">
        <f>IFERROR(VLOOKUP(A256,[1]Biogasudbytte!$A$2:$B$18,2,FALSE)*[1]Energiindhold!$C$10,0)*J256*IFERROR(VLOOKUP(A256,Biogasanlæg!$F$3:$G$8,2,FALSE),1)</f>
        <v>3.5635720352434175E-2</v>
      </c>
      <c r="T256" s="188">
        <f t="shared" si="64"/>
        <v>10.559302995434384</v>
      </c>
      <c r="U256" s="186">
        <f>O256*IFERROR(VLOOKUP(A256,[1]Tørstofindhold!A$2:B$24,2,FALSE),0)</f>
        <v>1606959.6242797079</v>
      </c>
      <c r="V256" s="187">
        <f>IF(D256=År1,P256,SUM(O256,P256))*IFERROR(VLOOKUP(A256,[1]Tørstofindhold!A$2:B$24,2,FALSE),0)</f>
        <v>1612382.8197134638</v>
      </c>
      <c r="W256" s="187">
        <f>J256*IFERROR(VLOOKUP(A256,[1]Tørstofindhold!A$2:B$24,2,FALSE),0)</f>
        <v>5423.1954337558627</v>
      </c>
      <c r="X256" s="188">
        <f t="shared" si="65"/>
        <v>1606959.6242797079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36842.686905024006</v>
      </c>
      <c r="G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36842.686905024006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0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59641.575143281989</v>
      </c>
      <c r="G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0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-185227.94160673005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774087.30836337875</v>
      </c>
      <c r="G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112782.12636853076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120747.75217508907</v>
      </c>
      <c r="I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21264.07881518716</v>
      </c>
      <c r="K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0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519293.35100457189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540557.4298197591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5.4899144061554956</v>
      </c>
      <c r="S259" s="187">
        <f>IFERROR(VLOOKUP(A259,[1]Biogasudbytte!$A$2:$B$18,2,FALSE)*[1]Energiindhold!$C$10,0)*J259*IFERROR(VLOOKUP(A259,Biogasanlæg!$F$3:$G$8,2,FALSE),1)</f>
        <v>0.12259889697211419</v>
      </c>
      <c r="T259" s="188">
        <f t="shared" si="64"/>
        <v>5.3673155091833813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459473.81534679519</v>
      </c>
      <c r="W259" s="187">
        <f>J259*IFERROR(VLOOKUP(A259,[1]Tørstofindhold!A$2:B$24,2,FALSE),0)</f>
        <v>18074.466992909085</v>
      </c>
      <c r="X259" s="188">
        <f t="shared" si="65"/>
        <v>441399.3483538861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0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710440.57434076618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0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-710440.57434076618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209352.88683397757</v>
      </c>
      <c r="G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190385.15645484926</v>
      </c>
      <c r="K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0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18967.730379128305</v>
      </c>
      <c r="O262" s="190">
        <f t="shared" si="75"/>
        <v>18967.730379128305</v>
      </c>
      <c r="P262" s="200">
        <f t="shared" si="63"/>
        <v>190385.15645484926</v>
      </c>
      <c r="Q262" s="187">
        <f>IFERROR(VLOOKUP(A262,[1]Energiindhold!$A$2:$C$11,3,FALSE),IFERROR(VLOOKUP(A262,[1]Biogasudbytte!$A$2:$B$18,2,FALSE)*[1]Energiindhold!$C$10,0))*O262</f>
        <v>8.2189641537712244E-2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0.78340872957853314</v>
      </c>
      <c r="S262" s="187">
        <f>IFERROR(VLOOKUP(A262,[1]Biogasudbytte!$A$2:$B$18,2,FALSE)*[1]Energiindhold!$C$10,0)*J262*IFERROR(VLOOKUP(A262,Biogasanlæg!$F$3:$G$8,2,FALSE),1)</f>
        <v>0.70121908804082089</v>
      </c>
      <c r="T262" s="188">
        <f t="shared" si="64"/>
        <v>8.2189641537712244E-2</v>
      </c>
      <c r="U262" s="186">
        <f>O262*IFERROR(VLOOKUP(A262,[1]Tørstofindhold!A$2:B$24,2,FALSE),0)</f>
        <v>7966.4467592338879</v>
      </c>
      <c r="V262" s="187">
        <f>IF(D262=År1,P262,SUM(O262,P262))*IFERROR(VLOOKUP(A262,[1]Tørstofindhold!A$2:B$24,2,FALSE),0)</f>
        <v>87928.212470270577</v>
      </c>
      <c r="W262" s="187">
        <f>J262*IFERROR(VLOOKUP(A262,[1]Tørstofindhold!A$2:B$24,2,FALSE),0)</f>
        <v>79961.765711036685</v>
      </c>
      <c r="X262" s="188">
        <f t="shared" si="65"/>
        <v>7966.4467592338915</v>
      </c>
      <c r="Y262" s="168">
        <f t="shared" si="76"/>
        <v>0</v>
      </c>
      <c r="Z262" s="103">
        <f t="shared" si="77"/>
        <v>1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191716.3466485255</v>
      </c>
      <c r="G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0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191716.3466485255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467199.52830888401</v>
      </c>
      <c r="G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0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355224.02064933075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1505200.0174677742</v>
      </c>
      <c r="G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757805.32306376752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885.31462572342923</v>
      </c>
      <c r="K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0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478260.36142902391</v>
      </c>
      <c r="O265" s="190">
        <f t="shared" si="75"/>
        <v>0</v>
      </c>
      <c r="P265" s="200">
        <f t="shared" si="63"/>
        <v>885.31462572342923</v>
      </c>
      <c r="Q265" s="187">
        <f>IFERROR(VLOOKUP(A265,[1]Energiindhold!$A$2:$C$11,3,FALSE),IFERROR(VLOOKUP(A265,[1]Biogasudbytte!$A$2:$B$18,2,FALSE)*[1]Energiindhold!$C$10,0))*O265</f>
        <v>0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3.0320786490551444E-3</v>
      </c>
      <c r="S265" s="187">
        <f>IFERROR(VLOOKUP(A265,[1]Biogasudbytte!$A$2:$B$18,2,FALSE)*[1]Energiindhold!$C$10,0)*J265*IFERROR(VLOOKUP(A265,Biogasanlæg!$F$3:$G$8,2,FALSE),1)</f>
        <v>3.0320786490551444E-3</v>
      </c>
      <c r="T265" s="188">
        <f t="shared" si="64"/>
        <v>0</v>
      </c>
      <c r="U265" s="186">
        <f>O265*IFERROR(VLOOKUP(A265,[1]Tørstofindhold!A$2:B$24,2,FALSE),0)</f>
        <v>0</v>
      </c>
      <c r="V265" s="187">
        <f>IF(D265=År1,P265,SUM(O265,P265))*IFERROR(VLOOKUP(A265,[1]Tørstofindhold!A$2:B$24,2,FALSE),0)</f>
        <v>274.44753397426308</v>
      </c>
      <c r="W265" s="187">
        <f>J265*IFERROR(VLOOKUP(A265,[1]Tørstofindhold!A$2:B$24,2,FALSE),0)</f>
        <v>274.44753397426308</v>
      </c>
      <c r="X265" s="188">
        <f t="shared" si="65"/>
        <v>0</v>
      </c>
      <c r="Y265" s="168">
        <f t="shared" si="76"/>
        <v>1</v>
      </c>
      <c r="Z265" s="103">
        <f t="shared" si="77"/>
        <v>0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0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261330.64114592987</v>
      </c>
      <c r="L266" s="190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-261330.64114592987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973600.61608850933</v>
      </c>
      <c r="G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876240.55447965837</v>
      </c>
      <c r="K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97360.061608850912</v>
      </c>
      <c r="L267" s="190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876240.55447965837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0.44354420627205832</v>
      </c>
      <c r="S267" s="187">
        <f>IFERROR(VLOOKUP(A267,[1]Biogasudbytte!$A$2:$B$18,2,FALSE)*[1]Energiindhold!$C$10,0)*J267*IFERROR(VLOOKUP(A267,Biogasanlæg!$F$3:$G$8,2,FALSE),1)</f>
        <v>0.44354420627205832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66594.28214045403</v>
      </c>
      <c r="W267" s="187">
        <f>J267*IFERROR(VLOOKUP(A267,[1]Tørstofindhold!A$2:B$24,2,FALSE),0)</f>
        <v>66594.28214045403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122020.01011231828</v>
      </c>
      <c r="G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222477.49455637607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0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-100457.48444405779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1</v>
      </c>
      <c r="Z268" s="103">
        <f t="shared" si="77"/>
        <v>0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1702098.7369561824</v>
      </c>
      <c r="G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735458.31011123862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76140.78137492371</v>
      </c>
      <c r="K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0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890499.64547002013</v>
      </c>
      <c r="O269" s="190">
        <f t="shared" si="75"/>
        <v>320177.72901047184</v>
      </c>
      <c r="P269" s="200">
        <f t="shared" si="63"/>
        <v>76140.78137492371</v>
      </c>
      <c r="Q269" s="187">
        <f>IFERROR(VLOOKUP(A269,[1]Energiindhold!$A$2:$C$11,3,FALSE),IFERROR(VLOOKUP(A269,[1]Biogasudbytte!$A$2:$B$18,2,FALSE)*[1]Energiindhold!$C$10,0))*O269</f>
        <v>1.149438047147594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1.4227834522835701</v>
      </c>
      <c r="S269" s="187">
        <f>IFERROR(VLOOKUP(A269,[1]Biogasudbytte!$A$2:$B$18,2,FALSE)*[1]Energiindhold!$C$10,0)*J269*IFERROR(VLOOKUP(A269,Biogasanlæg!$F$3:$G$8,2,FALSE),1)</f>
        <v>0.27334540513597616</v>
      </c>
      <c r="T269" s="188">
        <f t="shared" si="64"/>
        <v>1.1494380471475938</v>
      </c>
      <c r="U269" s="186">
        <f>O269*IFERROR(VLOOKUP(A269,[1]Tørstofindhold!A$2:B$24,2,FALSE),0)</f>
        <v>96053.318703141544</v>
      </c>
      <c r="V269" s="187">
        <f>IF(D269=År1,P269,SUM(O269,P269))*IFERROR(VLOOKUP(A269,[1]Tørstofindhold!A$2:B$24,2,FALSE),0)</f>
        <v>118895.55311561866</v>
      </c>
      <c r="W269" s="187">
        <f>J269*IFERROR(VLOOKUP(A269,[1]Tørstofindhold!A$2:B$24,2,FALSE),0)</f>
        <v>22842.234412477112</v>
      </c>
      <c r="X269" s="188">
        <f t="shared" si="65"/>
        <v>96053.318703141558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235435.29243193395</v>
      </c>
      <c r="G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0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-192778.73685954438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0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7232.7710179462747</v>
      </c>
      <c r="G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0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-47179.942704091576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1</v>
      </c>
      <c r="Z272" s="103">
        <f t="shared" si="77"/>
        <v>0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422177.75868709118</v>
      </c>
      <c r="G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0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422177.75868709118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37978.9277568201</v>
      </c>
      <c r="G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0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37978.9277568201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37978.9277568201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0.69881227072548968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0.69881227072548968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15761.255019080343</v>
      </c>
      <c r="W274" s="187">
        <f>J274*IFERROR(VLOOKUP(A274,[1]Tørstofindhold!A$2:B$24,2,FALSE),0)</f>
        <v>0</v>
      </c>
      <c r="X274" s="188">
        <f t="shared" si="65"/>
        <v>15761.255019080343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0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si="80">F275-SUM(G275:M275)</f>
        <v>0</v>
      </c>
      <c r="O275" s="190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si="82">SUM(J275,L275)</f>
        <v>0</v>
      </c>
      <c r="Q275" s="187">
        <f>IFERROR(VLOOKUP(A275,[1]Energiindhold!$A$2:$C$11,3,FALSE),IFERROR(VLOOKUP(A275,[1]Biogasudbytte!$A$2:$B$18,2,FALSE)*[1]Energiindhold!$C$10,0))*O275</f>
        <v>0</v>
      </c>
      <c r="R275" s="187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si="83">R275-S275</f>
        <v>0</v>
      </c>
      <c r="U275" s="186">
        <f>O275*IFERROR(VLOOKUP(A275,[1]Tørstofindhold!A$2:B$24,2,FALSE),0)</f>
        <v>0</v>
      </c>
      <c r="V275" s="187">
        <f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si="84">V275-W275</f>
        <v>0</v>
      </c>
      <c r="Y275" s="168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0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si="80"/>
        <v>0</v>
      </c>
      <c r="O276" s="190">
        <f t="shared" si="81"/>
        <v>0</v>
      </c>
      <c r="P276" s="200">
        <f t="shared" si="82"/>
        <v>0</v>
      </c>
      <c r="Q276" s="187">
        <f>IFERROR(VLOOKUP(A276,[1]Energiindhold!$A$2:$C$11,3,FALSE),IFERROR(VLOOKUP(A276,[1]Biogasudbytte!$A$2:$B$18,2,FALSE)*[1]Energiindhold!$C$10,0))*O276</f>
        <v>0</v>
      </c>
      <c r="R276" s="187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si="83"/>
        <v>0</v>
      </c>
      <c r="U276" s="186">
        <f>O276*IFERROR(VLOOKUP(A276,[1]Tørstofindhold!A$2:B$24,2,FALSE),0)</f>
        <v>0</v>
      </c>
      <c r="V276" s="187">
        <f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si="84"/>
        <v>0</v>
      </c>
      <c r="Y276" s="168">
        <f t="shared" si="85"/>
        <v>0</v>
      </c>
      <c r="Z276" s="103">
        <f t="shared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366620.82312230999</v>
      </c>
      <c r="G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0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366620.82312230999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112790.01758245569</v>
      </c>
      <c r="G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0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112790.01758245569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56395.008791227847</v>
      </c>
      <c r="G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30915.871009673829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0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25479.137781554018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1</v>
      </c>
      <c r="Z279" s="103">
        <f t="shared" si="91"/>
        <v>0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36092.805626385823</v>
      </c>
      <c r="G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0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36092.805626385823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36092.805626385823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1.2632481969235037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1.2632481969235037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554811.33276094752</v>
      </c>
      <c r="G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127941.13536914771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6806.432642350318</v>
      </c>
      <c r="K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0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420063.7647494495</v>
      </c>
      <c r="O281" s="190">
        <f t="shared" si="89"/>
        <v>420063.7647494495</v>
      </c>
      <c r="P281" s="200">
        <f t="shared" si="63"/>
        <v>6806.432642350318</v>
      </c>
      <c r="Q281" s="187">
        <f>IFERROR(VLOOKUP(A281,[1]Energiindhold!$A$2:$C$11,3,FALSE),IFERROR(VLOOKUP(A281,[1]Biogasudbytte!$A$2:$B$18,2,FALSE)*[1]Energiindhold!$C$10,0))*O281</f>
        <v>1.1400698600805959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1.1585427905292403</v>
      </c>
      <c r="S281" s="187">
        <f>IFERROR(VLOOKUP(A281,[1]Biogasudbytte!$A$2:$B$18,2,FALSE)*[1]Energiindhold!$C$10,0)*J281*IFERROR(VLOOKUP(A281,Biogasanlæg!$F$3:$G$8,2,FALSE),1)</f>
        <v>1.8472930448644457E-2</v>
      </c>
      <c r="T281" s="188">
        <f t="shared" si="64"/>
        <v>1.1400698600805959</v>
      </c>
      <c r="U281" s="186">
        <f>O281*IFERROR(VLOOKUP(A281,[1]Tørstofindhold!A$2:B$24,2,FALSE),0)</f>
        <v>84012.752949889909</v>
      </c>
      <c r="V281" s="187">
        <f>IF(D281=År1,P281,SUM(O281,P281))*IFERROR(VLOOKUP(A281,[1]Tørstofindhold!A$2:B$24,2,FALSE),0)</f>
        <v>85374.039478359977</v>
      </c>
      <c r="W281" s="187">
        <f>J281*IFERROR(VLOOKUP(A281,[1]Tørstofindhold!A$2:B$24,2,FALSE),0)</f>
        <v>1361.2865284700638</v>
      </c>
      <c r="X281" s="188">
        <f t="shared" si="65"/>
        <v>84012.752949889909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22182.119996210597</v>
      </c>
      <c r="G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0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22182.119996210597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18120.669233843775</v>
      </c>
      <c r="G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5668.1056776960004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0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12452.563556147776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3500953.7358260299</v>
      </c>
      <c r="G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1327732.6575790939</v>
      </c>
      <c r="K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0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2173221.0782469362</v>
      </c>
      <c r="O284" s="190">
        <f t="shared" si="89"/>
        <v>2173221.0782469362</v>
      </c>
      <c r="P284" s="200">
        <f t="shared" si="94"/>
        <v>1327732.6575790939</v>
      </c>
      <c r="Q284" s="187">
        <f>IFERROR(VLOOKUP(A284,[1]Energiindhold!$A$2:$C$11,3,FALSE),IFERROR(VLOOKUP(A284,[1]Biogasudbytte!$A$2:$B$18,2,FALSE)*[1]Energiindhold!$C$10,0))*O284</f>
        <v>1.0844590502560039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1.7470109237145475</v>
      </c>
      <c r="S284" s="187">
        <f>IFERROR(VLOOKUP(A284,[1]Biogasudbytte!$A$2:$B$18,2,FALSE)*[1]Energiindhold!$C$10,0)*J284*IFERROR(VLOOKUP(A284,Biogasanlæg!$F$3:$G$8,2,FALSE),1)</f>
        <v>0.66255187345854372</v>
      </c>
      <c r="T284" s="188">
        <f t="shared" si="95"/>
        <v>1.0844590502560036</v>
      </c>
      <c r="U284" s="186">
        <f>O284*IFERROR(VLOOKUP(A284,[1]Tørstofindhold!A$2:B$24,2,FALSE),0)</f>
        <v>130393.26469481617</v>
      </c>
      <c r="V284" s="187">
        <f>IF(D284=År1,P284,SUM(O284,P284))*IFERROR(VLOOKUP(A284,[1]Tørstofindhold!A$2:B$24,2,FALSE),0)</f>
        <v>210057.22414956181</v>
      </c>
      <c r="W284" s="187">
        <f>J284*IFERROR(VLOOKUP(A284,[1]Tørstofindhold!A$2:B$24,2,FALSE),0)</f>
        <v>79663.959454745636</v>
      </c>
      <c r="X284" s="188">
        <f t="shared" si="96"/>
        <v>130393.26469481617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1914968.3000286557</v>
      </c>
      <c r="G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1723471.4700257902</v>
      </c>
      <c r="K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191496.83000286552</v>
      </c>
      <c r="L285" s="190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1723471.4700257902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0.74247150928711048</v>
      </c>
      <c r="S285" s="187">
        <f>IFERROR(VLOOKUP(A285,[1]Biogasudbytte!$A$2:$B$18,2,FALSE)*[1]Energiindhold!$C$10,0)*J285*IFERROR(VLOOKUP(A285,Biogasanlæg!$F$3:$G$8,2,FALSE),1)</f>
        <v>0.74247150928711048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86173.573501289517</v>
      </c>
      <c r="W285" s="187">
        <f>J285*IFERROR(VLOOKUP(A285,[1]Tørstofindhold!A$2:B$24,2,FALSE),0)</f>
        <v>86173.573501289517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197991.36208420046</v>
      </c>
      <c r="G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0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87517.064527335737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0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0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588164.99677775265</v>
      </c>
      <c r="G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0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588164.99677775265</v>
      </c>
      <c r="M289" s="15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588164.99677775265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8.5246099058226523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8.5246099058226523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290896.60465633014</v>
      </c>
      <c r="W289" s="187">
        <f>J289*IFERROR(VLOOKUP(A289,[1]Tørstofindhold!A$2:B$24,2,FALSE),0)</f>
        <v>0</v>
      </c>
      <c r="X289" s="188">
        <f t="shared" ca="1" si="96"/>
        <v>290896.60465633014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162132.39302497063</v>
      </c>
      <c r="G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0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162132.39302497063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7" t="s">
        <v>23</v>
      </c>
      <c r="B2" s="448"/>
      <c r="C2" s="448"/>
      <c r="D2" s="448"/>
      <c r="E2" s="448"/>
      <c r="F2" s="448"/>
      <c r="G2" s="448"/>
      <c r="H2" s="448"/>
      <c r="I2" s="448"/>
      <c r="J2" s="448"/>
      <c r="K2" s="448"/>
      <c r="L2" s="448"/>
      <c r="M2" s="448"/>
      <c r="N2" s="448"/>
      <c r="O2" s="448"/>
      <c r="P2" s="448"/>
      <c r="Q2" s="448"/>
      <c r="R2" s="448"/>
      <c r="S2" s="448"/>
      <c r="T2" s="448"/>
      <c r="U2" s="449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53" t="s">
        <v>7</v>
      </c>
      <c r="D3" s="454"/>
      <c r="E3" s="454"/>
      <c r="F3" s="454"/>
      <c r="G3" s="454"/>
      <c r="H3" s="454"/>
      <c r="I3" s="454"/>
      <c r="J3" s="454"/>
      <c r="K3" s="455"/>
      <c r="L3" s="453" t="s">
        <v>8</v>
      </c>
      <c r="M3" s="454"/>
      <c r="N3" s="454"/>
      <c r="O3" s="454"/>
      <c r="P3" s="454"/>
      <c r="Q3" s="454"/>
      <c r="R3" s="454"/>
      <c r="S3" s="454"/>
      <c r="T3" s="455"/>
      <c r="U3" s="71"/>
      <c r="W3" s="31" t="s">
        <v>273</v>
      </c>
      <c r="X3" s="35">
        <f>C24+C51</f>
        <v>11808068</v>
      </c>
      <c r="Y3" s="11">
        <f>D24+D51</f>
        <v>12624308.354183866</v>
      </c>
      <c r="Z3" s="23">
        <f>E24+E51</f>
        <v>10273083.793860359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274</v>
      </c>
      <c r="X4" s="35">
        <f t="shared" ref="X4:Z5" si="0">C25+C52</f>
        <v>1267084</v>
      </c>
      <c r="Y4" s="11">
        <f t="shared" si="0"/>
        <v>1328628.3688846827</v>
      </c>
      <c r="Z4" s="23">
        <f t="shared" si="0"/>
        <v>1013300.2009728672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275</v>
      </c>
      <c r="X5" s="48">
        <f t="shared" si="0"/>
        <v>19782594</v>
      </c>
      <c r="Y5" s="16">
        <f t="shared" si="0"/>
        <v>20837846.038380824</v>
      </c>
      <c r="Z5" s="24">
        <f t="shared" si="0"/>
        <v>16049325.598302402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856024.05830682674</v>
      </c>
      <c r="D6" s="35">
        <f>VLOOKUP($B6,'[1]Afgrødefordeling - jordtype'!$F$4:$I$17,MATCH(D$5,'[1]Afgrødefordeling - jordtype'!$F$3:$I$3,0),FALSE)*(1-Landbrug!$C$5)*Arealanvendelse!K$26</f>
        <v>22635.91835790575</v>
      </c>
      <c r="E6" s="35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570294.93435708468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7661.8786419114076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3662.942628167918</v>
      </c>
      <c r="I6" s="11">
        <f>IF(Landbrug!$E$47&gt;0,SUMIF(Landbrug!$B$32:$B$45,$B6,IF($I$4=År2,Landbrug!$D$32:$D$45,Landbrug!$E$32:$E$45)),'[1]Afgrødefordeling - jordtype'!$G4)*(1-Landbrug!$E$5)*Arealanvendelse!P$26</f>
        <v>418353.46042417659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5942.8239222737075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2841.1077875232327</v>
      </c>
      <c r="L6" s="35">
        <f>VLOOKUP($B6,'[1]Afgrødefordeling - jordtype'!$F$4:$I$17,MATCH(C$5,'[1]Afgrødefordeling - jordtype'!$F$3:$I$3,0),FALSE)*(Landbrug!$C$5)*Arealanvendelse!J$26</f>
        <v>109452.53235846422</v>
      </c>
      <c r="M6" s="35">
        <f>VLOOKUP($B6,'[1]Afgrødefordeling - jordtype'!$F$4:$I$17,MATCH(D$5,'[1]Afgrødefordeling - jordtype'!$F$3:$I$3,0),FALSE)*(Landbrug!$C$5)*Arealanvendelse!K$26</f>
        <v>2894.2627984460178</v>
      </c>
      <c r="N6" s="35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152291.70407614647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2046.0300179883995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978.15312949556619</v>
      </c>
      <c r="R6" s="11">
        <f>IF(Landbrug!$E$47&gt;0,SUMIF(Landbrug!$B$32:$B$45,$B6,IF($R$4=År2,Landbrug!$D$32:$D$45,Landbrug!$E$32:$E$45)),'[1]Afgrødefordeling - jordtype'!$G4)*(Landbrug!$E$5)*Arealanvendelse!P$26</f>
        <v>265048.44319423975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3765.0847376260986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1799.9879701402513</v>
      </c>
      <c r="U6" s="94"/>
      <c r="W6" s="31" t="s">
        <v>276</v>
      </c>
      <c r="X6" s="34">
        <f t="shared" ref="X6:Z8" si="1">F24+F51</f>
        <v>490924</v>
      </c>
      <c r="Y6" s="11">
        <f t="shared" si="1"/>
        <v>1823172.2458161346</v>
      </c>
      <c r="Z6" s="23">
        <f t="shared" si="1"/>
        <v>4174396.8061396424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59143.999319161092</v>
      </c>
      <c r="D7" s="35">
        <f>VLOOKUP($B7,'[1]Afgrødefordeling - jordtype'!$F$4:$I$17,MATCH(D$5,'[1]Afgrødefordeling - jordtype'!$F$3:$I$3,0),FALSE)*(1-Landbrug!$C$5)*Arealanvendelse!K$26</f>
        <v>1940.4460603454415</v>
      </c>
      <c r="E7" s="35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43835.265633911426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656.80844004057417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210.90938785747409</v>
      </c>
      <c r="I7" s="11">
        <f>IF(Landbrug!$E$47&gt;0,SUMIF(Landbrug!$B$32:$B$45,$B7,IF($I$4=År2,Landbrug!$D$32:$D$45,Landbrug!$E$32:$E$45)),'[1]Afgrødefordeling - jordtype'!$G5)*(1-Landbrug!$E$5)*Arealanvendelse!P$26</f>
        <v>32156.405329522484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509.44384429073193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163.5887768745468</v>
      </c>
      <c r="L7" s="35">
        <f>VLOOKUP($B7,'[1]Afgrødefordeling - jordtype'!$F$4:$I$17,MATCH(C$5,'[1]Afgrødefordeling - jordtype'!$F$3:$I$3,0),FALSE)*(Landbrug!$C$5)*Arealanvendelse!J$26</f>
        <v>7562.2413137472431</v>
      </c>
      <c r="M7" s="35">
        <f>VLOOKUP($B7,'[1]Afgrødefordeling - jordtype'!$F$4:$I$17,MATCH(D$5,'[1]Afgrødefordeling - jordtype'!$F$3:$I$3,0),FALSE)*(Landbrug!$C$5)*Arealanvendelse!K$26</f>
        <v>248.10837166177816</v>
      </c>
      <c r="N7" s="35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11705.780465233727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175.39429260078944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56.321296486144433</v>
      </c>
      <c r="R7" s="11">
        <f>IF(Landbrug!$E$47&gt;0,SUMIF(Landbrug!$B$32:$B$45,$B7,IF($R$4=År2,Landbrug!$D$32:$D$45,Landbrug!$E$32:$E$45)),'[1]Afgrødefordeling - jordtype'!$G5)*(Landbrug!$E$5)*Arealanvendelse!P$26</f>
        <v>20372.737356280617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322.75888835063154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103.64190746907171</v>
      </c>
      <c r="U7" s="94"/>
      <c r="W7" s="31" t="s">
        <v>277</v>
      </c>
      <c r="X7" s="34">
        <f t="shared" si="1"/>
        <v>224348</v>
      </c>
      <c r="Y7" s="11">
        <f t="shared" si="1"/>
        <v>441296.43111531733</v>
      </c>
      <c r="Z7" s="23">
        <f t="shared" si="1"/>
        <v>756624.59902713273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99458.982869280968</v>
      </c>
      <c r="D8" s="35">
        <f>VLOOKUP($B8,'[1]Afgrødefordeling - jordtype'!$F$4:$I$17,MATCH(D$5,'[1]Afgrødefordeling - jordtype'!$F$3:$I$3,0),FALSE)*(1-Landbrug!$C$5)*Arealanvendelse!K$26</f>
        <v>2077.7966510372653</v>
      </c>
      <c r="E8" s="35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72171.319236256371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703.29931090502282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273.11810681640105</v>
      </c>
      <c r="I8" s="11">
        <f>IF(Landbrug!$E$47&gt;0,SUMIF(Landbrug!$B$32:$B$45,$B8,IF($I$4=År2,Landbrug!$D$32:$D$45,Landbrug!$E$32:$E$45)),'[1]Afgrødefordeling - jordtype'!$G6)*(1-Landbrug!$E$5)*Arealanvendelse!P$26</f>
        <v>52942.993750950387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545.50380718668021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211.84005837890712</v>
      </c>
      <c r="L8" s="35">
        <f>VLOOKUP($B8,'[1]Afgrødefordeling - jordtype'!$F$4:$I$17,MATCH(C$5,'[1]Afgrødefordeling - jordtype'!$F$3:$I$3,0),FALSE)*(Landbrug!$C$5)*Arealanvendelse!J$26</f>
        <v>12716.97615879156</v>
      </c>
      <c r="M8" s="35">
        <f>VLOOKUP($B8,'[1]Afgrødefordeling - jordtype'!$F$4:$I$17,MATCH(D$5,'[1]Afgrødefordeling - jordtype'!$F$3:$I$3,0),FALSE)*(Landbrug!$C$5)*Arealanvendelse!K$26</f>
        <v>265.67022617540744</v>
      </c>
      <c r="N8" s="35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19272.647414102903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187.80922656107916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72.933528592553259</v>
      </c>
      <c r="R8" s="11">
        <f>IF(Landbrug!$E$47&gt;0,SUMIF(Landbrug!$B$32:$B$45,$B8,IF($R$4=År2,Landbrug!$D$32:$D$45,Landbrug!$E$32:$E$45)),'[1]Afgrødefordeling - jordtype'!$G6)*(Landbrug!$E$5)*Arealanvendelse!P$26</f>
        <v>33542.110677186654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345.60473027942174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134.21157703004721</v>
      </c>
      <c r="U8" s="94"/>
      <c r="W8" s="46" t="s">
        <v>278</v>
      </c>
      <c r="X8" s="47">
        <f t="shared" si="1"/>
        <v>3277287</v>
      </c>
      <c r="Y8" s="16">
        <f t="shared" si="1"/>
        <v>6476901.761619173</v>
      </c>
      <c r="Z8" s="24">
        <f t="shared" si="1"/>
        <v>11265422.201697597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189636.9989648702</v>
      </c>
      <c r="D9" s="35">
        <f>VLOOKUP($B9,'[1]Afgrødefordeling - jordtype'!$F$4:$I$17,MATCH(D$5,'[1]Afgrødefordeling - jordtype'!$F$3:$I$3,0),FALSE)*(1-Landbrug!$C$5)*Arealanvendelse!K$26</f>
        <v>19174.640913496198</v>
      </c>
      <c r="E9" s="35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360741.64085235406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6490.2942906279959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6298.9657026268824</v>
      </c>
      <c r="I9" s="11">
        <f>IF(Landbrug!$E$47&gt;0,SUMIF(Landbrug!$B$32:$B$45,$B9,IF($I$4=År2,Landbrug!$D$32:$D$45,Landbrug!$E$32:$E$45)),'[1]Afgrødefordeling - jordtype'!$G7)*(1-Landbrug!$E$5)*Arealanvendelse!P$26</f>
        <v>264630.64052955853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5034.1016838813175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4885.7004675571425</v>
      </c>
      <c r="L9" s="35">
        <f>VLOOKUP($B9,'[1]Afgrødefordeling - jordtype'!$F$4:$I$17,MATCH(C$5,'[1]Afgrødefordeling - jordtype'!$F$3:$I$3,0),FALSE)*(Landbrug!$C$5)*Arealanvendelse!J$26</f>
        <v>24247.273851881382</v>
      </c>
      <c r="M9" s="35">
        <f>VLOOKUP($B9,'[1]Afgrødefordeling - jordtype'!$F$4:$I$17,MATCH(D$5,'[1]Afgrødefordeling - jordtype'!$F$3:$I$3,0),FALSE)*(Landbrug!$C$5)*Arealanvendelse!K$26</f>
        <v>2451.6986230474936</v>
      </c>
      <c r="N9" s="35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96332.539370288971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1733.1698353409072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1682.0774006202294</v>
      </c>
      <c r="R9" s="11">
        <f>IF(Landbrug!$E$47&gt;0,SUMIF(Landbrug!$B$32:$B$45,$B9,IF($R$4=År2,Landbrug!$D$32:$D$45,Landbrug!$E$32:$E$45)),'[1]Afgrødefordeling - jordtype'!$G7)*(Landbrug!$E$5)*Arealanvendelse!P$26</f>
        <v>167657.12711623736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3189.3624420875854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3095.3426356899681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7338.5205805106789</v>
      </c>
      <c r="D10" s="35">
        <f>VLOOKUP($B10,'[1]Afgrødefordeling - jordtype'!$F$4:$I$17,MATCH(D$5,'[1]Afgrødefordeling - jordtype'!$F$3:$I$3,0),FALSE)*(1-Landbrug!$C$5)*Arealanvendelse!K$26</f>
        <v>89.680516787297492</v>
      </c>
      <c r="E10" s="35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7367.2575493194499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30.355350523173726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7.3213666207429391</v>
      </c>
      <c r="I10" s="11">
        <f>IF(Landbrug!$E$47&gt;0,SUMIF(Landbrug!$B$32:$B$45,$B10,IF($I$4=År2,Landbrug!$D$32:$D$45,Landbrug!$E$32:$E$45)),'[1]Afgrødefordeling - jordtype'!$G8)*(1-Landbrug!$E$5)*Arealanvendelse!P$26</f>
        <v>5404.4276108966669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23.544682928195929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5.6787107615467285</v>
      </c>
      <c r="L10" s="35">
        <f>VLOOKUP($B10,'[1]Afgrødefordeling - jordtype'!$F$4:$I$17,MATCH(C$5,'[1]Afgrødefordeling - jordtype'!$F$3:$I$3,0),FALSE)*(Landbrug!$C$5)*Arealanvendelse!J$26</f>
        <v>938.31435402683587</v>
      </c>
      <c r="M10" s="35">
        <f>VLOOKUP($B10,'[1]Afgrødefordeling - jordtype'!$F$4:$I$17,MATCH(D$5,'[1]Afgrødefordeling - jordtype'!$F$3:$I$3,0),FALSE)*(Landbrug!$C$5)*Arealanvendelse!K$26</f>
        <v>11.466686678176497</v>
      </c>
      <c r="N10" s="35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1967.3543266144493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8.106100511333505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1.9550996013950637</v>
      </c>
      <c r="R10" s="11">
        <f>IF(Landbrug!$E$47&gt;0,SUMIF(Landbrug!$B$32:$B$45,$B10,IF($R$4=År2,Landbrug!$D$32:$D$45,Landbrug!$E$32:$E$45)),'[1]Afgrødefordeling - jordtype'!$G8)*(Landbrug!$E$5)*Arealanvendelse!P$26</f>
        <v>3423.9829716521344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14.9167681063113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3.597755460591272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43716.498839298802</v>
      </c>
      <c r="D11" s="35">
        <f>VLOOKUP($B11,'[1]Afgrødefordeling - jordtype'!$F$4:$I$17,MATCH(D$5,'[1]Afgrødefordeling - jordtype'!$F$3:$I$3,0),FALSE)*(1-Landbrug!$C$5)*Arealanvendelse!K$26</f>
        <v>1415.8229166406438</v>
      </c>
      <c r="E11" s="35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30987.369727135854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479.23230655887977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387.5220821847393</v>
      </c>
      <c r="I11" s="11">
        <f>IF(Landbrug!$E$47&gt;0,SUMIF(Landbrug!$B$32:$B$45,$B11,IF($I$4=År2,Landbrug!$D$32:$D$45,Landbrug!$E$32:$E$45)),'[1]Afgrødefordeling - jordtype'!$G9)*(1-Landbrug!$E$5)*Arealanvendelse!P$26</f>
        <v>22731.524644182758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371.70951784144017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300.57582585806449</v>
      </c>
      <c r="L11" s="35">
        <f>VLOOKUP($B11,'[1]Afgrødefordeling - jordtype'!$F$4:$I$17,MATCH(C$5,'[1]Afgrødefordeling - jordtype'!$F$3:$I$3,0),FALSE)*(Landbrug!$C$5)*Arealanvendelse!J$26</f>
        <v>5589.6577407781906</v>
      </c>
      <c r="M11" s="35">
        <f>VLOOKUP($B11,'[1]Afgrødefordeling - jordtype'!$F$4:$I$17,MATCH(D$5,'[1]Afgrødefordeling - jordtype'!$F$3:$I$3,0),FALSE)*(Landbrug!$C$5)*Arealanvendelse!K$26</f>
        <v>181.02926207936162</v>
      </c>
      <c r="N11" s="35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8274.8750800375929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127.97431682690761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103.48399522359757</v>
      </c>
      <c r="R11" s="11">
        <f>IF(Landbrug!$E$47&gt;0,SUMIF(Landbrug!$B$32:$B$45,$B11,IF($R$4=År2,Landbrug!$D$32:$D$45,Landbrug!$E$32:$E$45)),'[1]Afgrødefordeling - jordtype'!$G9)*(Landbrug!$E$5)*Arealanvendelse!P$26</f>
        <v>14401.590493032652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235.49710554434719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190.4302515502724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4267.6414750315462</v>
      </c>
      <c r="D12" s="35">
        <f>VLOOKUP($B12,'[1]Afgrødefordeling - jordtype'!$F$4:$I$17,MATCH(D$5,'[1]Afgrødefordeling - jordtype'!$F$3:$I$3,0),FALSE)*(1-Landbrug!$C$5)*Arealanvendelse!K$26</f>
        <v>37.144566460621057</v>
      </c>
      <c r="E12" s="35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19057.349691034611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12.572812639090197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4.1906880921254537</v>
      </c>
      <c r="I12" s="11">
        <f>IF(Landbrug!$E$47&gt;0,SUMIF(Landbrug!$B$32:$B$45,$B12,IF($I$4=År2,Landbrug!$D$32:$D$45,Landbrug!$E$32:$E$45)),'[1]Afgrødefordeling - jordtype'!$G10)*(1-Landbrug!$E$5)*Arealanvendelse!P$26</f>
        <v>13979.973710876255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9.7519179321287925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3.2504458251844333</v>
      </c>
      <c r="L12" s="35">
        <f>VLOOKUP($B12,'[1]Afgrødefordeling - jordtype'!$F$4:$I$17,MATCH(C$5,'[1]Afgrødefordeling - jordtype'!$F$3:$I$3,0),FALSE)*(Landbrug!$C$5)*Arealanvendelse!J$26</f>
        <v>545.66710141783074</v>
      </c>
      <c r="M12" s="35">
        <f>VLOOKUP($B12,'[1]Afgrødefordeling - jordtype'!$F$4:$I$17,MATCH(D$5,'[1]Afgrødefordeling - jordtype'!$F$3:$I$3,0),FALSE)*(Landbrug!$C$5)*Arealanvendelse!K$26</f>
        <v>4.7493605150697995</v>
      </c>
      <c r="N12" s="35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5089.0795004071579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3.3574470795461528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1.1190824121923435</v>
      </c>
      <c r="R12" s="11">
        <f>IF(Landbrug!$E$47&gt;0,SUMIF(Landbrug!$B$32:$B$45,$B12,IF($R$4=År2,Landbrug!$D$32:$D$45,Landbrug!$E$32:$E$45)),'[1]Afgrødefordeling - jordtype'!$G10)*(Landbrug!$E$5)*Arealanvendelse!P$26</f>
        <v>8857.0326732978465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6.1783417865075565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2.0593246791333639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146143.69836902106</v>
      </c>
      <c r="D13" s="35">
        <f>VLOOKUP($B13,'[1]Afgrødefordeling - jordtype'!$F$4:$I$17,MATCH(D$5,'[1]Afgrødefordeling - jordtype'!$F$3:$I$3,0),FALSE)*(1-Landbrug!$C$5)*Arealanvendelse!K$26</f>
        <v>4794.8053396620016</v>
      </c>
      <c r="E13" s="35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96228.425648341828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1622.9611736184906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521.15308935917199</v>
      </c>
      <c r="I13" s="11">
        <f>IF(Landbrug!$E$47&gt;0,SUMIF(Landbrug!$B$32:$B$45,$B13,IF($I$4=År2,Landbrug!$D$32:$D$45,Landbrug!$E$32:$E$45)),'[1]Afgrødefordeling - jordtype'!$G11)*(1-Landbrug!$E$5)*Arealanvendelse!P$26</f>
        <v>70590.658334600521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1258.8260579777664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404.22475888209794</v>
      </c>
      <c r="L13" s="35">
        <f>VLOOKUP($B13,'[1]Afgrødefordeling - jordtype'!$F$4:$I$17,MATCH(C$5,'[1]Afgrødefordeling - jordtype'!$F$3:$I$3,0),FALSE)*(Landbrug!$C$5)*Arealanvendelse!J$26</f>
        <v>18686.154576496141</v>
      </c>
      <c r="M13" s="35">
        <f>VLOOKUP($B13,'[1]Afgrødefordeling - jordtype'!$F$4:$I$17,MATCH(D$5,'[1]Afgrødefordeling - jordtype'!$F$3:$I$3,0),FALSE)*(Landbrug!$C$5)*Arealanvendelse!K$26</f>
        <v>613.07107142517441</v>
      </c>
      <c r="N13" s="35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25696.863218803875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433.3959638944005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139.16885331013916</v>
      </c>
      <c r="R13" s="11">
        <f>IF(Landbrug!$E$47&gt;0,SUMIF(Landbrug!$B$32:$B$45,$B13,IF($R$4=År2,Landbrug!$D$32:$D$45,Landbrug!$E$32:$E$45)),'[1]Afgrødefordeling - jordtype'!$G11)*(Landbrug!$E$5)*Arealanvendelse!P$26</f>
        <v>44722.81423624888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797.53107953512472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256.09718378721317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2685.4308255346846</v>
      </c>
      <c r="D14" s="35">
        <f>VLOOKUP($B14,'[1]Afgrødefordeling - jordtype'!$F$4:$I$17,MATCH(D$5,'[1]Afgrødefordeling - jordtype'!$F$3:$I$3,0),FALSE)*(1-Landbrug!$C$5)*Arealanvendelse!K$26</f>
        <v>81.683630839432524</v>
      </c>
      <c r="E14" s="35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2872.9723507791814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27.648538779246895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14.934663861115773</v>
      </c>
      <c r="I14" s="11">
        <f>IF(Landbrug!$E$47&gt;0,SUMIF(Landbrug!$B$32:$B$45,$B14,IF($I$4=År2,Landbrug!$D$32:$D$45,Landbrug!$E$32:$E$45)),'[1]Afgrødefordeling - jordtype'!$G12)*(1-Landbrug!$E$5)*Arealanvendelse!P$26</f>
        <v>2107.537437635528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21.445184053741457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11.583853231433325</v>
      </c>
      <c r="L14" s="35">
        <f>VLOOKUP($B14,'[1]Afgrødefordeling - jordtype'!$F$4:$I$17,MATCH(C$5,'[1]Afgrødefordeling - jordtype'!$F$3:$I$3,0),FALSE)*(Landbrug!$C$5)*Arealanvendelse!J$26</f>
        <v>343.36325185722677</v>
      </c>
      <c r="M14" s="35">
        <f>VLOOKUP($B14,'[1]Afgrødefordeling - jordtype'!$F$4:$I$17,MATCH(D$5,'[1]Afgrødefordeling - jordtype'!$F$3:$I$3,0),FALSE)*(Landbrug!$C$5)*Arealanvendelse!K$26</f>
        <v>10.444192731327741</v>
      </c>
      <c r="N14" s="35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767.19926603777083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7.3832728159399634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3.9881564295811422</v>
      </c>
      <c r="R14" s="11">
        <f>IF(Landbrug!$E$47&gt;0,SUMIF(Landbrug!$B$32:$B$45,$B14,IF($R$4=År2,Landbrug!$D$32:$D$45,Landbrug!$E$32:$E$45)),'[1]Afgrødefordeling - jordtype'!$G12)*(Landbrug!$E$5)*Arealanvendelse!P$26</f>
        <v>1335.2334082584114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13.586627541445402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7.3389670592635889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47494.264779726094</v>
      </c>
      <c r="D15" s="35">
        <f>VLOOKUP($B15,'[1]Afgrødefordeling - jordtype'!$F$4:$I$17,MATCH(D$5,'[1]Afgrødefordeling - jordtype'!$F$3:$I$3,0),FALSE)*(1-Landbrug!$C$5)*Arealanvendelse!K$26</f>
        <v>1444.648640496996</v>
      </c>
      <c r="E15" s="35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39579.133862000126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488.98933052674028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264.13299239417614</v>
      </c>
      <c r="I15" s="11">
        <f>IF(Landbrug!$E$47&gt;0,SUMIF(Landbrug!$B$32:$B$45,$B15,IF($I$4=År2,Landbrug!$D$32:$D$45,Landbrug!$E$32:$E$45)),'[1]Afgrødefordeling - jordtype'!$G13)*(1-Landbrug!$E$5)*Arealanvendelse!P$26</f>
        <v>29034.218286413503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379.27741054196122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204.87088600900333</v>
      </c>
      <c r="L15" s="35">
        <f>VLOOKUP($B15,'[1]Afgrødefordeling - jordtype'!$F$4:$I$17,MATCH(C$5,'[1]Afgrødefordeling - jordtype'!$F$3:$I$3,0),FALSE)*(Landbrug!$C$5)*Arealanvendelse!J$26</f>
        <v>6072.6886145309409</v>
      </c>
      <c r="M15" s="35">
        <f>VLOOKUP($B15,'[1]Afgrødefordeling - jordtype'!$F$4:$I$17,MATCH(D$5,'[1]Afgrødefordeling - jordtype'!$F$3:$I$3,0),FALSE)*(Landbrug!$C$5)*Arealanvendelse!K$26</f>
        <v>184.71496278196111</v>
      </c>
      <c r="N15" s="35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10569.221956174357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130.57983498472259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70.534141355802859</v>
      </c>
      <c r="R15" s="11">
        <f>IF(Landbrug!$E$47&gt;0,SUMIF(Landbrug!$B$32:$B$45,$B15,IF($R$4=År2,Landbrug!$D$32:$D$45,Landbrug!$E$32:$E$45)),'[1]Afgrødefordeling - jordtype'!$G13)*(Landbrug!$E$5)*Arealanvendelse!P$26</f>
        <v>18394.671215036771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240.29175496950162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129.79624774097564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49959.789539022684</v>
      </c>
      <c r="D16" s="35">
        <f>VLOOKUP($B16,'[1]Afgrødefordeling - jordtype'!$F$4:$I$17,MATCH(D$5,'[1]Afgrødefordeling - jordtype'!$F$3:$I$3,0),FALSE)*(1-Landbrug!$C$5)*Arealanvendelse!K$26</f>
        <v>3565.8188704270801</v>
      </c>
      <c r="E16" s="35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57164.365090069885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1206.9698702861729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840.38287254815123</v>
      </c>
      <c r="I16" s="11">
        <f>IF(Landbrug!$E$47&gt;0,SUMIF(Landbrug!$B$32:$B$45,$B16,IF($I$4=År2,Landbrug!$D$32:$D$45,Landbrug!$E$32:$E$45)),'[1]Afgrødefordeling - jordtype'!$G14)*(1-Landbrug!$E$5)*Arealanvendelse!P$26</f>
        <v>41934.284363479273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936.16849780993959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651.83066350452339</v>
      </c>
      <c r="L16" s="35">
        <f>VLOOKUP($B16,'[1]Afgrødefordeling - jordtype'!$F$4:$I$17,MATCH(C$5,'[1]Afgrødefordeling - jordtype'!$F$3:$I$3,0),FALSE)*(Landbrug!$C$5)*Arealanvendelse!J$26</f>
        <v>6387.934343758774</v>
      </c>
      <c r="M16" s="35">
        <f>VLOOKUP($B16,'[1]Afgrødefordeling - jordtype'!$F$4:$I$17,MATCH(D$5,'[1]Afgrødefordeling - jordtype'!$F$3:$I$3,0),FALSE)*(Landbrug!$C$5)*Arealanvendelse!K$26</f>
        <v>455.9310004345117</v>
      </c>
      <c r="N16" s="35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15265.186568441022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322.30954062684162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224.41605566959052</v>
      </c>
      <c r="R16" s="11">
        <f>IF(Landbrug!$E$47&gt;0,SUMIF(Landbrug!$B$32:$B$45,$B16,IF($R$4=År2,Landbrug!$D$32:$D$45,Landbrug!$E$32:$E$45)),'[1]Afgrødefordeling - jordtype'!$G14)*(Landbrug!$E$5)*Arealanvendelse!P$26</f>
        <v>26567.526836602257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593.11091310307495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412.96826471321828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13468.89657573873</v>
      </c>
      <c r="D17" s="35">
        <f>VLOOKUP($B17,'[1]Afgrødefordeling - jordtype'!$F$4:$I$17,MATCH(D$5,'[1]Afgrødefordeling - jordtype'!$F$3:$I$3,0),FALSE)*(1-Landbrug!$C$5)*Arealanvendelse!K$26</f>
        <v>409.68784794078073</v>
      </c>
      <c r="E17" s="35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10736.453060017713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138.67246392907253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74.905464339689473</v>
      </c>
      <c r="I17" s="11">
        <f>IF(Landbrug!$E$47&gt;0,SUMIF(Landbrug!$B$32:$B$45,$B17,IF($I$4=År2,Landbrug!$D$32:$D$45,Landbrug!$E$32:$E$45)),'[1]Afgrødefordeling - jordtype'!$G15)*(1-Landbrug!$E$5)*Arealanvendelse!P$26</f>
        <v>7875.9813909336926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107.5592650985582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58.099326051955742</v>
      </c>
      <c r="L17" s="35">
        <f>VLOOKUP($B17,'[1]Afgrødefordeling - jordtype'!$F$4:$I$17,MATCH(C$5,'[1]Afgrødefordeling - jordtype'!$F$3:$I$3,0),FALSE)*(Landbrug!$C$5)*Arealanvendelse!J$26</f>
        <v>1722.1535119056764</v>
      </c>
      <c r="M17" s="35">
        <f>VLOOKUP($B17,'[1]Afgrødefordeling - jordtype'!$F$4:$I$17,MATCH(D$5,'[1]Afgrødefordeling - jordtype'!$F$3:$I$3,0),FALSE)*(Landbrug!$C$5)*Arealanvendelse!K$26</f>
        <v>52.383308621374375</v>
      </c>
      <c r="N17" s="35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2867.0651512746385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37.031129978393189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20.002774216759306</v>
      </c>
      <c r="R17" s="11">
        <f>IF(Landbrug!$E$47&gt;0,SUMIF(Landbrug!$B$32:$B$45,$B17,IF($R$4=År2,Landbrug!$D$32:$D$45,Landbrug!$E$32:$E$45)),'[1]Afgrødefordeling - jordtype'!$G15)*(Landbrug!$E$5)*Arealanvendelse!P$26</f>
        <v>4989.8394629679997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68.144328808907531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36.80891250449303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4954.292308391774</v>
      </c>
      <c r="D18" s="35">
        <f>VLOOKUP($B18,'[1]Afgrødefordeling - jordtype'!$F$4:$I$17,MATCH(D$5,'[1]Afgrødefordeling - jordtype'!$F$3:$I$3,0),FALSE)*(1-Landbrug!$C$5)*Arealanvendelse!K$26</f>
        <v>672.85851532837171</v>
      </c>
      <c r="E18" s="35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4128.6374128486204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227.7513200970759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176.81613472378581</v>
      </c>
      <c r="I18" s="11">
        <f>IF(Landbrug!$E$47&gt;0,SUMIF(Landbrug!$B$32:$B$45,$B18,IF($I$4=År2,Landbrug!$D$32:$D$45,Landbrug!$E$32:$E$45)),'[1]Afgrødefordeling - jordtype'!$G16)*(1-Landbrug!$E$5)*Arealanvendelse!P$26</f>
        <v>3028.6605130889202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176.65197488232016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137.14484454668226</v>
      </c>
      <c r="L18" s="35">
        <f>VLOOKUP($B18,'[1]Afgrødefordeling - jordtype'!$F$4:$I$17,MATCH(C$5,'[1]Afgrødefordeling - jordtype'!$F$3:$I$3,0),FALSE)*(Landbrug!$C$5)*Arealanvendelse!J$26</f>
        <v>633.46331675549425</v>
      </c>
      <c r="M18" s="35">
        <f>VLOOKUP($B18,'[1]Afgrødefordeling - jordtype'!$F$4:$I$17,MATCH(D$5,'[1]Afgrødefordeling - jordtype'!$F$3:$I$3,0),FALSE)*(Landbrug!$C$5)*Arealanvendelse!K$26</f>
        <v>86.032708668626768</v>
      </c>
      <c r="N18" s="35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1102.5123830427694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60.818770347797177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47.217025512596194</v>
      </c>
      <c r="R18" s="11">
        <f>IF(Landbrug!$E$47&gt;0,SUMIF(Landbrug!$B$32:$B$45,$B18,IF($R$4=År2,Landbrug!$D$32:$D$45,Landbrug!$E$32:$E$45)),'[1]Afgrødefordeling - jordtype'!$G16)*(Landbrug!$E$5)*Arealanvendelse!P$26</f>
        <v>1918.8122721494169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111.91811556255288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86.888315689699709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119415.94261463804</v>
      </c>
      <c r="D19" s="35">
        <f>VLOOKUP($B19,'[1]Afgrødefordeling - jordtype'!$F$4:$I$17,MATCH(D$5,'[1]Afgrødefordeling - jordtype'!$F$3:$I$3,0),FALSE)*(1-Landbrug!$C$5)*Arealanvendelse!K$26</f>
        <v>19018.389680733297</v>
      </c>
      <c r="E19" s="35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100152.3337600521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25133.097627836476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16884.321517134074</v>
      </c>
      <c r="I19" s="11">
        <f>IF(Landbrug!$E$47&gt;0,SUMIF(Landbrug!$B$32:$B$45,$B19,IF($I$4=År2,Landbrug!$D$32:$D$45,Landbrug!$E$32:$E$45)),'[1]Afgrødefordeling - jordtype'!$G17)*(1-Landbrug!$E$5)*Arealanvendelse!P$26</f>
        <v>73469.134782530236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19494.118975798079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13096.076629889445</v>
      </c>
      <c r="L19" s="35">
        <f>VLOOKUP($B19,'[1]Afgrødefordeling - jordtype'!$F$4:$I$17,MATCH(C$5,'[1]Afgrødefordeling - jordtype'!$F$3:$I$3,0),FALSE)*(Landbrug!$C$5)*Arealanvendelse!J$26</f>
        <v>15268.703252333511</v>
      </c>
      <c r="M19" s="35">
        <f>VLOOKUP($B19,'[1]Afgrødefordeling - jordtype'!$F$4:$I$17,MATCH(D$5,'[1]Afgrødefordeling - jordtype'!$F$3:$I$3,0),FALSE)*(Landbrug!$C$5)*Arealanvendelse!K$26</f>
        <v>2431.7201038177204</v>
      </c>
      <c r="N19" s="35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26744.704637287185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6711.5487721635291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4508.7935050881479</v>
      </c>
      <c r="R19" s="11">
        <f>IF(Landbrug!$E$47&gt;0,SUMIF(Landbrug!$B$32:$B$45,$B19,IF($R$4=År2,Landbrug!$D$32:$D$45,Landbrug!$E$32:$E$45)),'[1]Afgrødefordeling - jordtype'!$G17)*(Landbrug!$E$5)*Arealanvendelse!P$26</f>
        <v>46546.477175528751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12350.527424201924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8297.0383923327736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1643709.0153670528</v>
      </c>
      <c r="D20" s="37">
        <f t="shared" si="2"/>
        <v>77359.342508101181</v>
      </c>
      <c r="E20" s="37">
        <f t="shared" si="2"/>
        <v>60217.469135875617</v>
      </c>
      <c r="F20" s="38">
        <f t="shared" si="2"/>
        <v>1415317.4582312061</v>
      </c>
      <c r="G20" s="38">
        <f t="shared" si="2"/>
        <v>44880.531478279416</v>
      </c>
      <c r="H20" s="38">
        <f t="shared" si="2"/>
        <v>29621.616696726447</v>
      </c>
      <c r="I20" s="38">
        <f t="shared" si="2"/>
        <v>1038239.9011088453</v>
      </c>
      <c r="J20" s="38">
        <f t="shared" si="2"/>
        <v>34810.926742496566</v>
      </c>
      <c r="K20" s="39">
        <f t="shared" si="2"/>
        <v>22975.573034893765</v>
      </c>
      <c r="L20" s="36">
        <f t="shared" si="2"/>
        <v>210167.12374674503</v>
      </c>
      <c r="M20" s="37">
        <f t="shared" si="2"/>
        <v>9891.2826770840002</v>
      </c>
      <c r="N20" s="37">
        <f t="shared" si="2"/>
        <v>7699.4967900503034</v>
      </c>
      <c r="O20" s="38">
        <f t="shared" si="2"/>
        <v>377946.73341389291</v>
      </c>
      <c r="P20" s="38">
        <f t="shared" si="2"/>
        <v>11984.908521720587</v>
      </c>
      <c r="Q20" s="38">
        <f t="shared" si="2"/>
        <v>7910.1640440142955</v>
      </c>
      <c r="R20" s="38">
        <f t="shared" si="2"/>
        <v>657778.39908871951</v>
      </c>
      <c r="S20" s="38">
        <f t="shared" si="2"/>
        <v>22054.513257503429</v>
      </c>
      <c r="T20" s="39">
        <f t="shared" si="2"/>
        <v>14556.207705846971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53" t="s">
        <v>7</v>
      </c>
      <c r="D22" s="454"/>
      <c r="E22" s="455"/>
      <c r="F22" s="459" t="s">
        <v>8</v>
      </c>
      <c r="G22" s="454"/>
      <c r="H22" s="455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11120896.351842804</v>
      </c>
      <c r="E24" s="23">
        <f>($F24+$C24)*Landbrug!E11*(1-Landbrug!E6)</f>
        <v>8838199.059990095</v>
      </c>
      <c r="F24" s="34">
        <f>SUM([1]Dyrehold!E58:G61)</f>
        <v>475477</v>
      </c>
      <c r="G24" s="11">
        <f>($F24+$C24)*Landbrug!D11*Landbrug!D6</f>
        <v>1770035.248157196</v>
      </c>
      <c r="H24" s="23">
        <f>($F24+$C24)*Landbrug!E11*Landbrug!E6</f>
        <v>4052732.540009906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1256864.7532891978</v>
      </c>
      <c r="E25" s="23">
        <f>($F25+$C25)*Landbrug!E12*(1-Landbrug!E7)</f>
        <v>960975.46611286432</v>
      </c>
      <c r="F25" s="34">
        <f>SUM([1]Dyrehold!E36:G51)</f>
        <v>207835</v>
      </c>
      <c r="G25" s="11">
        <f>($F25+$C25)*Landbrug!D12*Landbrug!D7</f>
        <v>414092.04671080224</v>
      </c>
      <c r="H25" s="23">
        <f>($F25+$C25)*Landbrug!E12*Landbrug!E7</f>
        <v>709981.33388713561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19414612.749889471</v>
      </c>
      <c r="E26" s="24">
        <f>($F26+$C26)*Landbrug!E13*(1-Landbrug!E8)</f>
        <v>14893959.058008583</v>
      </c>
      <c r="F26" s="47">
        <f>SUM([1]Dyrehold!E65:G78)</f>
        <v>3062300</v>
      </c>
      <c r="G26" s="16">
        <f>($F26+$C26)*Landbrug!D13*Landbrug!D8</f>
        <v>6114588.0501105273</v>
      </c>
      <c r="H26" s="24">
        <f>($F26+$C26)*Landbrug!E13*Landbrug!E8</f>
        <v>10635241.741991416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50" t="s">
        <v>24</v>
      </c>
      <c r="B29" s="451"/>
      <c r="C29" s="451"/>
      <c r="D29" s="451"/>
      <c r="E29" s="451"/>
      <c r="F29" s="451"/>
      <c r="G29" s="451"/>
      <c r="H29" s="451"/>
      <c r="I29" s="451"/>
      <c r="J29" s="451"/>
      <c r="K29" s="451"/>
      <c r="L29" s="451"/>
      <c r="M29" s="451"/>
      <c r="N29" s="451"/>
      <c r="O29" s="451"/>
      <c r="P29" s="451"/>
      <c r="Q29" s="451"/>
      <c r="R29" s="451"/>
      <c r="S29" s="451"/>
      <c r="T29" s="451"/>
      <c r="U29" s="452"/>
    </row>
    <row r="30" spans="1:21" x14ac:dyDescent="0.25">
      <c r="A30" s="56"/>
      <c r="B30" s="53"/>
      <c r="C30" s="456" t="s">
        <v>7</v>
      </c>
      <c r="D30" s="457"/>
      <c r="E30" s="457"/>
      <c r="F30" s="457"/>
      <c r="G30" s="457"/>
      <c r="H30" s="457"/>
      <c r="I30" s="457"/>
      <c r="J30" s="457"/>
      <c r="K30" s="458"/>
      <c r="L30" s="456" t="s">
        <v>8</v>
      </c>
      <c r="M30" s="457"/>
      <c r="N30" s="457"/>
      <c r="O30" s="457"/>
      <c r="P30" s="457"/>
      <c r="Q30" s="457"/>
      <c r="R30" s="457"/>
      <c r="S30" s="457"/>
      <c r="T30" s="458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289324.40705334052</v>
      </c>
      <c r="D33" s="35">
        <f>VLOOKUP($B33,'[1]Afgrødefordeling - jordtype'!$O$4:$R$17,MATCH(D$5,'[1]Afgrødefordeling - jordtype'!$O$3:$R$3,0),FALSE)*(1-Landbrug!$C$5)*Arealanvendelse!K$36</f>
        <v>4501.5258539517936</v>
      </c>
      <c r="E33" s="35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170742.22298669259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1526.6125996774585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795.86379236536447</v>
      </c>
      <c r="I33" s="11">
        <f>IF(Landbrug!$E$47&gt;0,SUMIF(Landbrug!$B$32:$B$45,$B33,IF($I$31=År2,Landbrug!$D$32:$D$45,Landbrug!$E$32:$E$45)),'[1]Afgrødefordeling - jordtype'!$P4)*(1-Landbrug!$E$5)*Arealanvendelse!P$36</f>
        <v>128790.55866223614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1184.0946981045329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617.3000911641235</v>
      </c>
      <c r="L33" s="35">
        <f>VLOOKUP($B33,'[1]Afgrødefordeling - jordtype'!$O$4:$R$17,MATCH(C$5,'[1]Afgrødefordeling - jordtype'!$O$3:$R$3,0),FALSE)*(Landbrug!$C$5)*Arealanvendelse!J$36</f>
        <v>36993.456805099093</v>
      </c>
      <c r="M33" s="35">
        <f>VLOOKUP($B33,'[1]Afgrødefordeling - jordtype'!$O$4:$R$17,MATCH(D$5,'[1]Afgrødefordeling - jordtype'!$O$3:$R$3,0),FALSE)*(Landbrug!$C$5)*Arealanvendelse!K$36</f>
        <v>575.57191227389683</v>
      </c>
      <c r="N33" s="35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45595.046580076254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407.66701624500939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212.52766919359556</v>
      </c>
      <c r="R33" s="11">
        <f>IF(Landbrug!$E$47&gt;0,SUMIF(Landbrug!$B$32:$B$45,$B33,IF($R$31=År2,Landbrug!$D$32:$D$45,Landbrug!$E$32:$E$45)),'[1]Afgrødefordeling - jordtype'!$P4)*(Landbrug!$E$5)*Arealanvendelse!P$36</f>
        <v>81595.44571934751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750.18491781793512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391.09137039483642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6305.778237432175</v>
      </c>
      <c r="D34" s="35">
        <f>VLOOKUP($B34,'[1]Afgrødefordeling - jordtype'!$O$4:$R$17,MATCH(D$5,'[1]Afgrødefordeling - jordtype'!$O$3:$R$3,0),FALSE)*(1-Landbrug!$C$5)*Arealanvendelse!K$36</f>
        <v>121.72845469783576</v>
      </c>
      <c r="E34" s="35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13123.964897187461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41.282044957676888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14.455510907474943</v>
      </c>
      <c r="I34" s="11">
        <f>IF(Landbrug!$E$47&gt;0,SUMIF(Landbrug!$B$32:$B$45,$B34,IF($I$31=År2,Landbrug!$D$32:$D$45,Landbrug!$E$32:$E$45)),'[1]Afgrødefordeling - jordtype'!$P5)*(1-Landbrug!$E$5)*Arealanvendelse!P$36</f>
        <v>9899.3836521859339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32.01981339052611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11.212205262520254</v>
      </c>
      <c r="L34" s="35">
        <f>VLOOKUP($B34,'[1]Afgrødefordeling - jordtype'!$O$4:$R$17,MATCH(C$5,'[1]Afgrødefordeling - jordtype'!$O$3:$R$3,0),FALSE)*(Landbrug!$C$5)*Arealanvendelse!J$36</f>
        <v>806.26635417583145</v>
      </c>
      <c r="M34" s="35">
        <f>VLOOKUP($B34,'[1]Afgrødefordeling - jordtype'!$O$4:$R$17,MATCH(D$5,'[1]Afgrødefordeling - jordtype'!$O$3:$R$3,0),FALSE)*(Landbrug!$C$5)*Arealanvendelse!K$36</f>
        <v>15.564384549090725</v>
      </c>
      <c r="N34" s="35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3504.626918493298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11.02396776755554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3.8602033031776197</v>
      </c>
      <c r="R34" s="11">
        <f>IF(Landbrug!$E$47&gt;0,SUMIF(Landbrug!$B$32:$B$45,$B34,IF($R$31=År2,Landbrug!$D$32:$D$45,Landbrug!$E$32:$E$45)),'[1]Afgrødefordeling - jordtype'!$P5)*(Landbrug!$E$5)*Arealanvendelse!P$36</f>
        <v>6271.7689078848562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20.286199334706314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7.1035089481323102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40000.111452135221</v>
      </c>
      <c r="D35" s="35">
        <f>VLOOKUP($B35,'[1]Afgrødefordeling - jordtype'!$O$4:$R$17,MATCH(D$5,'[1]Afgrødefordeling - jordtype'!$O$3:$R$3,0),FALSE)*(1-Landbrug!$C$5)*Arealanvendelse!K$36</f>
        <v>491.68024413286827</v>
      </c>
      <c r="E35" s="35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21607.576606256382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166.74462839012355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70.611788319212792</v>
      </c>
      <c r="I35" s="11">
        <f>IF(Landbrug!$E$47&gt;0,SUMIF(Landbrug!$B$32:$B$45,$B35,IF($I$31=År2,Landbrug!$D$32:$D$45,Landbrug!$E$32:$E$45)),'[1]Afgrødefordeling - jordtype'!$P6)*(1-Landbrug!$E$5)*Arealanvendelse!P$36</f>
        <v>16298.557051548494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129.33302820628569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54.768999148916187</v>
      </c>
      <c r="L35" s="35">
        <f>VLOOKUP($B35,'[1]Afgrødefordeling - jordtype'!$O$4:$R$17,MATCH(C$5,'[1]Afgrødefordeling - jordtype'!$O$3:$R$3,0),FALSE)*(Landbrug!$C$5)*Arealanvendelse!J$36</f>
        <v>5114.4748217902852</v>
      </c>
      <c r="M35" s="35">
        <f>VLOOKUP($B35,'[1]Afgrødefordeling - jordtype'!$O$4:$R$17,MATCH(D$5,'[1]Afgrødefordeling - jordtype'!$O$3:$R$3,0),FALSE)*(Landbrug!$C$5)*Arealanvendelse!K$36</f>
        <v>62.866980558250944</v>
      </c>
      <c r="N35" s="35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5770.0927433843399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44.527527903966288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18.856189882030051</v>
      </c>
      <c r="R35" s="11">
        <f>IF(Landbrug!$E$47&gt;0,SUMIF(Landbrug!$B$32:$B$45,$B35,IF($R$31=År2,Landbrug!$D$32:$D$45,Landbrug!$E$32:$E$45)),'[1]Afgrødefordeling - jordtype'!$P6)*(Landbrug!$E$5)*Arealanvendelse!P$36</f>
        <v>10325.974520314447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81.93912808780415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34.698979052326656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24301.063764662133</v>
      </c>
      <c r="D36" s="35">
        <f>VLOOKUP($B36,'[1]Afgrødefordeling - jordtype'!$O$4:$R$17,MATCH(D$5,'[1]Afgrødefordeling - jordtype'!$O$3:$R$3,0),FALSE)*(1-Landbrug!$C$5)*Arealanvendelse!K$36</f>
        <v>1445.7459335058077</v>
      </c>
      <c r="E36" s="35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108003.46622828607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490.29907405393533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518.89679005879543</v>
      </c>
      <c r="I36" s="11">
        <f>IF(Landbrug!$E$47&gt;0,SUMIF(Landbrug!$B$32:$B$45,$B36,IF($I$31=År2,Landbrug!$D$32:$D$45,Landbrug!$E$32:$E$45)),'[1]Afgrødefordeling - jordtype'!$P7)*(1-Landbrug!$E$5)*Arealanvendelse!P$36</f>
        <v>81466.824723741767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380.29329392112112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402.47469338448758</v>
      </c>
      <c r="L36" s="35">
        <f>VLOOKUP($B36,'[1]Afgrødefordeling - jordtype'!$O$4:$R$17,MATCH(C$5,'[1]Afgrødefordeling - jordtype'!$O$3:$R$3,0),FALSE)*(Landbrug!$C$5)*Arealanvendelse!J$36</f>
        <v>3107.1708116565819</v>
      </c>
      <c r="M36" s="35">
        <f>VLOOKUP($B36,'[1]Afgrødefordeling - jordtype'!$O$4:$R$17,MATCH(D$5,'[1]Afgrødefordeling - jordtype'!$O$3:$R$3,0),FALSE)*(Landbrug!$C$5)*Arealanvendelse!K$36</f>
        <v>184.85526432768077</v>
      </c>
      <c r="N36" s="35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28841.273045110807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130.92958922878597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138.56633057206236</v>
      </c>
      <c r="R36" s="11">
        <f>IF(Landbrug!$E$47&gt;0,SUMIF(Landbrug!$B$32:$B$45,$B36,IF($R$31=År2,Landbrug!$D$32:$D$45,Landbrug!$E$32:$E$45)),'[1]Afgrødefordeling - jordtype'!$P7)*(Landbrug!$E$5)*Arealanvendelse!P$36</f>
        <v>51613.425267505962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240.93536936160018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254.98842724637026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3807.9830483618994</v>
      </c>
      <c r="D37" s="35">
        <f>VLOOKUP($B37,'[1]Afgrødefordeling - jordtype'!$O$4:$R$17,MATCH(D$5,'[1]Afgrødefordeling - jordtype'!$O$3:$R$3,0),FALSE)*(1-Landbrug!$C$5)*Arealanvendelse!K$36</f>
        <v>27.380862281417578</v>
      </c>
      <c r="E37" s="35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2205.7041988359533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9.2857334834920593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2.4422390673190355</v>
      </c>
      <c r="I37" s="11">
        <f>IF(Landbrug!$E$47&gt;0,SUMIF(Landbrug!$B$32:$B$45,$B37,IF($I$31=År2,Landbrug!$D$32:$D$45,Landbrug!$E$32:$E$45)),'[1]Afgrødefordeling - jordtype'!$P8)*(1-Landbrug!$E$5)*Arealanvendelse!P$36</f>
        <v>1663.7587999182997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7.2023431407141114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1.8942869538265403</v>
      </c>
      <c r="L37" s="35">
        <f>VLOOKUP($B37,'[1]Afgrødefordeling - jordtype'!$O$4:$R$17,MATCH(C$5,'[1]Afgrødefordeling - jordtype'!$O$3:$R$3,0),FALSE)*(Landbrug!$C$5)*Arealanvendelse!J$36</f>
        <v>486.89447893054626</v>
      </c>
      <c r="M37" s="35">
        <f>VLOOKUP($B37,'[1]Afgrødefordeling - jordtype'!$O$4:$R$17,MATCH(D$5,'[1]Afgrødefordeling - jordtype'!$O$3:$R$3,0),FALSE)*(Landbrug!$C$5)*Arealanvendelse!K$36</f>
        <v>3.5009585136978965</v>
      </c>
      <c r="N37" s="35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589.01180931463728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2.4796646272023302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0.65217614065369278</v>
      </c>
      <c r="R37" s="11">
        <f>IF(Landbrug!$E$47&gt;0,SUMIF(Landbrug!$B$32:$B$45,$B37,IF($R$31=År2,Landbrug!$D$32:$D$45,Landbrug!$E$32:$E$45)),'[1]Afgrødefordeling - jordtype'!$P8)*(Landbrug!$E$5)*Arealanvendelse!P$36</f>
        <v>1054.0768070185129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4.5630549699802776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1.2001282541461873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2442.8304745575424</v>
      </c>
      <c r="D38" s="35">
        <f>VLOOKUP($B38,'[1]Afgrødefordeling - jordtype'!$O$4:$R$17,MATCH(D$5,'[1]Afgrødefordeling - jordtype'!$O$3:$R$3,0),FALSE)*(1-Landbrug!$C$5)*Arealanvendelse!K$36</f>
        <v>46.549971840812717</v>
      </c>
      <c r="E38" s="35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9277.396787131378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15.786596774609263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13.920471343561376</v>
      </c>
      <c r="I38" s="11">
        <f>IF(Landbrug!$E$47&gt;0,SUMIF(Landbrug!$B$32:$B$45,$B38,IF($I$31=År2,Landbrug!$D$32:$D$45,Landbrug!$E$32:$E$45)),'[1]Afgrødefordeling - jordtype'!$P9)*(1-Landbrug!$E$5)*Arealanvendelse!P$36</f>
        <v>6997.9240884020192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12.244642514989296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10.797209663086534</v>
      </c>
      <c r="L38" s="35">
        <f>VLOOKUP($B38,'[1]Afgrødefordeling - jordtype'!$O$4:$R$17,MATCH(C$5,'[1]Afgrødefordeling - jordtype'!$O$3:$R$3,0),FALSE)*(Landbrug!$C$5)*Arealanvendelse!J$36</f>
        <v>312.34400361551104</v>
      </c>
      <c r="M38" s="35">
        <f>VLOOKUP($B38,'[1]Afgrødefordeling - jordtype'!$O$4:$R$17,MATCH(D$5,'[1]Afgrødefordeling - jordtype'!$O$3:$R$3,0),FALSE)*(Landbrug!$C$5)*Arealanvendelse!K$36</f>
        <v>5.9519498894339895</v>
      </c>
      <c r="N38" s="35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2477.4383936893764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4.2156568111174844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3.717326202176515</v>
      </c>
      <c r="R38" s="11">
        <f>IF(Landbrug!$E$47&gt;0,SUMIF(Landbrug!$B$32:$B$45,$B38,IF($R$31=År2,Landbrug!$D$32:$D$45,Landbrug!$E$32:$E$45)),'[1]Afgrødefordeling - jordtype'!$P9)*(Landbrug!$E$5)*Arealanvendelse!P$36</f>
        <v>4433.5449821350066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7.7576110707374477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6.8405878826513575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25394.708101233733</v>
      </c>
      <c r="D39" s="35">
        <f>VLOOKUP($B39,'[1]Afgrødefordeling - jordtype'!$O$4:$R$17,MATCH(D$5,'[1]Afgrødefordeling - jordtype'!$O$3:$R$3,0),FALSE)*(1-Landbrug!$C$5)*Arealanvendelse!K$36</f>
        <v>130.05082769586514</v>
      </c>
      <c r="E39" s="35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5705.634145514985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44.104430053355863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16.030614315818145</v>
      </c>
      <c r="I39" s="11">
        <f>IF(Landbrug!$E$47&gt;0,SUMIF(Landbrug!$B$32:$B$45,$B39,IF($I$31=År2,Landbrug!$D$32:$D$45,Landbrug!$E$32:$E$45)),'[1]Afgrødefordeling - jordtype'!$P10)*(1-Landbrug!$E$5)*Arealanvendelse!P$36</f>
        <v>4303.7498063995399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34.208955042120508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12.43391114597727</v>
      </c>
      <c r="L39" s="35">
        <f>VLOOKUP($B39,'[1]Afgrødefordeling - jordtype'!$O$4:$R$17,MATCH(C$5,'[1]Afgrødefordeling - jordtype'!$O$3:$R$3,0),FALSE)*(Landbrug!$C$5)*Arealanvendelse!J$36</f>
        <v>3247.0058326185153</v>
      </c>
      <c r="M39" s="35">
        <f>VLOOKUP($B39,'[1]Afgrødefordeling - jordtype'!$O$4:$R$17,MATCH(D$5,'[1]Afgrødefordeling - jordtype'!$O$3:$R$3,0),FALSE)*(Landbrug!$C$5)*Arealanvendelse!K$36</f>
        <v>16.628495763053266</v>
      </c>
      <c r="N39" s="35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1523.6339909543344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11.777658200146577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4.2808193172811873</v>
      </c>
      <c r="R39" s="11">
        <f>IF(Landbrug!$E$47&gt;0,SUMIF(Landbrug!$B$32:$B$45,$B39,IF($R$31=År2,Landbrug!$D$32:$D$45,Landbrug!$E$32:$E$45)),'[1]Afgrødefordeling - jordtype'!$P10)*(Landbrug!$E$5)*Arealanvendelse!P$36</f>
        <v>2726.6469480786145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21.673133211381927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7.8775224871220608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7182.5684723440072</v>
      </c>
      <c r="D40" s="35">
        <f>VLOOKUP($B40,'[1]Afgrødefordeling - jordtype'!$O$4:$R$17,MATCH(D$5,'[1]Afgrødefordeling - jordtype'!$O$3:$R$3,0),FALSE)*(1-Landbrug!$C$5)*Arealanvendelse!K$36</f>
        <v>138.65425138323147</v>
      </c>
      <c r="E40" s="35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28810.102141675179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47.022128502197781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16.465484986344034</v>
      </c>
      <c r="I40" s="11">
        <f>IF(Landbrug!$E$47&gt;0,SUMIF(Landbrug!$B$32:$B$45,$B40,IF($I$31=År2,Landbrug!$D$32:$D$45,Landbrug!$E$32:$E$45)),'[1]Afgrødefordeling - jordtype'!$P11)*(1-Landbrug!$E$5)*Arealanvendelse!P$36</f>
        <v>21731.409402064659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36.472025099757573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12.771212210726548</v>
      </c>
      <c r="L40" s="35">
        <f>VLOOKUP($B40,'[1]Afgrødefordeling - jordtype'!$O$4:$R$17,MATCH(C$5,'[1]Afgrødefordeling - jordtype'!$O$3:$R$3,0),FALSE)*(Landbrug!$C$5)*Arealanvendelse!J$36</f>
        <v>918.37408132089615</v>
      </c>
      <c r="M40" s="35">
        <f>VLOOKUP($B40,'[1]Afgrødefordeling - jordtype'!$O$4:$R$17,MATCH(D$5,'[1]Afgrødefordeling - jordtype'!$O$3:$R$3,0),FALSE)*(Landbrug!$C$5)*Arealanvendelse!K$36</f>
        <v>17.728542543744936</v>
      </c>
      <c r="N40" s="35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7693.4569911791195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12.556801134767571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4.3969472915578383</v>
      </c>
      <c r="R40" s="11">
        <f>IF(Landbrug!$E$47&gt;0,SUMIF(Landbrug!$B$32:$B$45,$B40,IF($R$31=År2,Landbrug!$D$32:$D$45,Landbrug!$E$32:$E$45)),'[1]Afgrødefordeling - jordtype'!$P11)*(Landbrug!$E$5)*Arealanvendelse!P$36</f>
        <v>13767.966027085929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23.106904537207772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8.0912200671753247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1671.2488811855812</v>
      </c>
      <c r="D41" s="35">
        <f>VLOOKUP($B41,'[1]Afgrødefordeling - jordtype'!$O$4:$R$17,MATCH(D$5,'[1]Afgrødefordeling - jordtype'!$O$3:$R$3,0),FALSE)*(1-Landbrug!$C$5)*Arealanvendelse!K$36</f>
        <v>29.910572274561464</v>
      </c>
      <c r="E41" s="35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860.14736621208704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10.143639730031367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5.9749206414668166</v>
      </c>
      <c r="I41" s="11">
        <f>IF(Landbrug!$E$47&gt;0,SUMIF(Landbrug!$B$32:$B$45,$B41,IF($I$31=År2,Landbrug!$D$32:$D$45,Landbrug!$E$32:$E$45)),'[1]Afgrødefordeling - jordtype'!$P12)*(1-Landbrug!$E$5)*Arealanvendelse!P$36</f>
        <v>648.80764633678018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7.8677655525378967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4.6343596631201427</v>
      </c>
      <c r="L41" s="35">
        <f>VLOOKUP($B41,'[1]Afgrødefordeling - jordtype'!$O$4:$R$17,MATCH(C$5,'[1]Afgrødefordeling - jordtype'!$O$3:$R$3,0),FALSE)*(Landbrug!$C$5)*Arealanvendelse!J$36</f>
        <v>213.68841269347433</v>
      </c>
      <c r="M41" s="35">
        <f>VLOOKUP($B41,'[1]Afgrødefordeling - jordtype'!$O$4:$R$17,MATCH(D$5,'[1]Afgrødefordeling - jordtype'!$O$3:$R$3,0),FALSE)*(Landbrug!$C$5)*Arealanvendelse!K$36</f>
        <v>3.8244110641201035</v>
      </c>
      <c r="N41" s="35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229.6939710760744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2.7087601291119356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1.5955443252087163</v>
      </c>
      <c r="R41" s="11">
        <f>IF(Landbrug!$E$47&gt;0,SUMIF(Landbrug!$B$32:$B$45,$B41,IF($R$31=År2,Landbrug!$D$32:$D$45,Landbrug!$E$32:$E$45)),'[1]Afgrødefordeling - jordtype'!$P12)*(Landbrug!$E$5)*Arealanvendelse!P$36</f>
        <v>411.05302779071883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4.984634306605404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2.9361053035553901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11933.527586925724</v>
      </c>
      <c r="D42" s="35">
        <f>VLOOKUP($B42,'[1]Afgrødefordeling - jordtype'!$O$4:$R$17,MATCH(D$5,'[1]Afgrødefordeling - jordtype'!$O$3:$R$3,0),FALSE)*(1-Landbrug!$C$5)*Arealanvendelse!K$36</f>
        <v>213.57599301787013</v>
      </c>
      <c r="E42" s="35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11849.709496550484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72.430507456371714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42.663831286489632</v>
      </c>
      <c r="I42" s="11">
        <f>IF(Landbrug!$E$47&gt;0,SUMIF(Landbrug!$B$32:$B$45,$B42,IF($I$31=År2,Landbrug!$D$32:$D$45,Landbrug!$E$32:$E$45)),'[1]Afgrødefordeling - jordtype'!$P13)*(1-Landbrug!$E$5)*Arealanvendelse!P$36</f>
        <v>8938.2150434159812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56.179662003464955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33.091575713335565</v>
      </c>
      <c r="L42" s="35">
        <f>VLOOKUP($B42,'[1]Afgrødefordeling - jordtype'!$O$4:$R$17,MATCH(C$5,'[1]Afgrødefordeling - jordtype'!$O$3:$R$3,0),FALSE)*(Landbrug!$C$5)*Arealanvendelse!J$36</f>
        <v>1525.8389080116776</v>
      </c>
      <c r="M42" s="35">
        <f>VLOOKUP($B42,'[1]Afgrødefordeling - jordtype'!$O$4:$R$17,MATCH(D$5,'[1]Afgrødefordeling - jordtype'!$O$3:$R$3,0),FALSE)*(Landbrug!$C$5)*Arealanvendelse!K$36</f>
        <v>27.308149881928532</v>
      </c>
      <c r="N42" s="35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3164.349432756891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19.341861102213823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11.392960339655529</v>
      </c>
      <c r="R42" s="11">
        <f>IF(Landbrug!$E$47&gt;0,SUMIF(Landbrug!$B$32:$B$45,$B42,IF($R$31=År2,Landbrug!$D$32:$D$45,Landbrug!$E$32:$E$45)),'[1]Afgrødefordeling - jordtype'!$P13)*(Landbrug!$E$5)*Arealanvendelse!P$36</f>
        <v>5662.8191381295246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35.592706555120579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20.96521591280959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36921.98237863728</v>
      </c>
      <c r="D43" s="35">
        <f>VLOOKUP($B43,'[1]Afgrødefordeling - jordtype'!$O$4:$R$17,MATCH(D$5,'[1]Afgrødefordeling - jordtype'!$O$3:$R$3,0),FALSE)*(1-Landbrug!$C$5)*Arealanvendelse!K$36</f>
        <v>1550.5515811624623</v>
      </c>
      <c r="E43" s="35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17114.601907002136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525.84204935186608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399.25570686437896</v>
      </c>
      <c r="I43" s="11">
        <f>IF(Landbrug!$E$47&gt;0,SUMIF(Landbrug!$B$32:$B$45,$B43,IF($I$31=År2,Landbrug!$D$32:$D$45,Landbrug!$E$32:$E$45)),'[1]Afgrødefordeling - jordtype'!$P14)*(1-Landbrug!$E$5)*Arealanvendelse!P$36</f>
        <v>12909.514133808421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407.86168200728787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309.67683994352745</v>
      </c>
      <c r="L43" s="35">
        <f>VLOOKUP($B43,'[1]Afgrødefordeling - jordtype'!$O$4:$R$17,MATCH(C$5,'[1]Afgrødefordeling - jordtype'!$O$3:$R$3,0),FALSE)*(Landbrug!$C$5)*Arealanvendelse!J$36</f>
        <v>4720.9005772918872</v>
      </c>
      <c r="M43" s="35">
        <f>VLOOKUP($B43,'[1]Afgrødefordeling - jordtype'!$O$4:$R$17,MATCH(D$5,'[1]Afgrødefordeling - jordtype'!$O$3:$R$3,0),FALSE)*(Landbrug!$C$5)*Arealanvendelse!K$36</f>
        <v>198.25587314255372</v>
      </c>
      <c r="N43" s="35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4570.2876388697541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140.42099437717718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106.61734533737112</v>
      </c>
      <c r="R43" s="11">
        <f>IF(Landbrug!$E$47&gt;0,SUMIF(Landbrug!$B$32:$B$45,$B43,IF($R$31=År2,Landbrug!$D$32:$D$45,Landbrug!$E$32:$E$45)),'[1]Afgrødefordeling - jordtype'!$P14)*(Landbrug!$E$5)*Arealanvendelse!P$36</f>
        <v>8178.841451653544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258.40136172175528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196.1962122582226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2618.8374863482281</v>
      </c>
      <c r="D44" s="35">
        <f>VLOOKUP($B44,'[1]Afgrødefordeling - jordtype'!$O$4:$R$17,MATCH(D$5,'[1]Afgrødefordeling - jordtype'!$O$3:$R$3,0),FALSE)*(1-Landbrug!$C$5)*Arealanvendelse!K$36</f>
        <v>46.869696544048971</v>
      </c>
      <c r="E44" s="35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3214.4172287384959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15.895025733194521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9.362666644078109</v>
      </c>
      <c r="I44" s="11">
        <f>IF(Landbrug!$E$47&gt;0,SUMIF(Landbrug!$B$32:$B$45,$B44,IF($I$31=År2,Landbrug!$D$32:$D$45,Landbrug!$E$32:$E$45)),'[1]Afgrødefordeling - jordtype'!$P15)*(1-Landbrug!$E$5)*Arealanvendelse!P$36</f>
        <v>2424.6292652228931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12.328743848234502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7.2620152196538577</v>
      </c>
      <c r="L44" s="35">
        <f>VLOOKUP($B44,'[1]Afgrødefordeling - jordtype'!$O$4:$R$17,MATCH(C$5,'[1]Afgrødefordeling - jordtype'!$O$3:$R$3,0),FALSE)*(Landbrug!$C$5)*Arealanvendelse!J$36</f>
        <v>334.84852666763254</v>
      </c>
      <c r="M44" s="35">
        <f>VLOOKUP($B44,'[1]Afgrødefordeling - jordtype'!$O$4:$R$17,MATCH(D$5,'[1]Afgrødefordeling - jordtype'!$O$3:$R$3,0),FALSE)*(Landbrug!$C$5)*Arealanvendelse!K$36</f>
        <v>5.9928303741437112</v>
      </c>
      <c r="N44" s="35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858.37879294539891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4.2446117077496384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2.5002088779395759</v>
      </c>
      <c r="R44" s="11">
        <f>IF(Landbrug!$E$47&gt;0,SUMIF(Landbrug!$B$32:$B$45,$B44,IF($R$31=År2,Landbrug!$D$32:$D$45,Landbrug!$E$32:$E$45)),'[1]Afgrødefordeling - jordtype'!$P15)*(Landbrug!$E$5)*Arealanvendelse!P$36</f>
        <v>1536.1273967207819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7.8108935927096583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4.6008603023638255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1244.8278589023382</v>
      </c>
      <c r="D45" s="35">
        <f>VLOOKUP($B45,'[1]Afgrødefordeling - jordtype'!$O$4:$R$17,MATCH(D$5,'[1]Afgrødefordeling - jordtype'!$O$3:$R$3,0),FALSE)*(1-Landbrug!$C$5)*Arealanvendelse!K$36</f>
        <v>99.475001424808809</v>
      </c>
      <c r="E45" s="35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1236.0845017332977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33.735181237431256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28.560058598537843</v>
      </c>
      <c r="I45" s="11">
        <f>IF(Landbrug!$E$47&gt;0,SUMIF(Landbrug!$B$32:$B$45,$B45,IF($I$31=År2,Landbrug!$D$32:$D$45,Landbrug!$E$32:$E$45)),'[1]Afgrødefordeling - jordtype'!$P16)*(1-Landbrug!$E$5)*Arealanvendelse!P$36</f>
        <v>932.37636682503978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26.166199107276817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22.152191047832588</v>
      </c>
      <c r="L45" s="35">
        <f>VLOOKUP($B45,'[1]Afgrødefordeling - jordtype'!$O$4:$R$17,MATCH(C$5,'[1]Afgrødefordeling - jordtype'!$O$3:$R$3,0),FALSE)*(Landbrug!$C$5)*Arealanvendelse!J$36</f>
        <v>159.16557506189815</v>
      </c>
      <c r="M45" s="35">
        <f>VLOOKUP($B45,'[1]Afgrødefordeling - jordtype'!$O$4:$R$17,MATCH(D$5,'[1]Afgrødefordeling - jordtype'!$O$3:$R$3,0),FALSE)*(Landbrug!$C$5)*Arealanvendelse!K$36</f>
        <v>12.71902431555799</v>
      </c>
      <c r="N45" s="35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330.08431920107205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9.0086513634525787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7.6266852999303616</v>
      </c>
      <c r="R45" s="11">
        <f>IF(Landbrug!$E$47&gt;0,SUMIF(Landbrug!$B$32:$B$45,$B45,IF($R$31=År2,Landbrug!$D$32:$D$45,Landbrug!$E$32:$E$45)),'[1]Afgrødefordeling - jordtype'!$P16)*(Landbrug!$E$5)*Arealanvendelse!P$36</f>
        <v>590.70840300332031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16.577633493607014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14.034552850635615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31005.186770121774</v>
      </c>
      <c r="D46" s="35">
        <f>VLOOKUP($B46,'[1]Afgrødefordeling - jordtype'!$O$4:$R$17,MATCH(D$5,'[1]Afgrødefordeling - jordtype'!$O$3:$R$3,0),FALSE)*(1-Landbrug!$C$5)*Arealanvendelse!K$36</f>
        <v>2905.4159151668305</v>
      </c>
      <c r="E46" s="35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29984.89215544975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3817.1428137840389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2564.3423464589291</v>
      </c>
      <c r="I46" s="11">
        <f>IF(Landbrug!$E$47&gt;0,SUMIF(Landbrug!$B$32:$B$45,$B46,IF($I$31=År2,Landbrug!$D$32:$D$45,Landbrug!$E$32:$E$45)),'[1]Afgrødefordeling - jordtype'!$P17)*(1-Landbrug!$E$5)*Arealanvendelse!P$36</f>
        <v>22617.551444368019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2960.710902467627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1988.9945734815028</v>
      </c>
      <c r="L46" s="35">
        <f>VLOOKUP($B46,'[1]Afgrødefordeling - jordtype'!$O$4:$R$17,MATCH(C$5,'[1]Afgrødefordeling - jordtype'!$O$3:$R$3,0),FALSE)*(Landbrug!$C$5)*Arealanvendelse!J$36</f>
        <v>3964.3701310794295</v>
      </c>
      <c r="M46" s="35">
        <f>VLOOKUP($B46,'[1]Afgrødefordeling - jordtype'!$O$4:$R$17,MATCH(D$5,'[1]Afgrødefordeling - jordtype'!$O$3:$R$3,0),FALSE)*(Landbrug!$C$5)*Arealanvendelse!K$36</f>
        <v>371.49087853744766</v>
      </c>
      <c r="N46" s="35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8007.1732147522125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1019.3307862159628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684.78263131884842</v>
      </c>
      <c r="R46" s="11">
        <f>IF(Landbrug!$E$47&gt;0,SUMIF(Landbrug!$B$32:$B$45,$B46,IF($R$31=År2,Landbrug!$D$32:$D$45,Landbrug!$E$32:$E$45)),'[1]Afgrødefordeling - jordtype'!$P17)*(Landbrug!$E$5)*Arealanvendelse!P$36</f>
        <v>14329.382606557581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1875.7626975323744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1260.1304042962747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484155.06156618823</v>
      </c>
      <c r="D47" s="37">
        <f t="shared" si="3"/>
        <v>11749.115159080215</v>
      </c>
      <c r="E47" s="37">
        <f t="shared" si="3"/>
        <v>9145.6565752439074</v>
      </c>
      <c r="F47" s="38">
        <f t="shared" si="3"/>
        <v>423735.92064726632</v>
      </c>
      <c r="G47" s="38">
        <f t="shared" si="3"/>
        <v>6816.3264531857831</v>
      </c>
      <c r="H47" s="38">
        <f t="shared" si="3"/>
        <v>4498.8462218577706</v>
      </c>
      <c r="I47" s="38">
        <f t="shared" si="3"/>
        <v>319623.26008647395</v>
      </c>
      <c r="J47" s="38">
        <f t="shared" si="3"/>
        <v>5286.9837544064767</v>
      </c>
      <c r="K47" s="39">
        <f t="shared" si="3"/>
        <v>3489.4641640026366</v>
      </c>
      <c r="L47" s="36">
        <f t="shared" si="3"/>
        <v>61904.799320013248</v>
      </c>
      <c r="M47" s="37">
        <f t="shared" si="3"/>
        <v>1502.2596557346014</v>
      </c>
      <c r="N47" s="37">
        <f t="shared" si="3"/>
        <v>1169.3774988301655</v>
      </c>
      <c r="O47" s="38">
        <f t="shared" si="3"/>
        <v>113154.54784180353</v>
      </c>
      <c r="P47" s="38">
        <f t="shared" si="3"/>
        <v>1820.2335468142192</v>
      </c>
      <c r="Q47" s="38">
        <f t="shared" si="3"/>
        <v>1201.3730374014885</v>
      </c>
      <c r="R47" s="38">
        <f t="shared" si="3"/>
        <v>202497.7812032263</v>
      </c>
      <c r="S47" s="38">
        <f t="shared" si="3"/>
        <v>3349.5762455935255</v>
      </c>
      <c r="T47" s="39">
        <f t="shared" si="3"/>
        <v>2210.7550952566221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53" t="s">
        <v>7</v>
      </c>
      <c r="D49" s="454"/>
      <c r="E49" s="455"/>
      <c r="F49" s="459" t="s">
        <v>8</v>
      </c>
      <c r="G49" s="454"/>
      <c r="H49" s="455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1503412.0023410614</v>
      </c>
      <c r="E51" s="23">
        <f>SUM([1]Dyrehold!$E$22:$E$23)-H51</f>
        <v>1434884.7338702637</v>
      </c>
      <c r="F51" s="50">
        <f>SUM([1]Dyrehold!C58:D61)</f>
        <v>15447</v>
      </c>
      <c r="G51" s="11">
        <f>$F51/Landbrug!$C6*Landbrug!D6</f>
        <v>53136.997658938686</v>
      </c>
      <c r="H51" s="23">
        <f>$F51/Landbrug!$C6*Landbrug!E6</f>
        <v>121664.26612973634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71763.61559548488</v>
      </c>
      <c r="E52" s="23">
        <f>SUM([1]Dyrehold!$D$22:$D$23)-H52</f>
        <v>52324.734860002864</v>
      </c>
      <c r="F52" s="50">
        <f>SUM([1]Dyrehold!C36:D51)</f>
        <v>16513</v>
      </c>
      <c r="G52" s="11">
        <f>$F52/Landbrug!$C7*Landbrug!D7</f>
        <v>27204.384404515113</v>
      </c>
      <c r="H52" s="23">
        <f>$F52/Landbrug!$C7*Landbrug!E7</f>
        <v>46643.265139997136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1423233.2884913548</v>
      </c>
      <c r="E53" s="24">
        <f>SUM([1]Dyrehold!$F$22:$F$23)-H53</f>
        <v>1155366.5402938179</v>
      </c>
      <c r="F53" s="51">
        <f>SUM([1]Dyrehold!C65:D78)</f>
        <v>214987</v>
      </c>
      <c r="G53" s="16">
        <f>$F53/Landbrug!$C8*Landbrug!D8</f>
        <v>362313.71150864527</v>
      </c>
      <c r="H53" s="24">
        <f>$F53/Landbrug!$C8*Landbrug!E8</f>
        <v>630180.45970618213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N37"/>
  <sheetViews>
    <sheetView topLeftCell="A2" workbookViewId="0">
      <selection activeCell="Q100" sqref="Q10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12.5703125" bestFit="1" customWidth="1"/>
    <col min="33" max="33" width="12.28515625" bestFit="1" customWidth="1"/>
    <col min="34" max="34" width="8.85546875" bestFit="1" customWidth="1"/>
    <col min="35" max="35" width="9.28515625" bestFit="1" customWidth="1"/>
    <col min="36" max="36" width="8.5703125" bestFit="1" customWidth="1"/>
    <col min="37" max="37" width="11" bestFit="1" customWidth="1"/>
    <col min="38" max="38" width="13.28515625" bestFit="1" customWidth="1"/>
    <col min="39" max="39" width="13.85546875" bestFit="1" customWidth="1"/>
    <col min="40" max="40" width="11.28515625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40" x14ac:dyDescent="0.25">
      <c r="A3" s="77" t="s">
        <v>174</v>
      </c>
      <c r="B3" s="77" t="s">
        <v>62</v>
      </c>
    </row>
    <row r="4" spans="1:40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204</v>
      </c>
      <c r="AG4" s="168" t="s">
        <v>203</v>
      </c>
      <c r="AH4" s="168" t="s">
        <v>208</v>
      </c>
      <c r="AI4" s="168" t="s">
        <v>238</v>
      </c>
      <c r="AJ4" s="168" t="s">
        <v>231</v>
      </c>
      <c r="AK4" s="168" t="s">
        <v>110</v>
      </c>
      <c r="AL4" s="168" t="s">
        <v>115</v>
      </c>
      <c r="AM4" s="168" t="s">
        <v>118</v>
      </c>
      <c r="AN4" s="168" t="s">
        <v>61</v>
      </c>
    </row>
    <row r="5" spans="1:40" x14ac:dyDescent="0.25">
      <c r="A5" s="78" t="s">
        <v>109</v>
      </c>
      <c r="B5" s="237"/>
      <c r="C5" s="237"/>
      <c r="D5" s="237">
        <v>1462906</v>
      </c>
      <c r="E5" s="237">
        <v>5080301.9858310483</v>
      </c>
      <c r="F5" s="237"/>
      <c r="G5" s="237">
        <v>26597.720043217952</v>
      </c>
      <c r="H5" s="237"/>
      <c r="I5" s="237"/>
      <c r="J5" s="237">
        <v>428226</v>
      </c>
      <c r="K5" s="237">
        <v>257031</v>
      </c>
      <c r="L5" s="237"/>
      <c r="M5" s="237">
        <v>227802.00000000006</v>
      </c>
      <c r="N5" s="237">
        <v>234</v>
      </c>
      <c r="O5" s="237"/>
      <c r="P5" s="237">
        <v>2423468</v>
      </c>
      <c r="Q5" s="237"/>
      <c r="R5" s="237">
        <v>11358</v>
      </c>
      <c r="S5" s="237">
        <v>32033568.894428018</v>
      </c>
      <c r="T5" s="237"/>
      <c r="U5" s="237">
        <v>990078</v>
      </c>
      <c r="V5" s="237"/>
      <c r="W5" s="237"/>
      <c r="X5" s="237"/>
      <c r="Y5" s="237">
        <v>85935</v>
      </c>
      <c r="Z5" s="237"/>
      <c r="AA5" s="237">
        <v>8346487.6580018671</v>
      </c>
      <c r="AB5" s="237">
        <v>33667898.226633631</v>
      </c>
      <c r="AC5" s="237"/>
      <c r="AD5" s="237"/>
      <c r="AE5" s="237"/>
      <c r="AF5" s="237"/>
      <c r="AG5" s="237"/>
      <c r="AH5" s="237">
        <v>363727.85327847017</v>
      </c>
      <c r="AI5" s="237"/>
      <c r="AJ5" s="237"/>
      <c r="AK5" s="237"/>
      <c r="AL5" s="237"/>
      <c r="AM5" s="237"/>
      <c r="AN5" s="237">
        <v>85405620.338216245</v>
      </c>
    </row>
    <row r="6" spans="1:40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85676.999999999985</v>
      </c>
      <c r="L6" s="237"/>
      <c r="M6" s="237">
        <v>75934</v>
      </c>
      <c r="N6" s="237">
        <v>78</v>
      </c>
      <c r="O6" s="237"/>
      <c r="P6" s="237">
        <v>995654</v>
      </c>
      <c r="Q6" s="237"/>
      <c r="R6" s="237">
        <v>3785.9999999999991</v>
      </c>
      <c r="S6" s="237">
        <v>4353509.666666667</v>
      </c>
      <c r="T6" s="237"/>
      <c r="U6" s="237">
        <v>330026</v>
      </c>
      <c r="V6" s="237"/>
      <c r="W6" s="237"/>
      <c r="X6" s="237"/>
      <c r="Y6" s="237">
        <v>28645.000000000004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>
        <v>0</v>
      </c>
      <c r="AI6" s="237"/>
      <c r="AJ6" s="237"/>
      <c r="AK6" s="237"/>
      <c r="AL6" s="237"/>
      <c r="AM6" s="237"/>
      <c r="AN6" s="237">
        <v>13090417.500000002</v>
      </c>
    </row>
    <row r="7" spans="1:40" x14ac:dyDescent="0.25">
      <c r="A7" s="79">
        <v>2030</v>
      </c>
      <c r="B7" s="237"/>
      <c r="C7" s="237"/>
      <c r="D7" s="237">
        <v>363995</v>
      </c>
      <c r="E7" s="237">
        <v>1970290.5915271789</v>
      </c>
      <c r="F7" s="237"/>
      <c r="G7" s="237">
        <v>10371.219535128512</v>
      </c>
      <c r="H7" s="237"/>
      <c r="I7" s="237"/>
      <c r="J7" s="237">
        <v>142742</v>
      </c>
      <c r="K7" s="237">
        <v>85676.999999999985</v>
      </c>
      <c r="L7" s="237"/>
      <c r="M7" s="237">
        <v>75934.000000000058</v>
      </c>
      <c r="N7" s="237">
        <v>78</v>
      </c>
      <c r="O7" s="237"/>
      <c r="P7" s="237">
        <v>720406.99999999988</v>
      </c>
      <c r="Q7" s="237"/>
      <c r="R7" s="237">
        <v>3786.0000000000009</v>
      </c>
      <c r="S7" s="237">
        <v>14475253.607270831</v>
      </c>
      <c r="T7" s="237"/>
      <c r="U7" s="237">
        <v>330026</v>
      </c>
      <c r="V7" s="237"/>
      <c r="W7" s="237"/>
      <c r="X7" s="237"/>
      <c r="Y7" s="237">
        <v>28645.000000000004</v>
      </c>
      <c r="Z7" s="237"/>
      <c r="AA7" s="237">
        <v>2783133.6777961077</v>
      </c>
      <c r="AB7" s="237">
        <v>17135107.567292936</v>
      </c>
      <c r="AC7" s="237"/>
      <c r="AD7" s="237"/>
      <c r="AE7" s="237"/>
      <c r="AF7" s="237"/>
      <c r="AG7" s="237"/>
      <c r="AH7" s="237">
        <v>166708.59941929884</v>
      </c>
      <c r="AI7" s="237"/>
      <c r="AJ7" s="237"/>
      <c r="AK7" s="237"/>
      <c r="AL7" s="237"/>
      <c r="AM7" s="237"/>
      <c r="AN7" s="237">
        <v>38292155.262841478</v>
      </c>
    </row>
    <row r="8" spans="1:40" x14ac:dyDescent="0.25">
      <c r="A8" s="79">
        <v>2050</v>
      </c>
      <c r="B8" s="237"/>
      <c r="C8" s="237"/>
      <c r="D8" s="237">
        <v>369777</v>
      </c>
      <c r="E8" s="237">
        <v>2352924.394303869</v>
      </c>
      <c r="F8" s="237"/>
      <c r="G8" s="237">
        <v>11785.000508089443</v>
      </c>
      <c r="H8" s="237"/>
      <c r="I8" s="237"/>
      <c r="J8" s="237">
        <v>142742</v>
      </c>
      <c r="K8" s="237">
        <v>85677.000000000015</v>
      </c>
      <c r="L8" s="237"/>
      <c r="M8" s="237">
        <v>75934</v>
      </c>
      <c r="N8" s="237">
        <v>78</v>
      </c>
      <c r="O8" s="237"/>
      <c r="P8" s="237">
        <v>707407.00000000012</v>
      </c>
      <c r="Q8" s="237"/>
      <c r="R8" s="237">
        <v>3786</v>
      </c>
      <c r="S8" s="237">
        <v>13204805.620490521</v>
      </c>
      <c r="T8" s="237"/>
      <c r="U8" s="237">
        <v>330026.00000000006</v>
      </c>
      <c r="V8" s="237"/>
      <c r="W8" s="237"/>
      <c r="X8" s="237"/>
      <c r="Y8" s="237">
        <v>28645</v>
      </c>
      <c r="Z8" s="237"/>
      <c r="AA8" s="237">
        <v>2894519.9802057594</v>
      </c>
      <c r="AB8" s="237">
        <v>13617921.326007361</v>
      </c>
      <c r="AC8" s="237"/>
      <c r="AD8" s="237"/>
      <c r="AE8" s="237"/>
      <c r="AF8" s="237"/>
      <c r="AG8" s="237"/>
      <c r="AH8" s="237">
        <v>197019.25385917132</v>
      </c>
      <c r="AI8" s="237"/>
      <c r="AJ8" s="237"/>
      <c r="AK8" s="237"/>
      <c r="AL8" s="237"/>
      <c r="AM8" s="237"/>
      <c r="AN8" s="237">
        <v>34023047.575374767</v>
      </c>
    </row>
    <row r="9" spans="1:40" x14ac:dyDescent="0.25">
      <c r="A9" s="78" t="s">
        <v>112</v>
      </c>
      <c r="B9" s="237"/>
      <c r="C9" s="237">
        <v>236931.04098964596</v>
      </c>
      <c r="D9" s="237"/>
      <c r="E9" s="237"/>
      <c r="F9" s="237"/>
      <c r="G9" s="237"/>
      <c r="H9" s="237"/>
      <c r="I9" s="237"/>
      <c r="J9" s="237"/>
      <c r="K9" s="237">
        <v>46745917.439438619</v>
      </c>
      <c r="L9" s="237"/>
      <c r="M9" s="237">
        <v>2931262.8131841412</v>
      </c>
      <c r="N9" s="237"/>
      <c r="O9" s="237">
        <v>18418196.97947849</v>
      </c>
      <c r="P9" s="237"/>
      <c r="Q9" s="237">
        <v>0</v>
      </c>
      <c r="R9" s="237">
        <v>20662523.688784398</v>
      </c>
      <c r="S9" s="237"/>
      <c r="T9" s="237">
        <v>5771859.0537139811</v>
      </c>
      <c r="U9" s="237">
        <v>19806215.588634051</v>
      </c>
      <c r="V9" s="237"/>
      <c r="W9" s="237"/>
      <c r="X9" s="237"/>
      <c r="Y9" s="237">
        <v>3285026.7654903578</v>
      </c>
      <c r="Z9" s="237">
        <v>147948.5685102923</v>
      </c>
      <c r="AA9" s="237"/>
      <c r="AB9" s="237"/>
      <c r="AC9" s="237"/>
      <c r="AD9" s="237"/>
      <c r="AE9" s="237"/>
      <c r="AF9" s="237">
        <v>1267279.7173444345</v>
      </c>
      <c r="AG9" s="237">
        <v>622169.40622233599</v>
      </c>
      <c r="AH9" s="237"/>
      <c r="AI9" s="237">
        <v>805966.86900907033</v>
      </c>
      <c r="AJ9" s="237"/>
      <c r="AK9" s="237"/>
      <c r="AL9" s="237"/>
      <c r="AM9" s="237"/>
      <c r="AN9" s="237">
        <v>120701297.93079981</v>
      </c>
    </row>
    <row r="10" spans="1:40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0</v>
      </c>
      <c r="AG10" s="237">
        <v>0</v>
      </c>
      <c r="AH10" s="237"/>
      <c r="AI10" s="237">
        <v>240377.87559326066</v>
      </c>
      <c r="AJ10" s="237"/>
      <c r="AK10" s="237"/>
      <c r="AL10" s="237"/>
      <c r="AM10" s="237"/>
      <c r="AN10" s="237">
        <v>35984266.24676016</v>
      </c>
    </row>
    <row r="11" spans="1:40" x14ac:dyDescent="0.25">
      <c r="A11" s="79">
        <v>2030</v>
      </c>
      <c r="B11" s="237"/>
      <c r="C11" s="237">
        <v>82257.974380356929</v>
      </c>
      <c r="D11" s="237"/>
      <c r="E11" s="237"/>
      <c r="F11" s="237"/>
      <c r="G11" s="237"/>
      <c r="H11" s="237"/>
      <c r="I11" s="237"/>
      <c r="J11" s="237"/>
      <c r="K11" s="237">
        <v>16503079.727084301</v>
      </c>
      <c r="L11" s="237"/>
      <c r="M11" s="237">
        <v>1031643.7358034013</v>
      </c>
      <c r="N11" s="237"/>
      <c r="O11" s="237">
        <v>6498561.357003523</v>
      </c>
      <c r="P11" s="237"/>
      <c r="Q11" s="237">
        <v>0</v>
      </c>
      <c r="R11" s="237">
        <v>7129869.4034788422</v>
      </c>
      <c r="S11" s="237"/>
      <c r="T11" s="237">
        <v>2035052.193167039</v>
      </c>
      <c r="U11" s="237">
        <v>6727404.2705273991</v>
      </c>
      <c r="V11" s="237"/>
      <c r="W11" s="237"/>
      <c r="X11" s="237"/>
      <c r="Y11" s="237">
        <v>1170306.635502351</v>
      </c>
      <c r="Z11" s="237">
        <v>51847.450518528014</v>
      </c>
      <c r="AA11" s="237"/>
      <c r="AB11" s="237"/>
      <c r="AC11" s="237"/>
      <c r="AD11" s="237"/>
      <c r="AE11" s="237"/>
      <c r="AF11" s="237">
        <v>576036.23515656113</v>
      </c>
      <c r="AG11" s="237">
        <v>285160.97785190406</v>
      </c>
      <c r="AH11" s="237"/>
      <c r="AI11" s="237">
        <v>282794.49670790485</v>
      </c>
      <c r="AJ11" s="237"/>
      <c r="AK11" s="237"/>
      <c r="AL11" s="237"/>
      <c r="AM11" s="237"/>
      <c r="AN11" s="237">
        <v>42374014.457182102</v>
      </c>
    </row>
    <row r="12" spans="1:40" x14ac:dyDescent="0.25">
      <c r="A12" s="79">
        <v>2050</v>
      </c>
      <c r="B12" s="237"/>
      <c r="C12" s="237">
        <v>82257.974380356929</v>
      </c>
      <c r="D12" s="237"/>
      <c r="E12" s="237"/>
      <c r="F12" s="237"/>
      <c r="G12" s="237"/>
      <c r="H12" s="237"/>
      <c r="I12" s="237"/>
      <c r="J12" s="237"/>
      <c r="K12" s="237">
        <v>16503079.727084301</v>
      </c>
      <c r="L12" s="237"/>
      <c r="M12" s="237">
        <v>1031643.7358034012</v>
      </c>
      <c r="N12" s="237"/>
      <c r="O12" s="237">
        <v>6498561.3570035212</v>
      </c>
      <c r="P12" s="237"/>
      <c r="Q12" s="237">
        <v>0</v>
      </c>
      <c r="R12" s="237">
        <v>6931817.4756044289</v>
      </c>
      <c r="S12" s="237"/>
      <c r="T12" s="237">
        <v>2035052.1931670387</v>
      </c>
      <c r="U12" s="237">
        <v>6727404.2705273982</v>
      </c>
      <c r="V12" s="237"/>
      <c r="W12" s="237"/>
      <c r="X12" s="237"/>
      <c r="Y12" s="237">
        <v>1170306.635502351</v>
      </c>
      <c r="Z12" s="237">
        <v>51847.450518528007</v>
      </c>
      <c r="AA12" s="237"/>
      <c r="AB12" s="237"/>
      <c r="AC12" s="237"/>
      <c r="AD12" s="237"/>
      <c r="AE12" s="237"/>
      <c r="AF12" s="237">
        <v>691243.48218787322</v>
      </c>
      <c r="AG12" s="237">
        <v>337008.428370432</v>
      </c>
      <c r="AH12" s="237"/>
      <c r="AI12" s="237">
        <v>282794.49670790485</v>
      </c>
      <c r="AJ12" s="237"/>
      <c r="AK12" s="237"/>
      <c r="AL12" s="237"/>
      <c r="AM12" s="237"/>
      <c r="AN12" s="237">
        <v>42343017.226857536</v>
      </c>
    </row>
    <row r="13" spans="1:40" x14ac:dyDescent="0.25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/>
      <c r="AL13" s="237"/>
      <c r="AM13" s="237"/>
      <c r="AN13" s="237">
        <v>9638396.1067842171</v>
      </c>
    </row>
    <row r="14" spans="1:40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/>
      <c r="AL14" s="237"/>
      <c r="AM14" s="237"/>
      <c r="AN14" s="237">
        <v>3083197.0190696353</v>
      </c>
    </row>
    <row r="15" spans="1:40" x14ac:dyDescent="0.25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/>
      <c r="AL15" s="237"/>
      <c r="AM15" s="237"/>
      <c r="AN15" s="237">
        <v>3209159.2069397997</v>
      </c>
    </row>
    <row r="16" spans="1:40" x14ac:dyDescent="0.25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/>
      <c r="AL16" s="237"/>
      <c r="AM16" s="237"/>
      <c r="AN16" s="237">
        <v>3346039.8807747816</v>
      </c>
    </row>
    <row r="17" spans="1:40" x14ac:dyDescent="0.25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4736599.6227046624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558483.45438534976</v>
      </c>
      <c r="AE17" s="237">
        <v>8468381.4765873924</v>
      </c>
      <c r="AF17" s="237"/>
      <c r="AG17" s="237"/>
      <c r="AH17" s="237"/>
      <c r="AI17" s="237"/>
      <c r="AJ17" s="237">
        <v>431488.09445322049</v>
      </c>
      <c r="AK17" s="237"/>
      <c r="AL17" s="237"/>
      <c r="AM17" s="237"/>
      <c r="AN17" s="237">
        <v>17143145.648130625</v>
      </c>
    </row>
    <row r="18" spans="1:40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1893765.2125355615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209782.38739500003</v>
      </c>
      <c r="AE18" s="237">
        <v>3010238.4923246857</v>
      </c>
      <c r="AF18" s="237"/>
      <c r="AG18" s="237"/>
      <c r="AH18" s="237"/>
      <c r="AI18" s="237"/>
      <c r="AJ18" s="237">
        <v>112887.06079513082</v>
      </c>
      <c r="AK18" s="237"/>
      <c r="AL18" s="237"/>
      <c r="AM18" s="237"/>
      <c r="AN18" s="237">
        <v>6209404.1530503789</v>
      </c>
    </row>
    <row r="19" spans="1:40" x14ac:dyDescent="0.25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1619311.786277581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179702.03995268475</v>
      </c>
      <c r="AE19" s="237">
        <v>2848752.9835421797</v>
      </c>
      <c r="AF19" s="237"/>
      <c r="AG19" s="237"/>
      <c r="AH19" s="237"/>
      <c r="AI19" s="237"/>
      <c r="AJ19" s="237">
        <v>164905.32282633631</v>
      </c>
      <c r="AK19" s="237"/>
      <c r="AL19" s="237"/>
      <c r="AM19" s="237"/>
      <c r="AN19" s="237">
        <v>5795403.132598781</v>
      </c>
    </row>
    <row r="20" spans="1:40" x14ac:dyDescent="0.25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1223522.6238915203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168999.02703766507</v>
      </c>
      <c r="AE20" s="237">
        <v>2609390.000720527</v>
      </c>
      <c r="AF20" s="237"/>
      <c r="AG20" s="237"/>
      <c r="AH20" s="237"/>
      <c r="AI20" s="237"/>
      <c r="AJ20" s="237">
        <v>153695.71083175336</v>
      </c>
      <c r="AK20" s="237"/>
      <c r="AL20" s="237"/>
      <c r="AM20" s="237"/>
      <c r="AN20" s="237">
        <v>5138338.3624814656</v>
      </c>
    </row>
    <row r="21" spans="1:40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/>
      <c r="AH21" s="237"/>
      <c r="AI21" s="237"/>
      <c r="AJ21" s="237">
        <v>104203.4407339669</v>
      </c>
      <c r="AK21" s="237"/>
      <c r="AL21" s="237"/>
      <c r="AM21" s="237">
        <v>2330919.0257364037</v>
      </c>
      <c r="AN21" s="237">
        <v>2435122.4664703701</v>
      </c>
    </row>
    <row r="22" spans="1:40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/>
      <c r="AH22" s="237"/>
      <c r="AI22" s="237"/>
      <c r="AJ22" s="237">
        <v>104203.4407339669</v>
      </c>
      <c r="AK22" s="237"/>
      <c r="AL22" s="237"/>
      <c r="AM22" s="237">
        <v>827693.20492220437</v>
      </c>
      <c r="AN22" s="237">
        <v>931896.64565617125</v>
      </c>
    </row>
    <row r="23" spans="1:40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/>
      <c r="AH23" s="237"/>
      <c r="AI23" s="237"/>
      <c r="AJ23" s="237">
        <v>0</v>
      </c>
      <c r="AK23" s="237"/>
      <c r="AL23" s="237"/>
      <c r="AM23" s="237">
        <v>783291.25515859458</v>
      </c>
      <c r="AN23" s="237">
        <v>783291.25515859458</v>
      </c>
    </row>
    <row r="24" spans="1:40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/>
      <c r="AH24" s="237"/>
      <c r="AI24" s="237"/>
      <c r="AJ24" s="237">
        <v>0</v>
      </c>
      <c r="AK24" s="237"/>
      <c r="AL24" s="237"/>
      <c r="AM24" s="237">
        <v>719934.56565560447</v>
      </c>
      <c r="AN24" s="237">
        <v>719934.56565560447</v>
      </c>
    </row>
    <row r="25" spans="1:40" x14ac:dyDescent="0.25">
      <c r="A25" s="78" t="s">
        <v>114</v>
      </c>
      <c r="B25" s="237"/>
      <c r="C25" s="237"/>
      <c r="D25" s="237"/>
      <c r="E25" s="237">
        <v>2460410.6660646112</v>
      </c>
      <c r="F25" s="237"/>
      <c r="G25" s="237">
        <v>6903.3022270242172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12772052.469751261</v>
      </c>
      <c r="T25" s="237"/>
      <c r="U25" s="237"/>
      <c r="V25" s="237"/>
      <c r="W25" s="237"/>
      <c r="X25" s="237"/>
      <c r="Y25" s="237"/>
      <c r="Z25" s="237"/>
      <c r="AA25" s="237"/>
      <c r="AB25" s="237">
        <v>18159133.87703336</v>
      </c>
      <c r="AC25" s="237"/>
      <c r="AD25" s="237"/>
      <c r="AE25" s="237"/>
      <c r="AF25" s="237"/>
      <c r="AG25" s="237"/>
      <c r="AH25" s="237"/>
      <c r="AI25" s="237"/>
      <c r="AJ25" s="237"/>
      <c r="AK25" s="237">
        <v>69389886.796731368</v>
      </c>
      <c r="AL25" s="237">
        <v>2011410.1249805305</v>
      </c>
      <c r="AM25" s="237"/>
      <c r="AN25" s="237">
        <v>104799797.23678815</v>
      </c>
    </row>
    <row r="26" spans="1:40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/>
      <c r="AI26" s="237"/>
      <c r="AJ26" s="237"/>
      <c r="AK26" s="237">
        <v>8803491.7355084848</v>
      </c>
      <c r="AL26" s="237">
        <v>944815.08868008247</v>
      </c>
      <c r="AM26" s="237"/>
      <c r="AN26" s="237">
        <v>35015134.317045711</v>
      </c>
    </row>
    <row r="27" spans="1:40" x14ac:dyDescent="0.25">
      <c r="A27" s="79">
        <v>2030</v>
      </c>
      <c r="B27" s="237"/>
      <c r="C27" s="237"/>
      <c r="D27" s="237"/>
      <c r="E27" s="237">
        <v>745895.72393528919</v>
      </c>
      <c r="F27" s="237"/>
      <c r="G27" s="237">
        <v>1152.3577261253899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1608361.5119189806</v>
      </c>
      <c r="T27" s="237"/>
      <c r="U27" s="237"/>
      <c r="V27" s="237"/>
      <c r="W27" s="237"/>
      <c r="X27" s="237"/>
      <c r="Y27" s="237"/>
      <c r="Z27" s="237"/>
      <c r="AA27" s="237"/>
      <c r="AB27" s="237">
        <v>1903900.8408103255</v>
      </c>
      <c r="AC27" s="237"/>
      <c r="AD27" s="237"/>
      <c r="AE27" s="237"/>
      <c r="AF27" s="237"/>
      <c r="AG27" s="237"/>
      <c r="AH27" s="237"/>
      <c r="AI27" s="237"/>
      <c r="AJ27" s="237"/>
      <c r="AK27" s="237">
        <v>32354280.599996109</v>
      </c>
      <c r="AL27" s="237">
        <v>550486.04509260366</v>
      </c>
      <c r="AM27" s="237"/>
      <c r="AN27" s="237">
        <v>37164077.079479434</v>
      </c>
    </row>
    <row r="28" spans="1:40" x14ac:dyDescent="0.25">
      <c r="A28" s="79">
        <v>2050</v>
      </c>
      <c r="B28" s="237"/>
      <c r="C28" s="237"/>
      <c r="D28" s="237"/>
      <c r="E28" s="237">
        <v>890749.94927217893</v>
      </c>
      <c r="F28" s="237"/>
      <c r="G28" s="237">
        <v>1309.4445008988266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1467200.6244989464</v>
      </c>
      <c r="T28" s="237"/>
      <c r="U28" s="237"/>
      <c r="V28" s="237"/>
      <c r="W28" s="237"/>
      <c r="X28" s="237"/>
      <c r="Y28" s="237"/>
      <c r="Z28" s="237"/>
      <c r="AA28" s="237"/>
      <c r="AB28" s="237">
        <v>1513102.369556373</v>
      </c>
      <c r="AC28" s="237"/>
      <c r="AD28" s="237"/>
      <c r="AE28" s="237"/>
      <c r="AF28" s="237"/>
      <c r="AG28" s="237"/>
      <c r="AH28" s="237"/>
      <c r="AI28" s="237"/>
      <c r="AJ28" s="237"/>
      <c r="AK28" s="237">
        <v>28232114.461226773</v>
      </c>
      <c r="AL28" s="237">
        <v>516108.9912078444</v>
      </c>
      <c r="AM28" s="237"/>
      <c r="AN28" s="237">
        <v>32620585.840263017</v>
      </c>
    </row>
    <row r="29" spans="1:40" x14ac:dyDescent="0.25">
      <c r="A29" s="78" t="s">
        <v>209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>
        <v>3721745.6854253788</v>
      </c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/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/>
      <c r="AL29" s="237"/>
      <c r="AM29" s="237"/>
      <c r="AN29" s="237">
        <v>3721745.6854253788</v>
      </c>
    </row>
    <row r="30" spans="1:40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>
        <v>0</v>
      </c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/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/>
      <c r="AL30" s="237"/>
      <c r="AM30" s="237"/>
      <c r="AN30" s="237">
        <v>0</v>
      </c>
    </row>
    <row r="31" spans="1:40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>
        <v>1705800.1058199655</v>
      </c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/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/>
      <c r="AL31" s="237"/>
      <c r="AM31" s="237"/>
      <c r="AN31" s="237">
        <v>1705800.1058199655</v>
      </c>
    </row>
    <row r="32" spans="1:40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>
        <v>2015945.5796054134</v>
      </c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/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/>
      <c r="AL32" s="237"/>
      <c r="AM32" s="237"/>
      <c r="AN32" s="237">
        <v>2015945.5796054134</v>
      </c>
    </row>
    <row r="33" spans="1:40" x14ac:dyDescent="0.25">
      <c r="A33" s="78" t="s">
        <v>237</v>
      </c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>
        <v>1674036.0474599604</v>
      </c>
      <c r="Y33" s="237"/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/>
      <c r="AL33" s="237"/>
      <c r="AM33" s="237"/>
      <c r="AN33" s="237">
        <v>1674036.0474599604</v>
      </c>
    </row>
    <row r="34" spans="1:40" x14ac:dyDescent="0.25">
      <c r="A34" s="79">
        <v>2019</v>
      </c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>
        <v>678407.81727843033</v>
      </c>
      <c r="Y34" s="237"/>
      <c r="Z34" s="237"/>
      <c r="AA34" s="237"/>
      <c r="AB34" s="237"/>
      <c r="AC34" s="237"/>
      <c r="AD34" s="237"/>
      <c r="AE34" s="237"/>
      <c r="AF34" s="237"/>
      <c r="AG34" s="237"/>
      <c r="AH34" s="237"/>
      <c r="AI34" s="237"/>
      <c r="AJ34" s="237"/>
      <c r="AK34" s="237"/>
      <c r="AL34" s="237"/>
      <c r="AM34" s="237"/>
      <c r="AN34" s="237">
        <v>678407.81727843033</v>
      </c>
    </row>
    <row r="35" spans="1:40" x14ac:dyDescent="0.25">
      <c r="A35" s="79">
        <v>2030</v>
      </c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>
        <v>515329.13383230095</v>
      </c>
      <c r="Y35" s="237"/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237"/>
      <c r="AK35" s="237"/>
      <c r="AL35" s="237"/>
      <c r="AM35" s="237"/>
      <c r="AN35" s="237">
        <v>515329.13383230095</v>
      </c>
    </row>
    <row r="36" spans="1:40" x14ac:dyDescent="0.25">
      <c r="A36" s="79">
        <v>2050</v>
      </c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>
        <v>480299.09634922922</v>
      </c>
      <c r="Y36" s="237"/>
      <c r="Z36" s="237"/>
      <c r="AA36" s="237"/>
      <c r="AB36" s="237"/>
      <c r="AC36" s="237"/>
      <c r="AD36" s="237"/>
      <c r="AE36" s="237"/>
      <c r="AF36" s="237"/>
      <c r="AG36" s="237"/>
      <c r="AH36" s="237"/>
      <c r="AI36" s="237"/>
      <c r="AJ36" s="237"/>
      <c r="AK36" s="237"/>
      <c r="AL36" s="237"/>
      <c r="AM36" s="237"/>
      <c r="AN36" s="237">
        <v>480299.09634922922</v>
      </c>
    </row>
    <row r="37" spans="1:40" x14ac:dyDescent="0.25">
      <c r="A37" s="78" t="s">
        <v>61</v>
      </c>
      <c r="B37" s="237">
        <v>182574.19618217932</v>
      </c>
      <c r="C37" s="237">
        <v>236931.04098964596</v>
      </c>
      <c r="D37" s="237">
        <v>1462906</v>
      </c>
      <c r="E37" s="237">
        <v>7540712.65189566</v>
      </c>
      <c r="F37" s="237">
        <v>281468.55244752642</v>
      </c>
      <c r="G37" s="237">
        <v>33501.022270242167</v>
      </c>
      <c r="H37" s="237">
        <v>197788.71253069426</v>
      </c>
      <c r="I37" s="237">
        <v>1445379.0531089196</v>
      </c>
      <c r="J37" s="237">
        <v>428226</v>
      </c>
      <c r="K37" s="237">
        <v>50724694.124863997</v>
      </c>
      <c r="L37" s="237">
        <v>1513844.376677237</v>
      </c>
      <c r="M37" s="237">
        <v>7895664.4358888036</v>
      </c>
      <c r="N37" s="237">
        <v>2948427</v>
      </c>
      <c r="O37" s="237">
        <v>18418196.97947849</v>
      </c>
      <c r="P37" s="237">
        <v>2423468</v>
      </c>
      <c r="Q37" s="237">
        <v>692260.49385742994</v>
      </c>
      <c r="R37" s="237">
        <v>22332263.970772527</v>
      </c>
      <c r="S37" s="237">
        <v>44805621.364179283</v>
      </c>
      <c r="T37" s="237">
        <v>5771859.0537139811</v>
      </c>
      <c r="U37" s="237">
        <v>20796293.588634051</v>
      </c>
      <c r="V37" s="237">
        <v>2647325.8446415998</v>
      </c>
      <c r="W37" s="237">
        <v>336392.95646566537</v>
      </c>
      <c r="X37" s="237">
        <v>1674036.0474599604</v>
      </c>
      <c r="Y37" s="237">
        <v>3370961.7654903578</v>
      </c>
      <c r="Z37" s="237">
        <v>147948.5685102923</v>
      </c>
      <c r="AA37" s="237">
        <v>8346487.6580018671</v>
      </c>
      <c r="AB37" s="237">
        <v>51827032.103666998</v>
      </c>
      <c r="AC37" s="237">
        <v>682979.63888483576</v>
      </c>
      <c r="AD37" s="237">
        <v>558483.45438534976</v>
      </c>
      <c r="AE37" s="237">
        <v>8468381.4765873924</v>
      </c>
      <c r="AF37" s="237">
        <v>1267279.7173444345</v>
      </c>
      <c r="AG37" s="237">
        <v>622169.40622233599</v>
      </c>
      <c r="AH37" s="237">
        <v>363727.85327847017</v>
      </c>
      <c r="AI37" s="237">
        <v>805966.86900907033</v>
      </c>
      <c r="AJ37" s="237">
        <v>535691.53518718737</v>
      </c>
      <c r="AK37" s="237">
        <v>69389886.796731368</v>
      </c>
      <c r="AL37" s="237">
        <v>2011410.1249805305</v>
      </c>
      <c r="AM37" s="237">
        <v>2330919.0257364037</v>
      </c>
      <c r="AN37" s="237">
        <v>345519161.46007478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M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8.85546875" bestFit="1" customWidth="1"/>
    <col min="6" max="6" width="13.28515625" bestFit="1" customWidth="1"/>
    <col min="7" max="7" width="13.85546875" bestFit="1" customWidth="1"/>
    <col min="8" max="8" width="8.7109375" bestFit="1" customWidth="1"/>
    <col min="9" max="9" width="8.42578125" bestFit="1" customWidth="1"/>
    <col min="10" max="10" width="8.85546875" bestFit="1" customWidth="1"/>
    <col min="11" max="11" width="14.5703125" bestFit="1" customWidth="1"/>
    <col min="12" max="12" width="9.28515625" bestFit="1" customWidth="1"/>
    <col min="13" max="15" width="11.285156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3" x14ac:dyDescent="0.25">
      <c r="A2" s="77" t="s">
        <v>279</v>
      </c>
      <c r="B2" s="78">
        <v>1</v>
      </c>
    </row>
    <row r="4" spans="1:13" x14ac:dyDescent="0.25">
      <c r="A4" s="77" t="s">
        <v>306</v>
      </c>
      <c r="B4" s="77" t="s">
        <v>62</v>
      </c>
    </row>
    <row r="5" spans="1:13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48</v>
      </c>
      <c r="F5" s="168" t="s">
        <v>115</v>
      </c>
      <c r="G5" s="168" t="s">
        <v>108</v>
      </c>
      <c r="H5" s="168" t="s">
        <v>14</v>
      </c>
      <c r="I5" s="168" t="s">
        <v>158</v>
      </c>
      <c r="J5" s="168" t="s">
        <v>54</v>
      </c>
      <c r="K5" s="168" t="s">
        <v>159</v>
      </c>
      <c r="L5" s="168" t="s">
        <v>238</v>
      </c>
      <c r="M5" s="168" t="s">
        <v>61</v>
      </c>
    </row>
    <row r="6" spans="1:13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0</v>
      </c>
      <c r="F6" s="76">
        <v>944815.08868008247</v>
      </c>
      <c r="G6" s="76">
        <v>0</v>
      </c>
      <c r="H6" s="76">
        <v>0</v>
      </c>
      <c r="I6" s="76">
        <v>142742</v>
      </c>
      <c r="J6" s="76">
        <v>420629.98984142789</v>
      </c>
      <c r="K6" s="76">
        <v>5421074.2654714445</v>
      </c>
      <c r="L6" s="76">
        <v>0</v>
      </c>
      <c r="M6" s="76">
        <v>7785702.6698210612</v>
      </c>
    </row>
    <row r="7" spans="1:13" x14ac:dyDescent="0.25">
      <c r="A7" s="78">
        <v>2030</v>
      </c>
      <c r="B7" s="76">
        <v>2.825725611182861E-2</v>
      </c>
      <c r="C7" s="76">
        <v>231597.25208892074</v>
      </c>
      <c r="D7" s="76">
        <v>0</v>
      </c>
      <c r="E7" s="76">
        <v>970453.58340937877</v>
      </c>
      <c r="F7" s="76">
        <v>550486.04509260366</v>
      </c>
      <c r="G7" s="76">
        <v>24904.885533620807</v>
      </c>
      <c r="H7" s="76">
        <v>0</v>
      </c>
      <c r="I7" s="76">
        <v>142742</v>
      </c>
      <c r="J7" s="76">
        <v>441355.81396357878</v>
      </c>
      <c r="K7" s="76">
        <v>6498561.357003523</v>
      </c>
      <c r="L7" s="76">
        <v>25129.929791754395</v>
      </c>
      <c r="M7" s="76">
        <v>8885230.8951406367</v>
      </c>
    </row>
    <row r="8" spans="1:13" x14ac:dyDescent="0.25">
      <c r="A8" s="78">
        <v>2050</v>
      </c>
      <c r="B8" s="76">
        <v>0.18489040050189942</v>
      </c>
      <c r="C8" s="76">
        <v>272269.3418410077</v>
      </c>
      <c r="D8" s="76">
        <v>0</v>
      </c>
      <c r="E8" s="76">
        <v>1077066.3706508824</v>
      </c>
      <c r="F8" s="76">
        <v>516108.9912078444</v>
      </c>
      <c r="G8" s="76">
        <v>196230.07165468042</v>
      </c>
      <c r="H8" s="76">
        <v>7784.5739258510876</v>
      </c>
      <c r="I8" s="76">
        <v>142742</v>
      </c>
      <c r="J8" s="76">
        <v>464412.98263243266</v>
      </c>
      <c r="K8" s="76">
        <v>6498561.3570035212</v>
      </c>
      <c r="L8" s="76">
        <v>42644.948533290248</v>
      </c>
      <c r="M8" s="76">
        <v>9217820.822339911</v>
      </c>
    </row>
    <row r="9" spans="1:13" x14ac:dyDescent="0.25">
      <c r="A9" s="78" t="s">
        <v>61</v>
      </c>
      <c r="B9" s="76">
        <v>370459.88762915425</v>
      </c>
      <c r="C9" s="76">
        <v>707516.21493543452</v>
      </c>
      <c r="D9" s="76">
        <v>282332.03034110228</v>
      </c>
      <c r="E9" s="76">
        <v>2047519.9540602611</v>
      </c>
      <c r="F9" s="76">
        <v>2011410.1249805305</v>
      </c>
      <c r="G9" s="76">
        <v>221134.9571883012</v>
      </c>
      <c r="H9" s="76">
        <v>7784.5739258510876</v>
      </c>
      <c r="I9" s="76">
        <v>428226</v>
      </c>
      <c r="J9" s="76">
        <v>1326398.7864374395</v>
      </c>
      <c r="K9" s="76">
        <v>18418196.97947849</v>
      </c>
      <c r="L9" s="76">
        <v>67774.878325044643</v>
      </c>
      <c r="M9" s="76">
        <v>25888754.387301609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X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7" width="9.85546875" style="168" bestFit="1" customWidth="1"/>
    <col min="8" max="8" width="11" style="168" bestFit="1" customWidth="1"/>
    <col min="9" max="9" width="13.140625" style="168" bestFit="1" customWidth="1"/>
    <col min="10" max="11" width="9.85546875" style="168" bestFit="1" customWidth="1"/>
    <col min="12" max="12" width="13.85546875" style="168" bestFit="1" customWidth="1"/>
    <col min="13" max="13" width="9.85546875" style="168" bestFit="1" customWidth="1"/>
    <col min="14" max="14" width="16" style="168" bestFit="1" customWidth="1"/>
    <col min="15" max="15" width="10" style="168" bestFit="1" customWidth="1"/>
    <col min="16" max="16" width="8.7109375" style="168" bestFit="1" customWidth="1"/>
    <col min="17" max="17" width="11" style="168" bestFit="1" customWidth="1"/>
    <col min="18" max="18" width="9.85546875" style="168" bestFit="1" customWidth="1"/>
    <col min="19" max="19" width="21" style="168" bestFit="1" customWidth="1"/>
    <col min="20" max="20" width="20.7109375" style="168" bestFit="1" customWidth="1"/>
    <col min="21" max="21" width="9.85546875" style="168" bestFit="1" customWidth="1"/>
    <col min="22" max="22" width="8.28515625" style="168" bestFit="1" customWidth="1"/>
    <col min="23" max="23" width="16" style="168" bestFit="1" customWidth="1"/>
    <col min="24" max="24" width="9.85546875" style="168" bestFit="1" customWidth="1"/>
    <col min="25" max="25" width="12.5703125" style="168" bestFit="1" customWidth="1"/>
    <col min="26" max="27" width="9.85546875" style="168" bestFit="1" customWidth="1"/>
    <col min="28" max="28" width="9.28515625" style="168" bestFit="1" customWidth="1"/>
    <col min="29" max="29" width="12" style="168" bestFit="1" customWidth="1"/>
    <col min="30" max="30" width="13.85546875" style="168" bestFit="1" customWidth="1"/>
    <col min="31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9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7109375" style="168" bestFit="1" customWidth="1"/>
    <col min="46" max="46" width="9.28515625" style="168" bestFit="1" customWidth="1"/>
    <col min="47" max="47" width="8.5703125" style="168" bestFit="1" customWidth="1"/>
    <col min="48" max="48" width="11.42578125" style="168" bestFit="1" customWidth="1"/>
    <col min="49" max="49" width="12" style="168" bestFit="1" customWidth="1"/>
    <col min="50" max="50" width="11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710937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710937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710937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710937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7109375" style="168" bestFit="1" customWidth="1"/>
    <col min="168" max="169" width="14.28515625" style="168" bestFit="1" customWidth="1"/>
    <col min="170" max="173" width="11.710937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50" x14ac:dyDescent="0.25">
      <c r="A2" s="77" t="s">
        <v>301</v>
      </c>
      <c r="B2" s="78">
        <v>1</v>
      </c>
    </row>
    <row r="4" spans="1:50" x14ac:dyDescent="0.25">
      <c r="A4" s="77" t="s">
        <v>252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</row>
    <row r="5" spans="1:50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103</v>
      </c>
      <c r="J5" s="168" t="s">
        <v>12</v>
      </c>
      <c r="K5" s="168" t="s">
        <v>48</v>
      </c>
      <c r="L5" s="168" t="s">
        <v>108</v>
      </c>
      <c r="M5" s="168" t="s">
        <v>53</v>
      </c>
      <c r="N5" s="168" t="s">
        <v>116</v>
      </c>
      <c r="O5" s="168" t="s">
        <v>106</v>
      </c>
      <c r="P5" s="168" t="s">
        <v>14</v>
      </c>
      <c r="Q5" s="168" t="s">
        <v>117</v>
      </c>
      <c r="R5" s="168" t="s">
        <v>52</v>
      </c>
      <c r="S5" s="168" t="s">
        <v>121</v>
      </c>
      <c r="T5" s="168" t="s">
        <v>107</v>
      </c>
      <c r="U5" s="168" t="s">
        <v>13</v>
      </c>
      <c r="V5" s="168" t="s">
        <v>99</v>
      </c>
      <c r="W5" s="168" t="s">
        <v>140</v>
      </c>
      <c r="X5" s="168" t="s">
        <v>208</v>
      </c>
      <c r="Y5" s="168" t="s">
        <v>204</v>
      </c>
      <c r="Z5" s="168" t="s">
        <v>56</v>
      </c>
      <c r="AA5" s="168" t="s">
        <v>55</v>
      </c>
      <c r="AB5" s="168" t="s">
        <v>238</v>
      </c>
      <c r="AC5" s="168" t="s">
        <v>61</v>
      </c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</row>
    <row r="6" spans="1:50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/>
      <c r="Y6" s="98"/>
      <c r="Z6" s="98">
        <v>911574.64248506655</v>
      </c>
      <c r="AA6" s="98">
        <v>2005102.1714007764</v>
      </c>
      <c r="AB6" s="98">
        <v>98826.033045954537</v>
      </c>
      <c r="AC6" s="98">
        <v>34625194.021511331</v>
      </c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</row>
    <row r="7" spans="1:50" x14ac:dyDescent="0.25">
      <c r="A7" s="78">
        <v>2030</v>
      </c>
      <c r="B7" s="98">
        <v>203574.72786831582</v>
      </c>
      <c r="C7" s="98">
        <v>194891.99536651041</v>
      </c>
      <c r="D7" s="98">
        <v>2847697.7331340685</v>
      </c>
      <c r="E7" s="98">
        <v>1224394.8675918896</v>
      </c>
      <c r="F7" s="98">
        <v>150757.9962263334</v>
      </c>
      <c r="G7" s="98">
        <v>1374464.7761217668</v>
      </c>
      <c r="H7" s="98">
        <v>16598977.324545521</v>
      </c>
      <c r="I7" s="98">
        <v>73077.445733657863</v>
      </c>
      <c r="J7" s="98">
        <v>1943930.4726515138</v>
      </c>
      <c r="K7" s="98"/>
      <c r="L7" s="98"/>
      <c r="M7" s="98">
        <v>395857.3957718208</v>
      </c>
      <c r="N7" s="98">
        <v>2997098.7508770339</v>
      </c>
      <c r="O7" s="98">
        <v>279460.19505556813</v>
      </c>
      <c r="P7" s="98">
        <v>16224.7423869579</v>
      </c>
      <c r="Q7" s="98">
        <v>6039680.3757292964</v>
      </c>
      <c r="R7" s="98">
        <v>1293768.0525721861</v>
      </c>
      <c r="S7" s="98">
        <v>242306.85484945413</v>
      </c>
      <c r="T7" s="98">
        <v>116419.84071734181</v>
      </c>
      <c r="U7" s="98">
        <v>1567297.01979714</v>
      </c>
      <c r="V7" s="98">
        <v>120600</v>
      </c>
      <c r="W7" s="98">
        <v>4555408.6040134262</v>
      </c>
      <c r="X7" s="98">
        <v>666834.39767719537</v>
      </c>
      <c r="Y7" s="98">
        <v>11059.895715006045</v>
      </c>
      <c r="Z7" s="98">
        <v>880362.49952358752</v>
      </c>
      <c r="AA7" s="98">
        <v>1933087.1070249293</v>
      </c>
      <c r="AB7" s="98"/>
      <c r="AC7" s="98">
        <v>45727233.07095053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</row>
    <row r="8" spans="1:50" x14ac:dyDescent="0.25">
      <c r="A8" s="78">
        <v>2050</v>
      </c>
      <c r="B8" s="98">
        <v>168916.1589956597</v>
      </c>
      <c r="C8" s="98">
        <v>177330.90550496668</v>
      </c>
      <c r="D8" s="98">
        <v>3045273.1748152561</v>
      </c>
      <c r="E8" s="98">
        <v>1462174.4450316897</v>
      </c>
      <c r="F8" s="98">
        <v>102055.46944502917</v>
      </c>
      <c r="G8" s="98">
        <v>1289066.8796105941</v>
      </c>
      <c r="H8" s="98">
        <v>15840345.904363189</v>
      </c>
      <c r="I8" s="98">
        <v>70477.685835188255</v>
      </c>
      <c r="J8" s="98">
        <v>1797189.798135357</v>
      </c>
      <c r="K8" s="98"/>
      <c r="L8" s="98"/>
      <c r="M8" s="98">
        <v>324396.41146601527</v>
      </c>
      <c r="N8" s="98">
        <v>2628933.7872897997</v>
      </c>
      <c r="O8" s="98">
        <v>279460.19505556813</v>
      </c>
      <c r="P8" s="98"/>
      <c r="Q8" s="98">
        <v>5524917.4225098323</v>
      </c>
      <c r="R8" s="98">
        <v>1133801.2967111804</v>
      </c>
      <c r="S8" s="98">
        <v>209387.60744368369</v>
      </c>
      <c r="T8" s="98">
        <v>94651.325047596358</v>
      </c>
      <c r="U8" s="98">
        <v>1327317.1918253219</v>
      </c>
      <c r="V8" s="98">
        <v>120600</v>
      </c>
      <c r="W8" s="98">
        <v>4737724.7192666382</v>
      </c>
      <c r="X8" s="98">
        <v>788077.01543668518</v>
      </c>
      <c r="Y8" s="98">
        <v>2597.3997512515198</v>
      </c>
      <c r="Z8" s="98">
        <v>824629.38934643252</v>
      </c>
      <c r="AA8" s="98">
        <v>1810667.4246186719</v>
      </c>
      <c r="AB8" s="98"/>
      <c r="AC8" s="98">
        <v>43759991.607505597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</row>
    <row r="9" spans="1:50" x14ac:dyDescent="0.25">
      <c r="A9" s="78" t="s">
        <v>61</v>
      </c>
      <c r="B9" s="98">
        <v>549087.78626597137</v>
      </c>
      <c r="C9" s="98">
        <v>584933.9106272239</v>
      </c>
      <c r="D9" s="98">
        <v>9123499.9801908359</v>
      </c>
      <c r="E9" s="98">
        <v>4038787.3197664367</v>
      </c>
      <c r="F9" s="98">
        <v>391088.74570026167</v>
      </c>
      <c r="G9" s="98">
        <v>4166089.6913405759</v>
      </c>
      <c r="H9" s="98">
        <v>36557326.93920888</v>
      </c>
      <c r="I9" s="98">
        <v>143555.13156884612</v>
      </c>
      <c r="J9" s="98">
        <v>5781994.0216530049</v>
      </c>
      <c r="K9" s="98">
        <v>1974670.329311419</v>
      </c>
      <c r="L9" s="98">
        <v>51892.132620096323</v>
      </c>
      <c r="M9" s="98">
        <v>1986516.0535053283</v>
      </c>
      <c r="N9" s="98">
        <v>8162815.7794957738</v>
      </c>
      <c r="O9" s="98">
        <v>559800.49011113623</v>
      </c>
      <c r="P9" s="98">
        <v>24288.948727054463</v>
      </c>
      <c r="Q9" s="98">
        <v>16833597.798239127</v>
      </c>
      <c r="R9" s="98">
        <v>4083933.9907842809</v>
      </c>
      <c r="S9" s="98">
        <v>668704.82972866099</v>
      </c>
      <c r="T9" s="98">
        <v>317017.47733689344</v>
      </c>
      <c r="U9" s="98">
        <v>4277265.6428013686</v>
      </c>
      <c r="V9" s="98">
        <v>241276.5</v>
      </c>
      <c r="W9" s="98">
        <v>13661457.224958723</v>
      </c>
      <c r="X9" s="98">
        <v>1454911.4131138804</v>
      </c>
      <c r="Y9" s="98">
        <v>13657.295466257565</v>
      </c>
      <c r="Z9" s="98">
        <v>2616566.5313550867</v>
      </c>
      <c r="AA9" s="98">
        <v>5748856.7030443773</v>
      </c>
      <c r="AB9" s="98">
        <v>98826.033045954537</v>
      </c>
      <c r="AC9" s="98">
        <v>124112418.69996744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</row>
    <row r="10" spans="1:50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50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50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50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50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50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50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230</v>
      </c>
      <c r="C4" s="168" t="s">
        <v>158</v>
      </c>
      <c r="D4" s="168" t="s">
        <v>224</v>
      </c>
      <c r="E4" s="168" t="s">
        <v>227</v>
      </c>
      <c r="F4" s="168" t="s">
        <v>226</v>
      </c>
      <c r="G4" s="168" t="s">
        <v>222</v>
      </c>
      <c r="H4" s="168" t="s">
        <v>313</v>
      </c>
      <c r="I4" s="168" t="s">
        <v>231</v>
      </c>
      <c r="J4" s="168" t="s">
        <v>225</v>
      </c>
      <c r="K4" s="168" t="s">
        <v>61</v>
      </c>
    </row>
    <row r="5" spans="1:11" x14ac:dyDescent="0.25">
      <c r="A5" s="78" t="s">
        <v>286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19.573590488557194</v>
      </c>
      <c r="F6" s="235">
        <v>0</v>
      </c>
      <c r="G6" s="235">
        <v>0</v>
      </c>
      <c r="H6" s="235">
        <v>0</v>
      </c>
      <c r="I6" s="235">
        <v>3.951047127829578</v>
      </c>
      <c r="J6" s="235">
        <v>47.489094924341849</v>
      </c>
      <c r="K6" s="235">
        <v>88.557663065230912</v>
      </c>
    </row>
    <row r="7" spans="1:11" x14ac:dyDescent="0.25">
      <c r="A7" s="79">
        <v>2030</v>
      </c>
      <c r="B7" s="235">
        <v>20.512558371303609</v>
      </c>
      <c r="C7" s="235">
        <v>0</v>
      </c>
      <c r="D7" s="235">
        <v>35.472509701222052</v>
      </c>
      <c r="E7" s="235">
        <v>16.736893025642814</v>
      </c>
      <c r="F7" s="235">
        <v>0.35905402506237244</v>
      </c>
      <c r="G7" s="235">
        <v>2.6373465447929307</v>
      </c>
      <c r="H7" s="235">
        <v>0</v>
      </c>
      <c r="I7" s="235">
        <v>5.7716862989217699</v>
      </c>
      <c r="J7" s="235">
        <v>44.595115183387243</v>
      </c>
      <c r="K7" s="235">
        <v>126.08516315033279</v>
      </c>
    </row>
    <row r="8" spans="1:11" x14ac:dyDescent="0.25">
      <c r="A8" s="79">
        <v>2050</v>
      </c>
      <c r="B8" s="235">
        <v>20.661139806891022</v>
      </c>
      <c r="C8" s="235">
        <v>0</v>
      </c>
      <c r="D8" s="235">
        <v>33.386021609279233</v>
      </c>
      <c r="E8" s="235">
        <v>12.646092892092287</v>
      </c>
      <c r="F8" s="235">
        <v>0.35905402506237249</v>
      </c>
      <c r="G8" s="235">
        <v>3.1495237545982597</v>
      </c>
      <c r="H8" s="235">
        <v>0</v>
      </c>
      <c r="I8" s="235">
        <v>5.3793498791113672</v>
      </c>
      <c r="J8" s="235">
        <v>40.928955861930156</v>
      </c>
      <c r="K8" s="235">
        <v>116.5101378289647</v>
      </c>
    </row>
    <row r="9" spans="1:11" x14ac:dyDescent="0.25">
      <c r="A9" s="78" t="s">
        <v>243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1.4201719861750002</v>
      </c>
      <c r="E10" s="235">
        <v>0.45076703431999998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5.3771116295107078</v>
      </c>
      <c r="C11" s="235">
        <v>2.1694819870080004</v>
      </c>
      <c r="D11" s="235">
        <v>1.4201719861750002</v>
      </c>
      <c r="E11" s="235">
        <v>0.45076703432000031</v>
      </c>
      <c r="F11" s="235">
        <v>0</v>
      </c>
      <c r="G11" s="235">
        <v>18.957916378438938</v>
      </c>
      <c r="H11" s="235">
        <v>0</v>
      </c>
      <c r="I11" s="235">
        <v>0</v>
      </c>
      <c r="J11" s="235">
        <v>0</v>
      </c>
      <c r="K11" s="235">
        <v>28.375449015452645</v>
      </c>
    </row>
    <row r="12" spans="1:11" x14ac:dyDescent="0.25">
      <c r="A12" s="79">
        <v>2050</v>
      </c>
      <c r="B12" s="235">
        <v>5.4217294175270894</v>
      </c>
      <c r="C12" s="235">
        <v>2.1694819870080004</v>
      </c>
      <c r="D12" s="235">
        <v>1.4201719861750002</v>
      </c>
      <c r="E12" s="235">
        <v>0.45076703431999998</v>
      </c>
      <c r="F12" s="235">
        <v>0</v>
      </c>
      <c r="G12" s="235">
        <v>17.624482577499553</v>
      </c>
      <c r="H12" s="235">
        <v>0</v>
      </c>
      <c r="I12" s="235">
        <v>0</v>
      </c>
      <c r="J12" s="235">
        <v>0</v>
      </c>
      <c r="K12" s="235">
        <v>27.086633002529645</v>
      </c>
    </row>
    <row r="13" spans="1:11" x14ac:dyDescent="0.25">
      <c r="A13" s="78" t="s">
        <v>287</v>
      </c>
      <c r="B13" s="235">
        <v>58.717628702696935</v>
      </c>
      <c r="C13" s="235">
        <v>0</v>
      </c>
      <c r="D13" s="235">
        <v>68.858531310501292</v>
      </c>
      <c r="E13" s="235">
        <v>48.956576406292299</v>
      </c>
      <c r="F13" s="235">
        <v>0.71810805012474499</v>
      </c>
      <c r="G13" s="235">
        <v>5.7868702993911905</v>
      </c>
      <c r="H13" s="235">
        <v>0</v>
      </c>
      <c r="I13" s="235">
        <v>15.102083305862713</v>
      </c>
      <c r="J13" s="235">
        <v>133.01316596965924</v>
      </c>
      <c r="K13" s="235">
        <v>331.1529640445284</v>
      </c>
    </row>
    <row r="14" spans="1:11" x14ac:dyDescent="0.25">
      <c r="A14" s="78" t="s">
        <v>244</v>
      </c>
      <c r="B14" s="235">
        <v>18.2819957512448</v>
      </c>
      <c r="C14" s="235">
        <v>6.5084459610240017</v>
      </c>
      <c r="D14" s="235">
        <v>4.2605159585250005</v>
      </c>
      <c r="E14" s="235">
        <v>1.3523011029600003</v>
      </c>
      <c r="F14" s="235">
        <v>0</v>
      </c>
      <c r="G14" s="235">
        <v>41.674681913943488</v>
      </c>
      <c r="H14" s="235">
        <v>0</v>
      </c>
      <c r="I14" s="235">
        <v>0</v>
      </c>
      <c r="J14" s="235">
        <v>0</v>
      </c>
      <c r="K14" s="235">
        <v>72.077940687697293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8" t="s">
        <v>230</v>
      </c>
      <c r="C2" s="168" t="s">
        <v>158</v>
      </c>
      <c r="D2" s="168" t="s">
        <v>224</v>
      </c>
      <c r="E2" s="168" t="s">
        <v>227</v>
      </c>
      <c r="F2" s="168" t="s">
        <v>226</v>
      </c>
      <c r="G2" s="168" t="s">
        <v>222</v>
      </c>
      <c r="H2" s="168" t="s">
        <v>225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1675417.9906552273</v>
      </c>
      <c r="F3" s="236">
        <v>0</v>
      </c>
      <c r="G3" s="236">
        <v>704016.11583333346</v>
      </c>
      <c r="H3" s="236">
        <v>1575873.4784311759</v>
      </c>
      <c r="I3" s="236">
        <v>5289806.6849197373</v>
      </c>
    </row>
    <row r="4" spans="1:9" x14ac:dyDescent="0.25">
      <c r="A4" s="78">
        <v>2030</v>
      </c>
      <c r="B4" s="236">
        <v>1205982.4263481963</v>
      </c>
      <c r="C4" s="236">
        <v>128467.8</v>
      </c>
      <c r="D4" s="236">
        <v>5153950.8401187295</v>
      </c>
      <c r="E4" s="236">
        <v>1442132.5783359441</v>
      </c>
      <c r="F4" s="236">
        <v>60009.02925833522</v>
      </c>
      <c r="G4" s="236">
        <v>2915933.6770836636</v>
      </c>
      <c r="H4" s="236">
        <v>1483522.0930239339</v>
      </c>
      <c r="I4" s="236">
        <v>12389998.444168802</v>
      </c>
    </row>
    <row r="5" spans="1:9" x14ac:dyDescent="0.25">
      <c r="A5" s="78">
        <v>2050</v>
      </c>
      <c r="B5" s="236">
        <v>1225152.563565427</v>
      </c>
      <c r="C5" s="236">
        <v>128467.8</v>
      </c>
      <c r="D5" s="236">
        <v>4888102.3960037343</v>
      </c>
      <c r="E5" s="236">
        <v>1105711.7903077924</v>
      </c>
      <c r="F5" s="236">
        <v>60009.02925833522</v>
      </c>
      <c r="G5" s="236">
        <v>2829733.4002903248</v>
      </c>
      <c r="H5" s="236">
        <v>1360695.4007436582</v>
      </c>
      <c r="I5" s="236">
        <v>11597872.380169272</v>
      </c>
    </row>
    <row r="6" spans="1:9" x14ac:dyDescent="0.25">
      <c r="A6" s="78" t="s">
        <v>61</v>
      </c>
      <c r="B6" s="236">
        <v>3508439.9299136233</v>
      </c>
      <c r="C6" s="236">
        <v>385403.4</v>
      </c>
      <c r="D6" s="236">
        <v>10170779.596122464</v>
      </c>
      <c r="E6" s="236">
        <v>4223262.3592989631</v>
      </c>
      <c r="F6" s="236">
        <v>120018.05851667044</v>
      </c>
      <c r="G6" s="236">
        <v>6449683.1932073217</v>
      </c>
      <c r="H6" s="236">
        <v>4420090.9721987676</v>
      </c>
      <c r="I6" s="236">
        <v>29277677.509257812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261</v>
      </c>
      <c r="H2" s="168" t="s">
        <v>311</v>
      </c>
      <c r="I2" s="168" t="s">
        <v>333</v>
      </c>
      <c r="J2" s="168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12001553.20445985</v>
      </c>
      <c r="C4" s="98">
        <v>-50273.43159900204</v>
      </c>
      <c r="D4" s="98">
        <v>6558583.8623992102</v>
      </c>
      <c r="E4" s="98">
        <v>7550802.4044669205</v>
      </c>
      <c r="F4" s="98">
        <v>-840120.34066998609</v>
      </c>
      <c r="G4" s="98">
        <v>-644042.74351643643</v>
      </c>
      <c r="H4" s="98">
        <v>0</v>
      </c>
      <c r="I4" s="98">
        <v>-573396.54662085196</v>
      </c>
      <c r="J4" s="98">
        <v>24003106.408919699</v>
      </c>
    </row>
    <row r="5" spans="1:10" x14ac:dyDescent="0.25">
      <c r="A5" s="78">
        <v>2050</v>
      </c>
      <c r="B5" s="98">
        <v>10471066.266458454</v>
      </c>
      <c r="C5" s="98">
        <v>-50273.43159900204</v>
      </c>
      <c r="D5" s="98">
        <v>6441255.8287903955</v>
      </c>
      <c r="E5" s="98">
        <v>7298722.430061643</v>
      </c>
      <c r="F5" s="98">
        <v>-2125652.3109115865</v>
      </c>
      <c r="G5" s="98">
        <v>-561892.75060918764</v>
      </c>
      <c r="H5" s="98">
        <v>0</v>
      </c>
      <c r="I5" s="98">
        <v>-531093.49927380856</v>
      </c>
      <c r="J5" s="98">
        <v>20942132.532916903</v>
      </c>
    </row>
    <row r="6" spans="1:10" x14ac:dyDescent="0.25">
      <c r="A6" s="78" t="s">
        <v>61</v>
      </c>
      <c r="B6" s="98">
        <v>36384181.58919587</v>
      </c>
      <c r="C6" s="98">
        <v>-100705.30039800408</v>
      </c>
      <c r="D6" s="98">
        <v>18519101.591926321</v>
      </c>
      <c r="E6" s="98">
        <v>24574991.024262745</v>
      </c>
      <c r="F6" s="98">
        <v>-3527672.6515815724</v>
      </c>
      <c r="G6" s="98">
        <v>-1371142.7050206838</v>
      </c>
      <c r="H6" s="98">
        <v>0</v>
      </c>
      <c r="I6" s="98">
        <v>-1710390.3699929356</v>
      </c>
      <c r="J6" s="98">
        <v>72768363.178391725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topLeftCell="A5" workbookViewId="0">
      <selection activeCell="C23" sqref="C23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Vestdanmark'!$F:$F,'CO2-udledning'!$D$2,'Resultater - Vestdanmark'!H:H)</f>
        <v>11941424.383000549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Vestdanmark'!H:H,'Resultater - Vestdanmark'!$F:$F,'CO2-udledning'!$D$2,'Resultater - Vestdanmark'!$A:$A,'CO2-udledning'!$G3)+SUMIFS('Resultater - Vestdanmark'!H:H,'Resultater - Vestdanmark'!$F:$F,'CO2-udledning'!$D$2,'Resultater - Vestdanmark'!$A:$A,'CO2-udledning'!$H3)+SUMIFS('Resultater - Vestdanmark'!H:H,'Resultater - Vestdanmark'!$F:$F,'CO2-udledning'!$D$2,'Resultater - Vestdanmark'!$A:$A,'CO2-udledning'!$I3)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Vestdanmark'!H:H,'Resultater - Vestdanmark'!$F:$F,'CO2-udledning'!$D$2,'Resultater - Vestdanmark'!$C:$C,'CO2-udledning'!$F4)+SUMIFS('Resultater - Vestdanmark'!H:H,'Resultater - Vestdanmark'!$F:$F,$D$2,'Resultater - Vestdanmark'!$A:$A,"Grøntsager I drivhus")</f>
        <v>4170153.6479513268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Vestdanmark'!H:H,'Resultater - Vestdanmark'!$F:$F,'CO2-udledning'!$D$2,'Resultater - Vestdanmark'!$C:$C,'CO2-udledning'!$F5)</f>
        <v>1273957.4753938417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Vestdanmark'!H:H,'Resultater - Vestdanmark'!$F:$F,'CO2-udledning'!$D$2,'Resultater - Vestdanmark'!$C:$C,'CO2-udledning'!$F6)</f>
        <v>2482763.8616224034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Vestdanmark'!H:H,'Resultater - Vestdanmark'!$F:$F,'CO2-udledning'!$D$2,'Resultater - Vestdanmark'!$A:$A,'CO2-udledning'!$G7)+SUMIFS('Resultater - Vestdanmark'!H:H,'Resultater - Vestdanmark'!$F:$F,'CO2-udledning'!$D$2,'Resultater - Vestdanmark'!$A:$A,'CO2-udledning'!$H7)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Vestdanmark'!H:H,'Resultater - Vestdanmark'!$F:$F,'CO2-udledning'!$D$2,'Resultater - Vestdanmark'!$A:$A,'CO2-udledning'!$G8)</f>
        <v>-435064.52162306459</v>
      </c>
      <c r="D8" t="s">
        <v>10</v>
      </c>
      <c r="E8" t="s">
        <v>10</v>
      </c>
      <c r="G8" t="s">
        <v>197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Vestdanmark'!H:H,'Resultater - Vestdanmark'!$F:$F,'CO2-udledning'!$D$2,'Resultater - Vestdanmark'!$A:$A,'CO2-udledning'!$G9)</f>
        <v>-469132.82551179174</v>
      </c>
      <c r="D9" s="168" t="s">
        <v>332</v>
      </c>
      <c r="E9" s="168" t="s">
        <v>333</v>
      </c>
      <c r="G9" s="168" t="s">
        <v>331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Vestdanmark'!H:H,'Resultater - Vestdanmark'!$F:$F,'CO2-udledning'!$D$2,'Resultater - Vestdanmark'!$A:$A,'CO2-udledning'!$G10)</f>
        <v>-151930.36566196129</v>
      </c>
      <c r="D10" s="168" t="s">
        <v>261</v>
      </c>
      <c r="E10" s="168" t="s">
        <v>261</v>
      </c>
      <c r="G10" s="168" t="s">
        <v>261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>SUMIFS('Resultater - Vestdanmark'!H:H,'Resultater - Vestdanmark'!$F:$F,'CO2-udledning'!$D$2,'Resultater - Vestdanmark'!$A:$A,'CO2-udledning'!$G11)</f>
        <v>0</v>
      </c>
      <c r="D11" s="168" t="s">
        <v>311</v>
      </c>
      <c r="E11" s="168" t="s">
        <v>311</v>
      </c>
      <c r="G11" s="168" t="s">
        <v>311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Vestdanmark'!$F:$F,'CO2-udledning'!$D$2,'Resultater - Vestdanmark'!I:I)</f>
        <v>10375330.792305697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Vestdanmark'!I:I,'Resultater - Vestdanmark'!$F:$F,'CO2-udledning'!$D$2,'Resultater - Vestdanmark'!$A:$A,'CO2-udledning'!$G3)+SUMIFS('Resultater - Vestdanmark'!I:I,'Resultater - Vestdanmark'!$F:$F,'CO2-udledning'!$D$2,'Resultater - Vestdanmark'!$A:$A,'CO2-udledning'!$H3)+SUMIFS('Resultater - Vestdanmark'!I:I,'Resultater - Vestdanmark'!$F:$F,'CO2-udledning'!$D$2,'Resultater - Vestdanmark'!$A:$A,'CO2-udledning'!$I3)</f>
        <v>6022247.0459976699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Vestdanmark'!I:I,'Resultater - Vestdanmark'!$F:$F,'CO2-udledning'!$D$2,'Resultater - Vestdanmark'!$C:$C,'CO2-udledning'!$F4)+SUMIFS('Resultater - Vestdanmark'!I:I,'Resultater - Vestdanmark'!$F:$F,$D$2,'Resultater - Vestdanmark'!$A:$A,"Grøntsager I drivhus")</f>
        <v>4035594.6727019669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Vestdanmark'!I:I,'Resultater - Vestdanmark'!$F:$F,'CO2-udledning'!$D$2,'Resultater - Vestdanmark'!$C:$C,'CO2-udledning'!$F5)</f>
        <v>736981.47294718213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Vestdanmark'!I:I,'Resultater - Vestdanmark'!$F:$F,'CO2-udledning'!$D$2,'Resultater - Vestdanmark'!$C:$C,'CO2-udledning'!$F6)</f>
        <v>1266439.3224080352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Vestdanmark'!I:I,'Resultater - Vestdanmark'!$F:$F,'CO2-udledning'!$D$2,'Resultater - Vestdanmark'!$A:$A,'CO2-udledning'!$G7)+SUMIFS('Resultater - Vestdanmark'!I:I,'Resultater - Vestdanmark'!$F:$F,'CO2-udledning'!$D$2,'Resultater - Vestdanmark'!$A:$A,'CO2-udledning'!$H7)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Vestdanmark'!I:I,'Resultater - Vestdanmark'!$F:$F,'CO2-udledning'!$D$2,'Resultater - Vestdanmark'!$A:$A,'CO2-udledning'!$G8)</f>
        <v>-616326.92700172681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Vestdanmark'!I:I,'Resultater - Vestdanmark'!$F:$F,'CO2-udledning'!$D$2,'Resultater - Vestdanmark'!$A:$A,'CO2-udledning'!$G9)</f>
        <v>-443965.99796390499</v>
      </c>
      <c r="D19" s="168" t="s">
        <v>332</v>
      </c>
      <c r="E19" s="98" t="str">
        <f t="shared" si="4"/>
        <v>Træprodukter</v>
      </c>
      <c r="G19" s="168" t="s">
        <v>331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Vestdanmark'!I:I,'Resultater - Vestdanmark'!$F:$F,'CO2-udledning'!$D$2,'Resultater - Vestdanmark'!$A:$A,'CO2-udledning'!$G10)</f>
        <v>-588176.30308427545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>SUMIFS('Resultater - Vestdanmark'!I:I,'Resultater - Vestdanmark'!$F:$F,'CO2-udledning'!$D$2,'Resultater - Vestdanmark'!$A:$A,'CO2-udledning'!$G11)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Vestdanmark'!$F:$F,'CO2-udledning'!$D$2,'Resultater - Vestdanmark'!J:J)</f>
        <v>9325195.380473746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Vestdanmark'!J:J,'Resultater - Vestdanmark'!$F:$F,'CO2-udledning'!$D$2,'Resultater - Vestdanmark'!$A:$A,'CO2-udledning'!$G3)+SUMIFS('Resultater - Vestdanmark'!J:J,'Resultater - Vestdanmark'!$F:$F,'CO2-udledning'!$D$2,'Resultater - Vestdanmark'!$A:$A,'CO2-udledning'!$H3)+SUMIFS('Resultater - Vestdanmark'!J:J,'Resultater - Vestdanmark'!$F:$F,'CO2-udledning'!$D$2,'Resultater - Vestdanmark'!$A:$A,'CO2-udledning'!$I3)</f>
        <v>5910938.2388992785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Vestdanmark'!J:J,'Resultater - Vestdanmark'!$F:$F,'CO2-udledning'!$D$2,'Resultater - Vestdanmark'!$C:$C,'CO2-udledning'!$F4)+SUMIFS('Resultater - Vestdanmark'!J:J,'Resultater - Vestdanmark'!$F:$F,$D$2,'Resultater - Vestdanmark'!$A:$A,"Grøntsager I drivhus")</f>
        <v>3816751.9097367898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Vestdanmark'!J:J,'Resultater - Vestdanmark'!$F:$F,'CO2-udledning'!$D$2,'Resultater - Vestdanmark'!$C:$C,'CO2-udledning'!$F5)</f>
        <v>736981.47294718213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Vestdanmark'!J:J,'Resultater - Vestdanmark'!$F:$F,'CO2-udledning'!$D$2,'Resultater - Vestdanmark'!$C:$C,'CO2-udledning'!$F6)</f>
        <v>1266439.3224080354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Vestdanmark'!J:J,'Resultater - Vestdanmark'!$F:$F,'CO2-udledning'!$D$2,'Resultater - Vestdanmark'!$A:$A,'CO2-udledning'!$G7)+SUMIFS('Resultater - Vestdanmark'!J:J,'Resultater - Vestdanmark'!$F:$F,'CO2-udledning'!$D$2,'Resultater - Vestdanmark'!$A:$A,'CO2-udledning'!$H7)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Vestdanmark'!J:J,'Resultater - Vestdanmark'!$F:$F,'CO2-udledning'!$D$2,'Resultater - Vestdanmark'!$A:$A,'CO2-udledning'!$G8)</f>
        <v>-1443005.1943611833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Vestdanmark'!J:J,'Resultater - Vestdanmark'!$F:$F,'CO2-udledning'!$D$2,'Resultater - Vestdanmark'!$A:$A,'CO2-udledning'!$G9)</f>
        <v>-411275.34580557019</v>
      </c>
      <c r="D29" s="168" t="s">
        <v>332</v>
      </c>
      <c r="E29" s="98" t="str">
        <f t="shared" si="4"/>
        <v>Træprodukter</v>
      </c>
      <c r="G29" s="168" t="s">
        <v>331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Vestdanmark'!J:J,'Resultater - Vestdanmark'!$F:$F,'CO2-udledning'!$D$2,'Resultater - Vestdanmark'!$A:$A,'CO2-udledning'!$G10)</f>
        <v>-514172.529651533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>SUMIFS('Resultater - Vestdanmark'!J:J,'Resultater - Vestdanmark'!$F:$F,'CO2-udledning'!$D$2,'Resultater - Vestdanmark'!$A:$A,'CO2-udledning'!$G11)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Østdanmark'!$F:$F,'CO2-udledning'!$D$2,'Resultater - Østdanmark'!H:H)</f>
        <v>1968955.6357662694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Østdanmark'!H:H,'Resultater - Østdanmark'!$F:$F,'CO2-udledning'!$D$2,'Resultater - Østdanmark'!$A:$A,'CO2-udledning'!$G33)+SUMIFS('Resultater - Østdanmark'!H:H,'Resultater - Østdanmark'!$F:$F,'CO2-udledning'!$D$2,'Resultater - Østdanmark'!$A:$A,'CO2-udledning'!$H33)+SUMIFS('Resultater - Østdanmark'!H:H,'Resultater - Østdanmark'!$F:$F,'CO2-udledning'!$D$2,'Resultater - Østdanmark'!$A:$A,'CO2-udledning'!$I33)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Østdanmark'!H:H,'Resultater - Østdanmark'!$F:$F,'CO2-udledning'!$D$2,'Resultater - Østdanmark'!$C:$C,'CO2-udledning'!$F4)+SUMIFS('Resultater - Østdanmark'!H:H,'Resultater - Østdanmark'!$F:$F,$D$2,'Resultater - Østdanmark'!$A:$A,"Grøntsager I drivhus")</f>
        <v>1230850.7571772484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Østdanmark'!H:H,'Resultater - Østdanmark'!$F:$F,'CO2-udledning'!$D$2,'Resultater - Østdanmark'!$C:$C,'CO2-udledning'!$F5)</f>
        <v>193386.46389020365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Østdanmark'!H:H,'Resultater - Østdanmark'!$F:$F,'CO2-udledning'!$D$2,'Resultater - Østdanmark'!$C:$C,'CO2-udledning'!$F6)</f>
        <v>374231.82041424053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Østdanmark'!H:H,'Resultater - Østdanmark'!$F:$F,'CO2-udledning'!$D$2,'Resultater - Østdanmark'!$A:$A,'CO2-udledning'!$G37)+SUMIFS('Resultater - Østdanmark'!H:H,'Resultater - Østdanmark'!$F:$F,'CO2-udledning'!$D$2,'Resultater - Østdanmark'!$A:$A,'CO2-udledning'!$H37)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Østdanmark'!H:H,'Resultater - Østdanmark'!$F:$F,'CO2-udledning'!$D$2,'Resultater - Østdanmark'!$A:$A,'CO2-udledning'!$G38)</f>
        <v>-127345.4783769354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Østdanmark'!H:H,'Resultater - Østdanmark'!$F:$F,'CO2-udledning'!$D$2,'Resultater - Østdanmark'!$A:$A,'CO2-udledning'!$G39)</f>
        <v>-137317.43481230648</v>
      </c>
      <c r="D39" s="168" t="s">
        <v>332</v>
      </c>
      <c r="E39" s="98" t="str">
        <f t="shared" si="4"/>
        <v>Træprodukter</v>
      </c>
      <c r="G39" s="168" t="s">
        <v>331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Østdanmark'!H:H,'Resultater - Østdanmark'!$F:$F,'CO2-udledning'!$D$2,'Resultater - Østdanmark'!$A:$A,'CO2-udledning'!$G40)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>SUMIFS('Resultater - Østdanmark'!H:H,'Resultater - Østdanmark'!$F:$F,'CO2-udledning'!$D$2,'Resultater - Østdanmark'!$A:$A,'CO2-udledning'!$G41)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Østdanmark'!$F:$F,'CO2-udledning'!$D$2,'Resultater - Østdanmark'!I:I)</f>
        <v>1689810.3381915044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Østdanmark'!I:I,'Resultater - Østdanmark'!$F:$F,'CO2-udledning'!$D$2,'Resultater - Østdanmark'!$A:$A,'CO2-udledning'!$G33)+SUMIFS('Resultater - Østdanmark'!I:I,'Resultater - Østdanmark'!$F:$F,'CO2-udledning'!$D$2,'Resultater - Østdanmark'!$A:$A,'CO2-udledning'!$H33)+SUMIFS('Resultater - Østdanmark'!I:I,'Resultater - Østdanmark'!$F:$F,'CO2-udledning'!$D$2,'Resultater - Østdanmark'!$A:$A,'CO2-udledning'!$I33)</f>
        <v>536336.8164015403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Østdanmark'!I:I,'Resultater - Østdanmark'!$F:$F,'CO2-udledning'!$D$2,'Resultater - Østdanmark'!$C:$C,'CO2-udledning'!$F4)+SUMIFS('Resultater - Østdanmark'!I:I,'Resultater - Østdanmark'!$F:$F,$D$2,'Resultater - Østdanmark'!$A:$A,"Grøntsager I drivhus")</f>
        <v>1208228.4290668541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Østdanmark'!I:I,'Resultater - Østdanmark'!$F:$F,'CO2-udledning'!$D$2,'Resultater - Østdanmark'!$C:$C,'CO2-udledning'!$F5)</f>
        <v>111931.1514318781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Østdanmark'!I:I,'Resultater - Østdanmark'!$F:$F,'CO2-udledning'!$D$2,'Resultater - Østdanmark'!$C:$C,'CO2-udledning'!$F6)</f>
        <v>192289.56090888608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Østdanmark'!I:I,'Resultater - Østdanmark'!$F:$F,'CO2-udledning'!$D$2,'Resultater - Østdanmark'!$A:$A,'CO2-udledning'!$G37)+SUMIFS('Resultater - Østdanmark'!I:I,'Resultater - Østdanmark'!$F:$F,'CO2-udledning'!$D$2,'Resultater - Østdanmark'!$A:$A,'CO2-udledning'!$H37)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Østdanmark'!I:I,'Resultater - Østdanmark'!$F:$F,'CO2-udledning'!$D$2,'Resultater - Østdanmark'!$A:$A,'CO2-udledning'!$G38)</f>
        <v>-160347.25796288223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Østdanmark'!I:I,'Resultater - Østdanmark'!$F:$F,'CO2-udledning'!$D$2,'Resultater - Østdanmark'!$A:$A,'CO2-udledning'!$G39)</f>
        <v>-129950.98332286018</v>
      </c>
      <c r="D49" s="168" t="s">
        <v>332</v>
      </c>
      <c r="E49" s="98" t="str">
        <f t="shared" si="4"/>
        <v>Træprodukter</v>
      </c>
      <c r="G49" s="168" t="s">
        <v>331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Østdanmark'!I:I,'Resultater - Østdanmark'!$F:$F,'CO2-udledning'!$D$2,'Resultater - Østdanmark'!$A:$A,'CO2-udledning'!$G40)</f>
        <v>-55866.440432161005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>SUMIFS('Resultater - Østdanmark'!I:I,'Resultater - Østdanmark'!$F:$F,'CO2-udledning'!$D$2,'Resultater - Østdanmark'!$A:$A,'CO2-udledning'!$G41)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Østdanmark'!$F:$F,'CO2-udledning'!$D$2,'Resultater - Østdanmark'!J:J)</f>
        <v>1513033.2960521621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Østdanmark'!J:J,'Resultater - Østdanmark'!$F:$F,'CO2-udledning'!$D$2,'Resultater - Østdanmark'!$A:$A,'CO2-udledning'!$G33)+SUMIFS('Resultater - Østdanmark'!J:J,'Resultater - Østdanmark'!$F:$F,'CO2-udledning'!$D$2,'Resultater - Østdanmark'!$A:$A,'CO2-udledning'!$H33)+SUMIFS('Resultater - Østdanmark'!J:J,'Resultater - Østdanmark'!$F:$F,'CO2-udledning'!$D$2,'Resultater - Østdanmark'!$A:$A,'CO2-udledning'!$I33)</f>
        <v>530317.58989111742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Østdanmark'!J:J,'Resultater - Østdanmark'!$F:$F,'CO2-udledning'!$D$2,'Resultater - Østdanmark'!$C:$C,'CO2-udledning'!$F4)+SUMIFS('Resultater - Østdanmark'!J:J,'Resultater - Østdanmark'!$F:$F,$D$2,'Resultater - Østdanmark'!$A:$A,"Grøntsager I drivhus")</f>
        <v>1174991.2176267505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Østdanmark'!J:J,'Resultater - Østdanmark'!$F:$F,'CO2-udledning'!$D$2,'Resultater - Østdanmark'!$C:$C,'CO2-udledning'!$F5)</f>
        <v>111931.15143187805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Østdanmark'!J:J,'Resultater - Østdanmark'!$F:$F,'CO2-udledning'!$D$2,'Resultater - Østdanmark'!$C:$C,'CO2-udledning'!$F6)</f>
        <v>192289.56090888605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Østdanmark'!J:J,'Resultater - Østdanmark'!$F:$F,'CO2-udledning'!$D$2,'Resultater - Østdanmark'!$A:$A,'CO2-udledning'!$G37)+SUMIFS('Resultater - Østdanmark'!J:J,'Resultater - Østdanmark'!$F:$F,'CO2-udledning'!$D$2,'Resultater - Østdanmark'!$A:$A,'CO2-udledning'!$H37)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Østdanmark'!J:J,'Resultater - Østdanmark'!$F:$F,'CO2-udledning'!$D$2,'Resultater - Østdanmark'!$A:$A,'CO2-udledning'!$G38)</f>
        <v>-316524.5311586124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Østdanmark'!J:J,'Resultater - Østdanmark'!$F:$F,'CO2-udledning'!$D$2,'Resultater - Østdanmark'!$A:$A,'CO2-udledning'!$G39)</f>
        <v>-119440.53379045248</v>
      </c>
      <c r="D59" s="168" t="s">
        <v>332</v>
      </c>
      <c r="E59" s="98" t="str">
        <f t="shared" si="4"/>
        <v>Træprodukter</v>
      </c>
      <c r="G59" s="168" t="s">
        <v>331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Østdanmark'!J:J,'Resultater - Østdanmark'!$F:$F,'CO2-udledning'!$D$2,'Resultater - Østdanmark'!$A:$A,'CO2-udledning'!$G40)</f>
        <v>-47720.220957654601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>SUMIFS('Resultater - Østdanmark'!J:J,'Resultater - Østdanmark'!$F:$F,'CO2-udledning'!$D$2,'Resultater - Østdanmark'!$A:$A,'CO2-udledning'!$G41)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277149.96974686731</v>
      </c>
      <c r="C6" s="98">
        <v>1374464.7761217668</v>
      </c>
      <c r="D6" s="98">
        <v>39891.423067646123</v>
      </c>
      <c r="E6" s="98">
        <v>34893534.157449789</v>
      </c>
      <c r="F6" s="98">
        <v>272445.90669641481</v>
      </c>
      <c r="G6" s="98">
        <v>880362.49952358752</v>
      </c>
      <c r="H6" s="98">
        <v>2174422.5703875218</v>
      </c>
      <c r="I6" s="98">
        <v>6715369.7025579223</v>
      </c>
      <c r="J6" s="98">
        <v>7453287.6662992202</v>
      </c>
      <c r="K6" s="98">
        <v>1933087.1070249293</v>
      </c>
      <c r="L6" s="98">
        <v>179702.03995268475</v>
      </c>
      <c r="M6" s="98">
        <v>515329.13383230095</v>
      </c>
      <c r="N6" s="98">
        <v>2492719.6880745371</v>
      </c>
      <c r="O6" s="98">
        <v>59201766.640735194</v>
      </c>
    </row>
    <row r="7" spans="1:15" x14ac:dyDescent="0.25">
      <c r="A7" s="78">
        <v>2050</v>
      </c>
      <c r="B7" s="98">
        <v>259588.87988532361</v>
      </c>
      <c r="C7" s="98">
        <v>1289066.8796105941</v>
      </c>
      <c r="D7" s="98">
        <v>37360.953711062597</v>
      </c>
      <c r="E7" s="98">
        <v>34445048.211052902</v>
      </c>
      <c r="F7" s="98">
        <v>253272.83359244262</v>
      </c>
      <c r="G7" s="98">
        <v>824629.38934643252</v>
      </c>
      <c r="H7" s="98">
        <v>2037513.1044893467</v>
      </c>
      <c r="I7" s="98">
        <v>6434256.6740213456</v>
      </c>
      <c r="J7" s="98">
        <v>7381826.6819934137</v>
      </c>
      <c r="K7" s="98">
        <v>1810667.4246186719</v>
      </c>
      <c r="L7" s="98">
        <v>168999.02703766507</v>
      </c>
      <c r="M7" s="98">
        <v>480299.09634922922</v>
      </c>
      <c r="N7" s="98">
        <v>2332752.9322135313</v>
      </c>
      <c r="O7" s="98">
        <v>57755282.087921977</v>
      </c>
    </row>
    <row r="8" spans="1:15" x14ac:dyDescent="0.25">
      <c r="A8" s="78" t="s">
        <v>61</v>
      </c>
      <c r="B8" s="98">
        <v>821864.95161686977</v>
      </c>
      <c r="C8" s="98">
        <v>4166089.6913405759</v>
      </c>
      <c r="D8" s="98">
        <v>118980.26667148025</v>
      </c>
      <c r="E8" s="98">
        <v>87282021.064072877</v>
      </c>
      <c r="F8" s="98">
        <v>806328.16174180224</v>
      </c>
      <c r="G8" s="98">
        <v>2616566.5313550867</v>
      </c>
      <c r="H8" s="98">
        <v>6474254.5155104361</v>
      </c>
      <c r="I8" s="98">
        <v>22259414.346023683</v>
      </c>
      <c r="J8" s="98">
        <v>22782809.642139375</v>
      </c>
      <c r="K8" s="98">
        <v>5748856.7030443773</v>
      </c>
      <c r="L8" s="98">
        <v>558483.45438534976</v>
      </c>
      <c r="M8" s="98">
        <v>1674036.0474599604</v>
      </c>
      <c r="N8" s="98">
        <v>7454895.7562746387</v>
      </c>
      <c r="O8" s="98">
        <v>162764601.13163653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5179259.7430223692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214161.84763488721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397049.43546707177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27136587.733802605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209727.86129070079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1684191.1850670902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1914743.5473328009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5765243.9580687238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30694.935205896549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1491840.6351818247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1055232.9746646266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679822.00220339897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140070.99404320476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4931706.2535388134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199367.45685670001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367729.31318887876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26645387.494822316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193718.4082328768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1568806.308043394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1780122.6131143337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5675509.2625816874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28565.28523056208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1388742.1614343196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983449.7427254892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632878.59681876935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131051.12576863175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1538745.3574347503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62904.656720576306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118504.81295486072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7740799.9666379569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62807.246394125483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488697.95225826954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580195.01499224489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1683984.4240595349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9235.3984880191911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441503.35045841202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323061.108725222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200505.45348915044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39662.610991368812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1505200.0174677742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60139.381804839322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112790.01758245569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7783060.7751449523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59641.575143281989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467199.52830888401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554811.33276094752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1702098.7369561824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8833.9151758514763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422177.75868709118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309381.10479126737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191716.3466485255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37978.9277568201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3010238.4923246857</v>
      </c>
      <c r="C6" s="236">
        <v>827693.20492220437</v>
      </c>
      <c r="D6" s="236">
        <v>3837931.69724689</v>
      </c>
    </row>
    <row r="7" spans="1:4" x14ac:dyDescent="0.25">
      <c r="A7" s="78">
        <v>2030</v>
      </c>
      <c r="B7" s="236">
        <v>2848752.9835421797</v>
      </c>
      <c r="C7" s="236">
        <v>783291.25515859458</v>
      </c>
      <c r="D7" s="236">
        <v>3632044.2387007745</v>
      </c>
    </row>
    <row r="8" spans="1:4" x14ac:dyDescent="0.25">
      <c r="A8" s="78">
        <v>2050</v>
      </c>
      <c r="B8" s="236">
        <v>2609390.000720527</v>
      </c>
      <c r="C8" s="236">
        <v>719934.56565560447</v>
      </c>
      <c r="D8" s="236">
        <v>3329324.5663761315</v>
      </c>
    </row>
    <row r="9" spans="1:4" x14ac:dyDescent="0.25">
      <c r="A9" s="78" t="s">
        <v>61</v>
      </c>
      <c r="B9" s="236">
        <v>8468381.4765873924</v>
      </c>
      <c r="C9" s="236">
        <v>2330919.0257364037</v>
      </c>
      <c r="D9" s="236">
        <v>10799300.502323795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65860</v>
      </c>
      <c r="C5" s="236">
        <v>591230</v>
      </c>
      <c r="D5" s="236">
        <v>2578370</v>
      </c>
      <c r="E5" s="236">
        <v>472920</v>
      </c>
      <c r="F5" s="236">
        <v>561900</v>
      </c>
      <c r="G5" s="236">
        <v>4270280</v>
      </c>
    </row>
    <row r="6" spans="1:7" x14ac:dyDescent="0.25">
      <c r="A6" s="78">
        <v>2030</v>
      </c>
      <c r="B6" s="236">
        <v>65860</v>
      </c>
      <c r="C6" s="236">
        <v>591230</v>
      </c>
      <c r="D6" s="236">
        <v>2438269.9999999995</v>
      </c>
      <c r="E6" s="236">
        <v>551420</v>
      </c>
      <c r="F6" s="236">
        <v>623500</v>
      </c>
      <c r="G6" s="236">
        <v>4270280</v>
      </c>
    </row>
    <row r="7" spans="1:7" x14ac:dyDescent="0.25">
      <c r="A7" s="78">
        <v>2050</v>
      </c>
      <c r="B7" s="236">
        <v>65860</v>
      </c>
      <c r="C7" s="236">
        <v>591230</v>
      </c>
      <c r="D7" s="236">
        <v>2326270</v>
      </c>
      <c r="E7" s="236">
        <v>551420</v>
      </c>
      <c r="F7" s="236">
        <v>735500</v>
      </c>
      <c r="G7" s="236">
        <v>4270280</v>
      </c>
    </row>
    <row r="8" spans="1:7" x14ac:dyDescent="0.25">
      <c r="A8" s="78" t="s">
        <v>61</v>
      </c>
      <c r="B8" s="236">
        <v>197580</v>
      </c>
      <c r="C8" s="236">
        <v>1773690</v>
      </c>
      <c r="D8" s="236">
        <v>7342910</v>
      </c>
      <c r="E8" s="236">
        <v>1575760</v>
      </c>
      <c r="F8" s="236">
        <v>1920900</v>
      </c>
      <c r="G8" s="236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1" width="9" bestFit="1" customWidth="1"/>
    <col min="12" max="12" width="8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76853.212866422313</v>
      </c>
      <c r="C6" s="236">
        <v>5114.7808931059071</v>
      </c>
      <c r="D6" s="236">
        <v>288931.41565564787</v>
      </c>
      <c r="E6" s="236">
        <v>12752.078568827996</v>
      </c>
      <c r="F6" s="236">
        <v>18942.69646674622</v>
      </c>
      <c r="G6" s="236">
        <v>55075.520801981496</v>
      </c>
      <c r="H6" s="236">
        <v>1337821.3326830014</v>
      </c>
      <c r="I6" s="236">
        <v>180140.67588310441</v>
      </c>
      <c r="J6" s="236">
        <v>69938.636069140397</v>
      </c>
      <c r="K6" s="236">
        <v>161431.62233269325</v>
      </c>
      <c r="L6" s="236">
        <v>33966.356863719026</v>
      </c>
      <c r="M6" s="236">
        <v>221005.01507630604</v>
      </c>
      <c r="N6" s="236">
        <v>8579.6273865744097</v>
      </c>
      <c r="O6" s="236">
        <v>107817.02845272887</v>
      </c>
      <c r="P6" s="236">
        <v>2578370</v>
      </c>
    </row>
    <row r="7" spans="1:16" x14ac:dyDescent="0.25">
      <c r="A7" s="78">
        <v>2030</v>
      </c>
      <c r="B7" s="236">
        <v>73355.65559030803</v>
      </c>
      <c r="C7" s="236">
        <v>4800.5763036916524</v>
      </c>
      <c r="D7" s="236">
        <v>611635.55330061878</v>
      </c>
      <c r="E7" s="236">
        <v>12188.369316877988</v>
      </c>
      <c r="F7" s="236">
        <v>17979.036904897468</v>
      </c>
      <c r="G7" s="236">
        <v>52180.214949630557</v>
      </c>
      <c r="H7" s="236">
        <v>955894.59838454169</v>
      </c>
      <c r="I7" s="236">
        <v>161292.62837529014</v>
      </c>
      <c r="J7" s="236">
        <v>66253.853061968635</v>
      </c>
      <c r="K7" s="236">
        <v>120314.65968415652</v>
      </c>
      <c r="L7" s="236">
        <v>31449.965814834726</v>
      </c>
      <c r="M7" s="236">
        <v>226191.23191640226</v>
      </c>
      <c r="N7" s="236">
        <v>7387.694680383488</v>
      </c>
      <c r="O7" s="236">
        <v>97664.580818476839</v>
      </c>
      <c r="P7" s="236">
        <v>2438588.619102079</v>
      </c>
    </row>
    <row r="8" spans="1:16" x14ac:dyDescent="0.25">
      <c r="A8" s="78">
        <v>2050</v>
      </c>
      <c r="B8" s="236">
        <v>69886.312921356031</v>
      </c>
      <c r="C8" s="236">
        <v>4573.1948696079771</v>
      </c>
      <c r="D8" s="236">
        <v>583084.65144162241</v>
      </c>
      <c r="E8" s="236">
        <v>11605.287622279115</v>
      </c>
      <c r="F8" s="236">
        <v>17129.300187766592</v>
      </c>
      <c r="G8" s="236">
        <v>49727.719169388787</v>
      </c>
      <c r="H8" s="236">
        <v>910758.59838454146</v>
      </c>
      <c r="I8" s="236">
        <v>153676.62837529014</v>
      </c>
      <c r="J8" s="236">
        <v>63121.361997482541</v>
      </c>
      <c r="K8" s="236">
        <v>114602.65968415646</v>
      </c>
      <c r="L8" s="236">
        <v>29941.671625575891</v>
      </c>
      <c r="M8" s="236">
        <v>218264.67415784561</v>
      </c>
      <c r="N8" s="236">
        <v>7060.9336186244273</v>
      </c>
      <c r="O8" s="236">
        <v>93140.306399637528</v>
      </c>
      <c r="P8" s="236">
        <v>2326573.3004551749</v>
      </c>
    </row>
    <row r="9" spans="1:16" x14ac:dyDescent="0.25">
      <c r="A9" s="78" t="s">
        <v>61</v>
      </c>
      <c r="B9" s="236">
        <v>220095.18137808636</v>
      </c>
      <c r="C9" s="236">
        <v>14488.552066405537</v>
      </c>
      <c r="D9" s="236">
        <v>1483651.6203978891</v>
      </c>
      <c r="E9" s="236">
        <v>36545.735507985097</v>
      </c>
      <c r="F9" s="236">
        <v>54051.03355941028</v>
      </c>
      <c r="G9" s="236">
        <v>156983.45492100084</v>
      </c>
      <c r="H9" s="236">
        <v>3204474.5294520846</v>
      </c>
      <c r="I9" s="236">
        <v>495109.93263368466</v>
      </c>
      <c r="J9" s="236">
        <v>199313.85112859157</v>
      </c>
      <c r="K9" s="236">
        <v>396348.94170100626</v>
      </c>
      <c r="L9" s="236">
        <v>95357.99430412965</v>
      </c>
      <c r="M9" s="236">
        <v>665460.92115055397</v>
      </c>
      <c r="N9" s="236">
        <v>23028.255685582328</v>
      </c>
      <c r="O9" s="236">
        <v>298621.91567084327</v>
      </c>
      <c r="P9" s="236">
        <v>7343531.9195572548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1793018.9539286131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488542.44754899049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325214.84176963597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56865.440000000002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83774.559999999998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37531.780740740738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74459.330370370357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1695786.3613360205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585775.04014158307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325214.84176963597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56865.440000000002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83774.559999999998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37531.780740740738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74459.330370370357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536817.04607138666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135467.55245100948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76609.15823036409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8636.5600000000013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12723.44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5700.2192592592592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11308.669629629629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522049.63866397925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150234.95985841687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76609.15823036409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8636.5600000000013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12723.44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5700.2192592592592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11308.669629629629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6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6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6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11120896.351842804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1256864.7532891978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19414612.749889471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8838199.059990095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960975.46611286432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14893959.058008583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6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1770035.248157196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414092.04671080224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570294.93435708468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3997767.4898431636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1871155.0736210924</v>
      </c>
      <c r="J16" s="76">
        <f t="shared" si="2"/>
        <v>1871155.0736210924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6114588.0501105273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43835.265633911426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169204.1253468981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72033.659146159596</v>
      </c>
      <c r="J17" s="76">
        <f t="shared" si="2"/>
        <v>72033.659146159596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4052732.540009906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72171.319236256371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317553.80463952804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243214.4589734145</v>
      </c>
      <c r="J18" s="76">
        <f t="shared" si="2"/>
        <v>243214.4589734145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709981.33388713561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360741.64085235406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17900000.219093811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17900000.219093811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10635241.741991416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7367.2575493194499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152870.59414837859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152870.59414837859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30987.369727135854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1316061.4645487806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1316061.4645487806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19057.349691034611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1548480.7719103347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1548480.7719103347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96228.425648341828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4283127.2256076951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4283127.2256076951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1503412.0023410614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2872.9723507791814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24391.535258115255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24391.535258115255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71763.61559548488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39579.133862000126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1179297.6366550995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1179297.6366550995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1423233.2884913548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57164.365090069885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816813.6531768695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194587.49876659786</v>
      </c>
      <c r="J26" s="76">
        <f t="shared" si="2"/>
        <v>194587.49876659786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1434884.7338702637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10736.453060017713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536822.65300088562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536822.65300088562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52324.734860002864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4128.6374128486204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100698.47348411271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100698.47348411271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1155366.5402938179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100152.3337600521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1381100.6825511185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1381100.6825511185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418353.46042417659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2932657.7575734779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1372630.4634322664</v>
      </c>
      <c r="J30" s="76">
        <f t="shared" si="2"/>
        <v>1372630.4634322664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32156.405329522484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124123.72457195679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52842.009906303036</v>
      </c>
      <c r="J31" s="76">
        <f t="shared" si="2"/>
        <v>52842.009906303036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52942.993750950387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232949.17250418171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178415.7712209528</v>
      </c>
      <c r="J32" s="76">
        <f t="shared" si="2"/>
        <v>178415.7712209528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53136.997658938686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264630.64052955853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13130972.383076696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13130972.383076696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27204.384404515113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5404.4276108966669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112141.87292610585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112141.87292610585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362313.71150864527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22731.524644182758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965428.29798335978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965428.29798335978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121664.26612973634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13979.973710876255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1135925.0280897063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1135925.0280897063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46643.265139997136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70590.658334600521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3141990.2024730695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3141990.2024730695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630180.45970618213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2107.537437635528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17892.992845525634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17892.992845525634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29034.218286413503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865101.92786632653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865101.92786632653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41934.284363479273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599193.15031876799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142744.30397328344</v>
      </c>
      <c r="J40" s="76">
        <f t="shared" si="2"/>
        <v>142744.30397328344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7875.9813909336926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393799.06954668462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393799.06954668462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3028.6605130889202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73869.768611924883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73869.768611924883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73469.134782530236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1013139.3686510921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1013139.3686510921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6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6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6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6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152291.70407614647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715268.44653443713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334781.39640044328</v>
      </c>
      <c r="J58" s="76">
        <f t="shared" si="2"/>
        <v>334781.39640044328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11705.780465233727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25755.058179607247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10964.455378353152</v>
      </c>
      <c r="J59" s="76">
        <f t="shared" si="2"/>
        <v>10964.455378353152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19272.647414102903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46639.806742129033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35721.427983796624</v>
      </c>
      <c r="J60" s="76">
        <f t="shared" si="2"/>
        <v>35721.427983796624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96332.539370288971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3728416.0707719163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3728416.0707719163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1967.3543266144493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23268.8832980324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23268.8832980324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8274.8750800375929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200321.59096536084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200321.59096536084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5089.0795004071579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235698.81815109611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235698.81815109611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25696.863218803875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949326.92695123726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949326.92695123726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767.19926603777083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3712.7074081365845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3712.7074081365845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10569.221956174357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179504.36598904245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179504.36598904245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15265.186568441022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124329.61144616365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29618.736195014739</v>
      </c>
      <c r="J68" s="76">
        <f t="shared" si="2"/>
        <v>29618.736195014739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2867.0651512746385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81711.356811327205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81711.356811327205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1102.5123830427694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15327.611178887284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15327.611178887284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26744.704637287185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368809.47694819031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368809.47694819031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265048.44319423975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1244853.0231503858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582653.45748553809</v>
      </c>
      <c r="J72" s="76">
        <f t="shared" ref="J72:J139" si="15">IF(I72&lt;&gt;0,I72,H72)</f>
        <v>582653.45748553809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20372.737356280617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44824.096731288621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19082.535362872713</v>
      </c>
      <c r="J73" s="76">
        <f t="shared" si="15"/>
        <v>19082.535362872713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33542.110677186654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81171.907838791725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62169.564213730569</v>
      </c>
      <c r="J74" s="76">
        <f t="shared" si="15"/>
        <v>62169.564213730569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167657.12711623736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6488934.3850560039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6488934.3850560039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3423.9829716521344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40497.158597215617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40497.158597215617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14401.590493032652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348639.64616887126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348639.64616887126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8857.0326732978465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410210.16340085189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410210.16340085189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44722.81423624888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1652208.3431740133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1652208.3431740133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1335.2334082584114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6461.5950325849299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6461.5950325849299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18394.671215036771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312409.35309369088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312409.35309369088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26567.526836602257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216383.22426462296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51548.440970522613</v>
      </c>
      <c r="J82" s="76">
        <f t="shared" si="15"/>
        <v>51548.440970522613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4989.8394629679997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142210.42469458797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142210.42469458797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1918.8122721494169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26676.170612808965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26676.170612808965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46546.477175528751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641875.92025054153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641875.92025054153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6">
        <f t="shared" si="15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6">
        <f t="shared" si="15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6">
        <f t="shared" si="15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6">
        <f t="shared" si="15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7661.8786419114076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64451.723135758752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30166.629013691891</v>
      </c>
      <c r="J100" s="76">
        <f t="shared" si="15"/>
        <v>30166.629013691891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656.80844004057417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3042.3366942679399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1295.1849961899777</v>
      </c>
      <c r="J101" s="76">
        <f t="shared" si="15"/>
        <v>1295.1849961899777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703.29931090502282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3713.4203615785209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2844.1086549329884</v>
      </c>
      <c r="J102" s="76">
        <f t="shared" si="15"/>
        <v>2844.1086549329884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6490.2942906279959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386458.08324115339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386458.08324115339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30.355350523173726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755.84822802702581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755.84822802702581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479.23230655887977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24424.112538083351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24424.112538083351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12.572812639090197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1225.90552848729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1225.90552848729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1622.9611736184906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86685.602205310832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86685.602205310832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27.648538779246895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281.6833130829674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281.6833130829674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488.98933052674028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17483.878162176712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17483.878162176712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1206.9698702861729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20695.469300907916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4930.2305261449583</v>
      </c>
      <c r="J110" s="76">
        <f t="shared" si="15"/>
        <v>4930.2305261449583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138.67246392907253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8320.3478357443528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8320.3478357443528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227.7513200970759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6665.8922955241724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6665.8922955241724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25133.097627836476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415902.49954543804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415902.49954543804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5942.8239222737075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49991.034834166428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23398.303854131595</v>
      </c>
      <c r="J114" s="76">
        <f t="shared" si="15"/>
        <v>23398.303854131595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509.44384429073193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2359.7438867546707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1004.5912678679017</v>
      </c>
      <c r="J115" s="76">
        <f t="shared" si="15"/>
        <v>1004.5912678679017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545.50380718668021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2880.2601019456715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2205.9912120801896</v>
      </c>
      <c r="J116" s="76">
        <f t="shared" si="15"/>
        <v>2205.9912120801896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5034.1016838813175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299750.55066502915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299750.55066502915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23.544682928195929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586.2626049120787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586.2626049120787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371.70951784144017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18944.205077544382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18944.205077544382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9.7519179321287925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950.85566368673085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950.85566368673085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1258.8260579777664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67236.417408708454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67236.417408708454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21.445184053741457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218.48353513951798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218.48353513951798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379.27741054196122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13561.113958127353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13561.113958127353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936.16849780993959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16052.137575156699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3824.0610798540411</v>
      </c>
      <c r="J124" s="76">
        <f t="shared" si="15"/>
        <v>3824.0610798540411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107.5592650985582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6453.5559059134921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6453.5559059134921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176.65197488232016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5170.3017038727858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5170.3017038727858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19494.118975798079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322588.6808115067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322588.6808115067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6">
        <f t="shared" si="15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6">
        <f t="shared" si="15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6">
        <f t="shared" si="15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6">
        <f t="shared" si="15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2046.0300179883995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11531.507022583339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5397.3218619201325</v>
      </c>
      <c r="J142" s="76">
        <f t="shared" si="29"/>
        <v>5397.3218619201325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175.39429260078944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463.08302709630834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197.14392224089337</v>
      </c>
      <c r="J143" s="76">
        <f t="shared" si="29"/>
        <v>197.14392224089337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187.80922656107916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545.39799393337398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417.72032355357118</v>
      </c>
      <c r="J144" s="76">
        <f t="shared" si="29"/>
        <v>417.72032355357118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1733.1698353409072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80495.8944469204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80495.8944469204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8.106100511333505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115.04988455735641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115.04988455735641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127.97431682690761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3717.6660918518392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3717.6660918518392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3.3574470795461528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186.59869045250284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186.59869045250284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433.3959638944005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19213.292535528009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19213.292535528009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7.3832728159399634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42.875846565813916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42.875846565813916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130.57983498472259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2661.272580374949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2661.272580374949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322.30954062684162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3150.1183248717425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750.44490658493794</v>
      </c>
      <c r="J152" s="76">
        <f t="shared" si="29"/>
        <v>750.44490658493794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37.031129978393189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1266.4646452610471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1266.4646452610471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60.818770347797177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1014.6350955583725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1014.6350955583725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6711.5487721635291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111062.70908176208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111062.70908176208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3765.0847376260986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21220.168184650196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9932.099718825526</v>
      </c>
      <c r="J156" s="76">
        <f t="shared" si="29"/>
        <v>9932.099718825526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322.75888835063154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852.16092737887129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362.78234738447645</v>
      </c>
      <c r="J157" s="76">
        <f t="shared" si="29"/>
        <v>362.78234738447645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345.60473027942174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1003.6361367314408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768.6849171226105</v>
      </c>
      <c r="J158" s="76">
        <f t="shared" si="29"/>
        <v>768.6849171226105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3189.3624420875854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148127.76985629729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148127.76985629729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14.9167681063113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211.71368973287628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211.71368973287628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235.49710554434719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6841.2133443590501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6841.2133443590501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6.1783417865075565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343.37711338882144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343.37711338882144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797.53107953512472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35356.115916707968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35356.115916707968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13.586627541445402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78.899719993580078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78.899719993580078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240.29175496950162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4897.2481766830833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4897.2481766830833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593.11091310307495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5796.817408549935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1380.9614909707609</v>
      </c>
      <c r="J166" s="76">
        <f t="shared" si="29"/>
        <v>1380.9614909707609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68.144328808907531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2330.5360452646373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2330.5360452646373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111.91811556255288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1867.1217327996628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1867.1217327996628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12350.527424201924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204376.52781569344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204376.52781569344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6">
        <f t="shared" si="29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6">
        <f t="shared" si="29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6">
        <f t="shared" si="29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6">
        <f t="shared" si="29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3662.942628167918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35948.118952839941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16825.517075876731</v>
      </c>
      <c r="J184" s="76">
        <f t="shared" si="29"/>
        <v>16825.517075876731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210.90938785747409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1139.7543319817901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485.21674570294493</v>
      </c>
      <c r="J185" s="76">
        <f t="shared" si="29"/>
        <v>485.21674570294493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273.11810681640105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1682.4075379890303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1288.5559333457982</v>
      </c>
      <c r="J186" s="76">
        <f t="shared" si="29"/>
        <v>1288.5559333457982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6298.9657026268824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437576.54943008424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437576.54943008424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7.3213666207429391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212.68570033258234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212.68570033258234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387.5220821847393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23041.775953310385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23041.775953310385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4.1906880921254537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476.71266213348292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476.71266213348292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521.15308935917199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32475.133610327444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32475.133610327444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14.934663861115773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177.5134146532221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177.5134146532221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264.13299239417614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11018.128408035105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11018.128408035105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840.38287254815123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16811.359390705387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4004.9286174154681</v>
      </c>
      <c r="J194" s="76">
        <f t="shared" si="29"/>
        <v>4004.9286174154681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74.905464339689473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5243.3825037782626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5243.3825037782626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176.81613472378581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6037.6241125195156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6037.6241125195156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16884.321517134074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325968.71120979049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325968.71120979049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2841.1077875232327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27882.631826753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13050.465826511743</v>
      </c>
      <c r="J198" s="76">
        <f t="shared" si="29"/>
        <v>13050.465826511743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163.5887768745468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884.03375023005083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376.35126039165488</v>
      </c>
      <c r="J199" s="76">
        <f t="shared" si="29"/>
        <v>376.35126039165488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211.84005837890712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1304.9347596140678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999.4495323884147</v>
      </c>
      <c r="J200" s="76">
        <f t="shared" si="29"/>
        <v>999.4495323884147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4885.7004675571425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339399.8400802596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339399.8400802596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5.6787107615467285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164.96654762293247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164.96654762293247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300.57582585806449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17872.015956760617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17872.015956760617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3.2504458251844333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369.75519255560704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369.75519255560704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404.22475888209794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25188.86162497905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25188.86162497905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11.583853231433325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137.68567950881649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137.68567950881649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204.87088600900333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8546.0498843948735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8546.0498843948735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651.83066350452339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13039.484625418308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3106.3642099971566</v>
      </c>
      <c r="J208" s="76">
        <f t="shared" si="29"/>
        <v>3106.3642099971566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58.099326051955742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4066.9528236369024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4066.9528236369024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137.14484454668226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4682.994691837931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4682.994691837931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13096.076629889445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252832.85541664565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252832.85541664565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6">
        <f t="shared" si="42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6">
        <f t="shared" si="42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6">
        <f t="shared" si="42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6">
        <f t="shared" si="42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978.15312949556619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6431.7285246225556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3010.3705359495875</v>
      </c>
      <c r="J226" s="76">
        <f t="shared" si="42"/>
        <v>3010.3705359495875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56.321296486144433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173.48536314034095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73.856269696016213</v>
      </c>
      <c r="J227" s="76">
        <f t="shared" si="42"/>
        <v>73.856269696016213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72.933528592553259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247.09879487157048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189.25296699213578</v>
      </c>
      <c r="J228" s="76">
        <f t="shared" si="42"/>
        <v>189.25296699213578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1682.0774006202294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91143.431235703145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91143.431235703145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1.9550996013950637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32.373516749700158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32.373516749700158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103.48399522359757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3507.2565696747861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3507.2565696747861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1.1190824121923435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72.561838093673771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72.561838093673771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139.16885331013916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7197.8993778894501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7197.8993778894501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3.9881564295811422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27.019839573540828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27.019839573540828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70.534141355802859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1677.1017704062715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1677.1017704062715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224.41605566959052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2558.906517782732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609.6019782924302</v>
      </c>
      <c r="J236" s="76">
        <f t="shared" si="42"/>
        <v>609.6019782924302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20.002774216759306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798.11069124869618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798.11069124869618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47.217025512596194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919.00454534272581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919.00454534272581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4508.7935050881479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87046.76740923179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87046.76740923179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1799.9879701402513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11835.604899100807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5539.654873024132</v>
      </c>
      <c r="J240" s="76">
        <f t="shared" si="42"/>
        <v>5539.654873024132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103.64190746907171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319.2460947388322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135.9095963234515</v>
      </c>
      <c r="J241" s="76">
        <f t="shared" si="42"/>
        <v>135.9095963234515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134.21157703004721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454.70882297780003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348.26148751869692</v>
      </c>
      <c r="J242" s="76">
        <f t="shared" si="42"/>
        <v>348.26148751869692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3095.3426356899681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167721.26452856639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167721.26452856639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3.597755460591272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59.573433794200575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59.573433794200575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190.4302515502724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6454.0197677081542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6454.0197677081542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2.0593246791333639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133.527595753063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133.527595753063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256.09718378721317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13245.505125728614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13245.505125728614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7.3389670592635889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49.721648605851996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49.721648605851996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129.79624774097564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3086.1865288812019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3086.1865288812019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412.96826471321828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4708.8751339963646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1121.7836905208683</v>
      </c>
      <c r="J250" s="76">
        <f t="shared" si="42"/>
        <v>1121.7836905208683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36.80891250449303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1468.6756089292721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1468.6756089292721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86.888315689699709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1691.1433151312283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1691.1433151312283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8297.0383923327736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160182.62320237653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160182.62320237653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6">
        <f t="shared" si="42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6">
        <f t="shared" si="42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6">
        <f t="shared" si="42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6">
        <f t="shared" si="42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170742.22298669259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1196902.9831367151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560210.44125713944</v>
      </c>
      <c r="J268" s="76">
        <f t="shared" si="42"/>
        <v>560210.44125713944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13123.964897187461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50658.504503143602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21566.362160215107</v>
      </c>
      <c r="J269" s="76">
        <f t="shared" si="42"/>
        <v>21566.362160215107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21607.576606256382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95073.337067528089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72816.668860019752</v>
      </c>
      <c r="J270" s="76">
        <f t="shared" si="42"/>
        <v>72816.668860019752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108003.46622828607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5359131.9942475548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5359131.9942475548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2205.7041988359533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45768.362125846033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45768.362125846033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9277.396787131378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394019.3862979025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394019.3862979025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5705.634145514985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463604.06400273996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463604.06400273996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28810.102141675179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1282337.6463259624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1282337.6463259624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860.14736621208704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7302.6511391406202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7302.6511391406202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11849.709496550484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353073.27474763698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353073.27474763698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17114.601907002136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244548.16360331836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58258.104891435258</v>
      </c>
      <c r="J278" s="76">
        <f t="shared" si="55"/>
        <v>58258.104891435258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3214.4172287384959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160720.86143692481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160720.86143692481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1236.0845017332977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30148.402481299941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30148.402481299941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29984.89215544975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413491.66282365209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413491.66282365209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128790.55866223614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902821.81622227526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422565.75108283595</v>
      </c>
      <c r="J282" s="76">
        <f t="shared" si="55"/>
        <v>422565.75108283595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9899.3836521859339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38211.620897437708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16267.469067347753</v>
      </c>
      <c r="J283" s="76">
        <f t="shared" si="55"/>
        <v>16267.469067347753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16298.557051548494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71713.651026813372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54925.485321436361</v>
      </c>
      <c r="J284" s="76">
        <f t="shared" si="55"/>
        <v>54925.485321436361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81466.824723741767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4042383.8427920663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4042383.8427920663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1663.7587999182997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34522.995098304724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34522.995098304724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6997.9240884020192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297208.13046350796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297208.13046350796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4303.7498063995399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349695.73053789698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349695.73053789698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21731.409402064659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967265.03248589812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967265.03248589812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648.80764633678018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5508.3769173992641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5508.3769173992641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8938.2150434159812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266322.55049764359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266322.55049764359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12909.514133808421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184462.24993070407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43943.986111483864</v>
      </c>
      <c r="J292" s="76">
        <f t="shared" si="55"/>
        <v>43943.986111483864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2424.6292652228931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121231.46326114466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121231.46326114466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932.37636682503978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22740.886995732679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22740.886995732679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22617.551444368019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311896.03441783501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311896.03441783501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6">
        <f t="shared" si="55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6">
        <f t="shared" si="55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6">
        <f t="shared" si="55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6">
        <f t="shared" si="55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45595.046580076254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214146.25527264416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100231.1547803611</v>
      </c>
      <c r="J310" s="76">
        <f t="shared" si="55"/>
        <v>100231.1547803611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3504.626918493298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7710.8801460689547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3282.6794915316927</v>
      </c>
      <c r="J311" s="76">
        <f t="shared" si="55"/>
        <v>3282.6794915316927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5770.0927433843399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13963.624438990104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10694.739957822521</v>
      </c>
      <c r="J312" s="76">
        <f t="shared" si="55"/>
        <v>10694.739957822521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28841.273045110807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1116261.0954287506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1116261.0954287506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589.01180931463728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6966.5371746688725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6966.5371746688725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2477.4383936893764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59974.85106932505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59974.85106932505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1523.6339909543344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70566.539770904099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70566.539770904099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7693.4569911791195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284221.68966222758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284221.68966222758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229.6939710760744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1111.5580342284468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1111.5580342284468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3164.349432756891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53742.322854993843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53742.322854993843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4570.2876388697541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37223.396110507652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8867.6376999462063</v>
      </c>
      <c r="J320" s="76">
        <f t="shared" si="55"/>
        <v>8867.6376999462063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858.37879294539891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24463.795598943871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24463.795598943871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330.08431920107205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4588.9771206002688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4588.9771206002688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8007.1732147522125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110418.91863143303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110418.91863143303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81595.44571934751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383229.32991005946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179370.48786440332</v>
      </c>
      <c r="J324" s="76">
        <f t="shared" si="55"/>
        <v>179370.48786440332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6271.7689078848562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13799.145951128259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5874.5788491492222</v>
      </c>
      <c r="J325" s="76">
        <f t="shared" si="55"/>
        <v>5874.5788491492222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10325.974520314447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24988.858339160965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19138.966601963381</v>
      </c>
      <c r="J326" s="76">
        <f t="shared" si="55"/>
        <v>19138.966601963381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51613.425267505962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1997625.3661834439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1997625.3661834439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1054.0768070185129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12467.093435011462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12467.093435011462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4433.5449821350066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107329.08664450099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107329.08664450099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2726.6469480786145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126283.63599468337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126283.63599468337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13767.966027085929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508634.09932844364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508634.09932844364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411.05302779071883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1989.2089173876257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1989.2089173876257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5662.8191381295246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96175.552307966631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96175.552307966631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8178.841451653544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66613.806205691973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15869.242491814337</v>
      </c>
      <c r="J334" s="76">
        <f t="shared" si="55"/>
        <v>15869.242491814337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1536.1273967207819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43779.630806542285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43779.630806542285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590.70840300332031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8212.2875539485995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8212.2875539485995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14329.382606557581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197602.18614442906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197602.18614442906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6">
        <f t="shared" si="55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6">
        <f t="shared" si="55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6">
        <f t="shared" si="55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6">
        <f t="shared" si="60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1526.6125996774585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12841.86518848678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6010.635001471238</v>
      </c>
      <c r="J352" s="76">
        <f t="shared" si="60"/>
        <v>6010.635001471238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41.282044957676888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191.21843224395934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81.405600144115468</v>
      </c>
      <c r="J353" s="76">
        <f t="shared" si="60"/>
        <v>81.405600144115468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166.74462839012355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880.41163789985239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674.30727346749688</v>
      </c>
      <c r="J354" s="76">
        <f t="shared" si="60"/>
        <v>674.30727346749688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490.29907405393533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29194.368065467526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29194.368065467526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9.2857334834920593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231.21476373895231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231.21476373895231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15.786596774609263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804.56515752246696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804.56515752246696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44.104430053355863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4300.3794127248239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4300.3794127248239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47.022128502197781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2511.5459275593876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2511.5459275593876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10.143639730031367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103.34340156955957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103.34340156955957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72.430507456371714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2589.7623701271823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2589.7623701271823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525.84204935186608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9016.420589610736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2147.9596031925025</v>
      </c>
      <c r="J362" s="76">
        <f t="shared" si="60"/>
        <v>2147.9596031925025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15.895025733194521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953.70154399167131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953.70154399167131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33.735181237431256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987.37115816871983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987.37115816871983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3817.1428137840389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63166.079282498278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63166.079282498278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1184.0946981045329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9960.6046004553282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4662.0609832431173</v>
      </c>
      <c r="J366" s="76">
        <f t="shared" si="60"/>
        <v>4662.0609832431173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32.01981339052611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148.31577562491697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63.141061161836546</v>
      </c>
      <c r="J367" s="76">
        <f t="shared" si="60"/>
        <v>63.141061161836546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129.33302820628569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682.87838892918853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523.01655808086537</v>
      </c>
      <c r="J368" s="76">
        <f t="shared" si="60"/>
        <v>523.01655808086537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380.29329392112112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22644.183893239235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22644.183893239235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7.2023431407141114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179.33834420378139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179.33834420378139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12.244642514989296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624.04917757345447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624.04917757345447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34.208955042120508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3335.5262910323108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3335.5262910323108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36.472025099757573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1948.0438046282518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1948.0438046282518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7.8677655525378967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80.156795449256094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80.156795449256094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56.179662003464955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2008.711242437091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2008.711242437091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407.86168200728787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6993.4545400020252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1666.0333986633696</v>
      </c>
      <c r="J376" s="76">
        <f t="shared" si="60"/>
        <v>1666.0333986633696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12.328743848234502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739.72463089407017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739.72463089407017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26.166199107276817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765.83997387151658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765.83997387151658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2960.710902467627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48993.844014034294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48993.844014034294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6">
        <f t="shared" si="60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6">
        <f t="shared" si="60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6">
        <f t="shared" si="60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6">
        <f t="shared" si="60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407.66701624500939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2297.6276102375227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1075.4046029716724</v>
      </c>
      <c r="J394" s="76">
        <f t="shared" si="60"/>
        <v>1075.4046029716724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11.02396776755554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29.105920658610838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12.39098611549292</v>
      </c>
      <c r="J395" s="76">
        <f t="shared" si="60"/>
        <v>12.39098611549292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44.527527903966288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129.30794103311811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99.036952037265166</v>
      </c>
      <c r="J396" s="76">
        <f t="shared" si="60"/>
        <v>99.036952037265166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130.92958922878597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6080.9357396102896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6080.9357396102896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2.4796646272023302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35.193880053882673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35.193880053882673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4.2156568111174844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122.46523185408779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122.46523185408779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11.777658200146577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654.5734138694479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654.5734138694479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12.556801134767571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556.66760563447065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556.66760563447065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2.7087601291119356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15.730203471373668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15.730203471373668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19.341861102213823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394.19535650940838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394.19535650940838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140.42099437717718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1372.4159288737478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326.94725636417917</v>
      </c>
      <c r="J404" s="76">
        <f t="shared" si="60"/>
        <v>326.94725636417917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4.2446117077496384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145.16572040503763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145.16572040503763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9.0086513634525787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150.29067152686738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150.29067152686738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1019.3307862159628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16867.885850301751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16867.885850301751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750.18491781793512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4228.0722042185944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1978.9491951845132</v>
      </c>
      <c r="J408" s="76">
        <f t="shared" si="64"/>
        <v>1978.9491951845132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20.286199334706314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53.560434931464989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22.801773335391896</v>
      </c>
      <c r="J409" s="76">
        <f t="shared" si="64"/>
        <v>22.801773335391896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81.93912808780415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237.95122796698331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182.24684549991247</v>
      </c>
      <c r="J410" s="76">
        <f t="shared" si="64"/>
        <v>182.24684549991247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240.93536936160018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11190.079393948356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11190.079393948356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4.5630549699802776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64.763439188930079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64.763439188930079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7.7576110707374477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225.35934042502481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225.35934042502481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21.673133211381927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1204.5396932341794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1204.5396932341794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23.106904537207772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1024.3743676673134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1024.3743676673134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4.984634306605404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28.946568959946632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28.946568959946632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35.592706555120579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725.39449929276032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725.39449929276032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258.40136172175528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2525.506577150712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601.64519294578463</v>
      </c>
      <c r="J418" s="76">
        <f t="shared" si="64"/>
        <v>601.64519294578463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7.8108935927096583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267.13256087067032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267.13256087067032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16.577633493607014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276.56344657627307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276.56344657627307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1875.7626975323744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31040.121118765732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31040.121118765732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6">
        <f t="shared" si="64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6">
        <f t="shared" si="64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6">
        <f t="shared" si="64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6">
        <f t="shared" si="64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795.86379236536447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7810.6072582736861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3655.7547272349984</v>
      </c>
      <c r="J436" s="76">
        <f t="shared" si="64"/>
        <v>3655.7547272349984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14.455510907474943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78.117580943994597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33.256252987364853</v>
      </c>
      <c r="J437" s="76">
        <f t="shared" si="64"/>
        <v>33.256252987364853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70.611788319212792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434.9686160463508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333.14246302990006</v>
      </c>
      <c r="J438" s="76">
        <f t="shared" si="64"/>
        <v>333.14246302990006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518.89679005879543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36046.722211804401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36046.722211804401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2.4422390673190355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70.947044905617972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70.947044905617972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13.920471343561376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827.70091462790481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827.70091462790481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16.030614315818145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1823.5661204393964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1823.5661204393964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16.465484986344034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1026.0302314390422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1026.0302314390422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5.9749206414668166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71.017906744474587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71.017906744474587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42.663831286489632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1779.6927495970508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1779.6927495970508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399.25570686437896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7986.8728839456644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1902.6929966328842</v>
      </c>
      <c r="J446" s="76">
        <f t="shared" si="64"/>
        <v>1902.6929966328842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9.362666644078109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655.3866650854676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655.3866650854676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28.560058598537843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975.22151312080427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975.22151312080427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2564.3423464589291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49507.193340736092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49507.193340736092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617.3000911641235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6058.1830946847076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2835.5325974671778</v>
      </c>
      <c r="J450" s="76">
        <f t="shared" si="64"/>
        <v>2835.5325974671778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11.212205262520254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60.590757238659457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25.794725426399356</v>
      </c>
      <c r="J451" s="76">
        <f t="shared" si="64"/>
        <v>25.794725426399356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54.768999148916187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337.37703475732371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258.39707092063418</v>
      </c>
      <c r="J452" s="76">
        <f t="shared" si="64"/>
        <v>258.39707092063418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402.47469338448758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27959.11200003358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27959.11200003358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1.8942869538265403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55.029036008660995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55.029036008660995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10.797209663086534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641.99408863404142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641.99408863404142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12.43391114597727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1414.4223461220947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1414.4223461220947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12.771212210726548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795.82531769921411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795.82531769921411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4.6343596631201427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55.08399895584602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55.08399895584602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33.091575713335565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1380.3926087719829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1380.3926087719829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309.67683994352745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6194.9009449503001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1475.7959484348739</v>
      </c>
      <c r="J460" s="76">
        <f t="shared" si="64"/>
        <v>1475.7959484348739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7.2620152196538577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508.34106537577003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508.34106537577003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22.152191047832588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756.41627968208832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756.41627968208832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1988.9945734815028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38399.52923563389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38399.52923563389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6">
        <f t="shared" si="64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6">
        <f t="shared" si="64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6">
        <f t="shared" si="64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6">
        <f t="shared" si="68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212.52766919359556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1397.4501854621842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654.0765593055753</v>
      </c>
      <c r="J478" s="76">
        <f t="shared" si="68"/>
        <v>654.0765593055753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3.8602033031776197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11.890507030711959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5.0620321979107175</v>
      </c>
      <c r="J479" s="76">
        <f t="shared" si="68"/>
        <v>5.0620321979107175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18.856189882030051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63.884771320317832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48.929346354231413</v>
      </c>
      <c r="J480" s="76">
        <f t="shared" si="68"/>
        <v>48.929346354231413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138.56633057206236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7508.2221647004226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7508.2221647004226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0.65217614065369278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10.799058625014171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10.799058625014171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3.717326202176515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125.98679357167705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125.98679357167705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4.2808193172811873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277.57036910293232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277.57036910293232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4.3969472915578383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227.41284002669215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227.41284002669215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1.5955443252087163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10.809844714175556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10.809844714175556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11.392960339655529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270.89227413176371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270.89227413176371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106.61734533737112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1215.7054408538929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289.61450393567219</v>
      </c>
      <c r="J488" s="76">
        <f t="shared" ref="J488:J505" si="70">IF(I488&lt;&gt;0,I488,H488)</f>
        <v>289.61450393567219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2.5002088779395759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99.758334229789057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99.758334229789057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7.6266852999303616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148.44133827669336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148.44133827669336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684.78263131884842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13220.413480241688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13220.413480241688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391.09137039483642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2571.5743750667993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1203.6253862500155</v>
      </c>
      <c r="J492" s="76">
        <f t="shared" si="70"/>
        <v>1203.6253862500155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7.1035089481323102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21.880796542752989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9.3151029076610552</v>
      </c>
      <c r="J493" s="76">
        <f t="shared" si="70"/>
        <v>9.3151029076610552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34.698979052326656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117.5601410292827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90.039312014327606</v>
      </c>
      <c r="J494" s="76">
        <f t="shared" si="70"/>
        <v>90.039312014327606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254.98842724637026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13816.558129881661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13816.558129881661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1.2001282541461873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19.872323696279636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19.872323696279636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6.8405878826513575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231.83968438817919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231.83968438817919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7.8775224871220608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510.78232046379412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510.78232046379412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8.0912200671753247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418.48291843074941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418.48291843074941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2.9361053035553901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19.892172153693839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19.892172153693839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20.96521591280959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498.49335440205232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498.49335440205232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196.1962122582226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2237.1294460812505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532.94582140853777</v>
      </c>
      <c r="J502" s="76">
        <f t="shared" si="70"/>
        <v>532.94582140853777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4.6008603023638255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183.57432606431664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183.57432606431664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14.034552850635615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273.16032133676146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273.16032133676146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1260.1304042962747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24328.077585343883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24328.077585343883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2021-12-07T13:12:19Z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168693184852600</vt:r8>
  </property>
</Properties>
</file>