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2.xml" ContentType="application/vnd.openxmlformats-officedocument.spreadsheetml.pivotTable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3.xml" ContentType="application/vnd.openxmlformats-officedocument.spreadsheetml.pivotTable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4.xml" ContentType="application/vnd.openxmlformats-officedocument.spreadsheetml.pivotTable+xml"/>
  <Override PartName="/xl/drawings/drawing15.xml" ContentType="application/vnd.openxmlformats-officedocument.drawing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5.xml" ContentType="application/vnd.openxmlformats-officedocument.spreadsheetml.pivotTab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CA2B2CE8-A568-4D69-96D4-503D74941181}" xr6:coauthVersionLast="47" xr6:coauthVersionMax="47" xr10:uidLastSave="{00000000-0000-0000-0000-000000000000}"/>
  <bookViews>
    <workbookView xWindow="-120" yWindow="-120" windowWidth="29040" windowHeight="15720" tabRatio="945" firstSheet="1" activeTab="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Landbrugsproduktivititet" sheetId="76" r:id="rId6"/>
    <sheet name="Fodersammensætning" sheetId="34" r:id="rId7"/>
    <sheet name="Skovbrug" sheetId="26" r:id="rId8"/>
    <sheet name="Skovbrug-alder" sheetId="72" state="hidden" r:id="rId9"/>
    <sheet name="Havbrug" sheetId="32" r:id="rId10"/>
    <sheet name="Adfærd" sheetId="6" r:id="rId11"/>
    <sheet name="Biogasanlæg" sheetId="39" r:id="rId12"/>
    <sheet name="Forbrug til andet" sheetId="8" r:id="rId13"/>
    <sheet name="Direkte input" sheetId="35" r:id="rId14"/>
    <sheet name="Forbrug af biomasse" sheetId="38" r:id="rId15"/>
    <sheet name="Restprodukter" sheetId="53" r:id="rId16"/>
    <sheet name="Resultater - Vestdanmark" sheetId="37" r:id="rId17"/>
    <sheet name="Resultater - Østdanmark" sheetId="58" r:id="rId18"/>
    <sheet name="Resultater - Danmark" sheetId="41" r:id="rId19"/>
    <sheet name="Resultat-Produktion &amp; forbrug" sheetId="66" r:id="rId20"/>
    <sheet name="Produktion &amp; forbrug" sheetId="74" r:id="rId21"/>
    <sheet name="CONCITO" sheetId="77" r:id="rId22"/>
    <sheet name="Kategorisering af kcal" sheetId="75" r:id="rId23"/>
    <sheet name="Landbrugsareal - resultat" sheetId="20" state="hidden" r:id="rId24"/>
    <sheet name="Pivot tabeller og data" sheetId="68" state="hidden" r:id="rId25"/>
    <sheet name="Resultat-Forbrug af biomasse" sheetId="56" state="hidden" r:id="rId26"/>
    <sheet name="Resultat-Import" sheetId="51" state="hidden" r:id="rId27"/>
    <sheet name="Resultat-Eksport" sheetId="71" state="hidden" r:id="rId28"/>
    <sheet name="Resultat-Potentiale til energi" sheetId="50" state="hidden" r:id="rId29"/>
    <sheet name="Resultat-Tørstof til energi" sheetId="67" state="hidden" r:id="rId30"/>
    <sheet name="CO2-pivot" sheetId="64" state="hidden" r:id="rId31"/>
    <sheet name="CO2-udledning" sheetId="63" r:id="rId32"/>
    <sheet name="Produktion afgrøder-pivot" sheetId="60" state="hidden" r:id="rId33"/>
    <sheet name="Produktion af afgrøder" sheetId="57" state="hidden" r:id="rId34"/>
    <sheet name="Produkt skovbrug" sheetId="62" state="hidden" r:id="rId35"/>
    <sheet name="Produkt havbrug" sheetId="61" state="hidden" r:id="rId36"/>
    <sheet name="Arealanvendelse - pivot" sheetId="23" state="hidden" r:id="rId37"/>
    <sheet name="Pivot chart - landbrug" sheetId="19" state="hidden" r:id="rId38"/>
    <sheet name="Arealanvendelsesresultater-big" sheetId="22" state="hidden" r:id="rId39"/>
    <sheet name="Landbrugsresultater - pivot" sheetId="18" state="hidden" r:id="rId40"/>
  </sheets>
  <externalReferences>
    <externalReference r:id="rId41"/>
  </externalReferences>
  <definedNames>
    <definedName name="_xlnm._FilterDatabase" localSheetId="13" hidden="1">'Direkte input'!$A$2:$I$230</definedName>
    <definedName name="_xlnm._FilterDatabase" localSheetId="2" hidden="1">Farvekoder!$A$1:$A$70</definedName>
    <definedName name="_xlnm._FilterDatabase" localSheetId="14" hidden="1">'Forbrug af biomasse'!$A$1:$G$415</definedName>
    <definedName name="_xlnm._FilterDatabase" localSheetId="20" hidden="1">'Produktion &amp; forbrug'!$A$3:$AA$147</definedName>
    <definedName name="_xlnm._FilterDatabase" localSheetId="18" hidden="1">'Resultater - Danmark'!$A$2:$O$497</definedName>
    <definedName name="_xlnm._FilterDatabase" localSheetId="16" hidden="1">'Resultater - Vestdanmark'!$A$2:$U$497</definedName>
    <definedName name="_xlnm._FilterDatabase" localSheetId="19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314" r:id="rId42"/>
    <pivotCache cacheId="319" r:id="rId43"/>
    <pivotCache cacheId="324" r:id="rId44"/>
    <pivotCache cacheId="330" r:id="rId45"/>
    <pivotCache cacheId="335" r:id="rId46"/>
    <pivotCache cacheId="340" r:id="rId47"/>
    <pivotCache cacheId="345" r:id="rId48"/>
    <pivotCache cacheId="349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34" l="1"/>
  <c r="E44" i="17"/>
  <c r="E40" i="17"/>
  <c r="H11" i="17"/>
  <c r="N6" i="76"/>
  <c r="G15" i="76" s="1"/>
  <c r="N5" i="76"/>
  <c r="G11" i="76" s="1"/>
  <c r="N4" i="76"/>
  <c r="G6" i="76" s="1"/>
  <c r="R3" i="76"/>
  <c r="N3" i="76" s="1"/>
  <c r="E505" i="18" l="1"/>
  <c r="B505" i="18"/>
  <c r="E504" i="18"/>
  <c r="B504" i="18"/>
  <c r="E503" i="18"/>
  <c r="B503" i="18"/>
  <c r="E502" i="18"/>
  <c r="B502" i="18"/>
  <c r="E501" i="18"/>
  <c r="B501" i="18"/>
  <c r="E500" i="18"/>
  <c r="B500" i="18"/>
  <c r="E499" i="18"/>
  <c r="B499" i="18"/>
  <c r="E498" i="18"/>
  <c r="B498" i="18"/>
  <c r="E497" i="18"/>
  <c r="B497" i="18"/>
  <c r="E496" i="18"/>
  <c r="B496" i="18"/>
  <c r="E495" i="18"/>
  <c r="B495" i="18"/>
  <c r="E494" i="18"/>
  <c r="B494" i="18"/>
  <c r="E493" i="18"/>
  <c r="B493" i="18"/>
  <c r="E492" i="18"/>
  <c r="B492" i="18"/>
  <c r="E491" i="18"/>
  <c r="B491" i="18"/>
  <c r="E490" i="18"/>
  <c r="B490" i="18"/>
  <c r="E489" i="18"/>
  <c r="B489" i="18"/>
  <c r="E488" i="18"/>
  <c r="B488" i="18"/>
  <c r="E487" i="18"/>
  <c r="B487" i="18"/>
  <c r="E486" i="18"/>
  <c r="B486" i="18"/>
  <c r="E485" i="18"/>
  <c r="B485" i="18"/>
  <c r="E484" i="18"/>
  <c r="B484" i="18"/>
  <c r="E483" i="18"/>
  <c r="B483" i="18"/>
  <c r="E482" i="18"/>
  <c r="B482" i="18"/>
  <c r="E481" i="18"/>
  <c r="B481" i="18"/>
  <c r="E480" i="18"/>
  <c r="B480" i="18"/>
  <c r="E479" i="18"/>
  <c r="B479" i="18"/>
  <c r="E478" i="18"/>
  <c r="B478" i="18"/>
  <c r="E477" i="18"/>
  <c r="B477" i="18"/>
  <c r="E476" i="18"/>
  <c r="B476" i="18"/>
  <c r="E475" i="18"/>
  <c r="B475" i="18"/>
  <c r="E474" i="18"/>
  <c r="B474" i="18"/>
  <c r="E473" i="18"/>
  <c r="B473" i="18"/>
  <c r="E472" i="18"/>
  <c r="B472" i="18"/>
  <c r="E471" i="18"/>
  <c r="B471" i="18"/>
  <c r="E470" i="18"/>
  <c r="B470" i="18"/>
  <c r="E469" i="18"/>
  <c r="B469" i="18"/>
  <c r="E468" i="18"/>
  <c r="B468" i="18"/>
  <c r="E467" i="18"/>
  <c r="B467" i="18"/>
  <c r="E466" i="18"/>
  <c r="B466" i="18"/>
  <c r="E465" i="18"/>
  <c r="B465" i="18"/>
  <c r="E464" i="18"/>
  <c r="B464" i="18"/>
  <c r="E463" i="18"/>
  <c r="B463" i="18"/>
  <c r="E462" i="18"/>
  <c r="B462" i="18"/>
  <c r="E461" i="18"/>
  <c r="B461" i="18"/>
  <c r="E460" i="18"/>
  <c r="B460" i="18"/>
  <c r="E459" i="18"/>
  <c r="B459" i="18"/>
  <c r="E458" i="18"/>
  <c r="B458" i="18"/>
  <c r="E457" i="18"/>
  <c r="B457" i="18"/>
  <c r="E456" i="18"/>
  <c r="B456" i="18"/>
  <c r="E455" i="18"/>
  <c r="B455" i="18"/>
  <c r="E454" i="18"/>
  <c r="B454" i="18"/>
  <c r="E453" i="18"/>
  <c r="B453" i="18"/>
  <c r="E452" i="18"/>
  <c r="B452" i="18"/>
  <c r="E451" i="18"/>
  <c r="B451" i="18"/>
  <c r="E450" i="18"/>
  <c r="B450" i="18"/>
  <c r="E449" i="18"/>
  <c r="B449" i="18"/>
  <c r="E448" i="18"/>
  <c r="B448" i="18"/>
  <c r="E447" i="18"/>
  <c r="B447" i="18"/>
  <c r="E446" i="18"/>
  <c r="B446" i="18"/>
  <c r="E445" i="18"/>
  <c r="B445" i="18"/>
  <c r="E444" i="18"/>
  <c r="B444" i="18"/>
  <c r="E443" i="18"/>
  <c r="B443" i="18"/>
  <c r="E442" i="18"/>
  <c r="B442" i="18"/>
  <c r="E441" i="18"/>
  <c r="B441" i="18"/>
  <c r="E440" i="18"/>
  <c r="B440" i="18"/>
  <c r="E439" i="18"/>
  <c r="B439" i="18"/>
  <c r="E438" i="18"/>
  <c r="B438" i="18"/>
  <c r="E437" i="18"/>
  <c r="B437" i="18"/>
  <c r="E436" i="18"/>
  <c r="B436" i="18"/>
  <c r="E435" i="18"/>
  <c r="B435" i="18"/>
  <c r="E434" i="18"/>
  <c r="B434" i="18"/>
  <c r="E433" i="18"/>
  <c r="B433" i="18"/>
  <c r="E432" i="18"/>
  <c r="B432" i="18"/>
  <c r="E431" i="18"/>
  <c r="B431" i="18"/>
  <c r="E430" i="18"/>
  <c r="B430" i="18"/>
  <c r="E429" i="18"/>
  <c r="B429" i="18"/>
  <c r="E428" i="18"/>
  <c r="B428" i="18"/>
  <c r="E427" i="18"/>
  <c r="B427" i="18"/>
  <c r="E426" i="18"/>
  <c r="B426" i="18"/>
  <c r="E425" i="18"/>
  <c r="B425" i="18"/>
  <c r="E424" i="18"/>
  <c r="B424" i="18"/>
  <c r="E423" i="18"/>
  <c r="B423" i="18"/>
  <c r="E422" i="18"/>
  <c r="B422" i="18"/>
  <c r="E421" i="18"/>
  <c r="B421" i="18"/>
  <c r="E420" i="18"/>
  <c r="B420" i="18"/>
  <c r="E419" i="18"/>
  <c r="B419" i="18"/>
  <c r="E418" i="18"/>
  <c r="B418" i="18"/>
  <c r="E417" i="18"/>
  <c r="B417" i="18"/>
  <c r="E416" i="18"/>
  <c r="B416" i="18"/>
  <c r="E415" i="18"/>
  <c r="B415" i="18"/>
  <c r="E414" i="18"/>
  <c r="B414" i="18"/>
  <c r="E413" i="18"/>
  <c r="B413" i="18"/>
  <c r="E412" i="18"/>
  <c r="B412" i="18"/>
  <c r="E411" i="18"/>
  <c r="B411" i="18"/>
  <c r="E410" i="18"/>
  <c r="B410" i="18"/>
  <c r="E409" i="18"/>
  <c r="B409" i="18"/>
  <c r="E408" i="18"/>
  <c r="B408" i="18"/>
  <c r="E407" i="18"/>
  <c r="B407" i="18"/>
  <c r="E406" i="18"/>
  <c r="B406" i="18"/>
  <c r="E405" i="18"/>
  <c r="B405" i="18"/>
  <c r="E404" i="18"/>
  <c r="B404" i="18"/>
  <c r="E403" i="18"/>
  <c r="B403" i="18"/>
  <c r="E402" i="18"/>
  <c r="B402" i="18"/>
  <c r="E401" i="18"/>
  <c r="B401" i="18"/>
  <c r="E400" i="18"/>
  <c r="B400" i="18"/>
  <c r="E399" i="18"/>
  <c r="B399" i="18"/>
  <c r="E398" i="18"/>
  <c r="B398" i="18"/>
  <c r="E397" i="18"/>
  <c r="B397" i="18"/>
  <c r="E396" i="18"/>
  <c r="B396" i="18"/>
  <c r="E395" i="18"/>
  <c r="B395" i="18"/>
  <c r="E394" i="18"/>
  <c r="B394" i="18"/>
  <c r="E393" i="18"/>
  <c r="B393" i="18"/>
  <c r="E392" i="18"/>
  <c r="B392" i="18"/>
  <c r="E391" i="18"/>
  <c r="B391" i="18"/>
  <c r="E390" i="18"/>
  <c r="B390" i="18"/>
  <c r="E389" i="18"/>
  <c r="B389" i="18"/>
  <c r="E388" i="18"/>
  <c r="B388" i="18"/>
  <c r="E387" i="18"/>
  <c r="B387" i="18"/>
  <c r="E386" i="18"/>
  <c r="B386" i="18"/>
  <c r="E385" i="18"/>
  <c r="B385" i="18"/>
  <c r="E384" i="18"/>
  <c r="B384" i="18"/>
  <c r="E383" i="18"/>
  <c r="B383" i="18"/>
  <c r="E382" i="18"/>
  <c r="B382" i="18"/>
  <c r="E381" i="18"/>
  <c r="B381" i="18"/>
  <c r="E380" i="18"/>
  <c r="B380" i="18"/>
  <c r="E379" i="18"/>
  <c r="B379" i="18"/>
  <c r="E378" i="18"/>
  <c r="B378" i="18"/>
  <c r="E377" i="18"/>
  <c r="B377" i="18"/>
  <c r="E376" i="18"/>
  <c r="B376" i="18"/>
  <c r="E375" i="18"/>
  <c r="B375" i="18"/>
  <c r="E374" i="18"/>
  <c r="B374" i="18"/>
  <c r="E373" i="18"/>
  <c r="B373" i="18"/>
  <c r="E372" i="18"/>
  <c r="B372" i="18"/>
  <c r="E371" i="18"/>
  <c r="B371" i="18"/>
  <c r="E370" i="18"/>
  <c r="B370" i="18"/>
  <c r="E369" i="18"/>
  <c r="B369" i="18"/>
  <c r="E368" i="18"/>
  <c r="B368" i="18"/>
  <c r="E367" i="18"/>
  <c r="B367" i="18"/>
  <c r="E366" i="18"/>
  <c r="B366" i="18"/>
  <c r="E365" i="18"/>
  <c r="B365" i="18"/>
  <c r="E364" i="18"/>
  <c r="B364" i="18"/>
  <c r="E363" i="18"/>
  <c r="B363" i="18"/>
  <c r="E362" i="18"/>
  <c r="B362" i="18"/>
  <c r="E361" i="18"/>
  <c r="B361" i="18"/>
  <c r="E360" i="18"/>
  <c r="B360" i="18"/>
  <c r="E359" i="18"/>
  <c r="B359" i="18"/>
  <c r="E358" i="18"/>
  <c r="B358" i="18"/>
  <c r="E357" i="18"/>
  <c r="B357" i="18"/>
  <c r="E356" i="18"/>
  <c r="B356" i="18"/>
  <c r="E355" i="18"/>
  <c r="B355" i="18"/>
  <c r="E354" i="18"/>
  <c r="B354" i="18"/>
  <c r="E353" i="18"/>
  <c r="B353" i="18"/>
  <c r="E352" i="18"/>
  <c r="B352" i="18"/>
  <c r="E351" i="18"/>
  <c r="B351" i="18"/>
  <c r="E350" i="18"/>
  <c r="B350" i="18"/>
  <c r="E349" i="18"/>
  <c r="B349" i="18"/>
  <c r="E348" i="18"/>
  <c r="B348" i="18"/>
  <c r="E347" i="18"/>
  <c r="B347" i="18"/>
  <c r="E346" i="18"/>
  <c r="B346" i="18"/>
  <c r="E345" i="18"/>
  <c r="B345" i="18"/>
  <c r="E344" i="18"/>
  <c r="B344" i="18"/>
  <c r="E343" i="18"/>
  <c r="B343" i="18"/>
  <c r="E342" i="18"/>
  <c r="B342" i="18"/>
  <c r="E341" i="18"/>
  <c r="B341" i="18"/>
  <c r="E340" i="18"/>
  <c r="B340" i="18"/>
  <c r="E339" i="18"/>
  <c r="B339" i="18"/>
  <c r="E338" i="18"/>
  <c r="B338" i="18"/>
  <c r="E337" i="18"/>
  <c r="B337" i="18"/>
  <c r="E336" i="18"/>
  <c r="B336" i="18"/>
  <c r="E335" i="18"/>
  <c r="B335" i="18"/>
  <c r="E334" i="18"/>
  <c r="B334" i="18"/>
  <c r="E333" i="18"/>
  <c r="B333" i="18"/>
  <c r="E332" i="18"/>
  <c r="B332" i="18"/>
  <c r="E331" i="18"/>
  <c r="B331" i="18"/>
  <c r="E330" i="18"/>
  <c r="B330" i="18"/>
  <c r="E329" i="18"/>
  <c r="B329" i="18"/>
  <c r="E328" i="18"/>
  <c r="B328" i="18"/>
  <c r="E327" i="18"/>
  <c r="B327" i="18"/>
  <c r="E326" i="18"/>
  <c r="B326" i="18"/>
  <c r="E325" i="18"/>
  <c r="B325" i="18"/>
  <c r="E324" i="18"/>
  <c r="B324" i="18"/>
  <c r="E323" i="18"/>
  <c r="B323" i="18"/>
  <c r="E322" i="18"/>
  <c r="B322" i="18"/>
  <c r="E321" i="18"/>
  <c r="B321" i="18"/>
  <c r="E320" i="18"/>
  <c r="B320" i="18"/>
  <c r="E319" i="18"/>
  <c r="B319" i="18"/>
  <c r="E318" i="18"/>
  <c r="B318" i="18"/>
  <c r="E317" i="18"/>
  <c r="B317" i="18"/>
  <c r="E316" i="18"/>
  <c r="B316" i="18"/>
  <c r="E315" i="18"/>
  <c r="B315" i="18"/>
  <c r="E314" i="18"/>
  <c r="B314" i="18"/>
  <c r="E313" i="18"/>
  <c r="B313" i="18"/>
  <c r="E312" i="18"/>
  <c r="B312" i="18"/>
  <c r="E311" i="18"/>
  <c r="B311" i="18"/>
  <c r="E310" i="18"/>
  <c r="B310" i="18"/>
  <c r="E309" i="18"/>
  <c r="B309" i="18"/>
  <c r="E308" i="18"/>
  <c r="B308" i="18"/>
  <c r="E307" i="18"/>
  <c r="B307" i="18"/>
  <c r="E306" i="18"/>
  <c r="B306" i="18"/>
  <c r="E305" i="18"/>
  <c r="B305" i="18"/>
  <c r="E304" i="18"/>
  <c r="B304" i="18"/>
  <c r="E303" i="18"/>
  <c r="B303" i="18"/>
  <c r="E302" i="18"/>
  <c r="B302" i="18"/>
  <c r="E301" i="18"/>
  <c r="B301" i="18"/>
  <c r="E300" i="18"/>
  <c r="B300" i="18"/>
  <c r="E299" i="18"/>
  <c r="B299" i="18"/>
  <c r="E298" i="18"/>
  <c r="B298" i="18"/>
  <c r="E297" i="18"/>
  <c r="B297" i="18"/>
  <c r="E296" i="18"/>
  <c r="B296" i="18"/>
  <c r="E295" i="18"/>
  <c r="B295" i="18"/>
  <c r="E294" i="18"/>
  <c r="B294" i="18"/>
  <c r="E293" i="18"/>
  <c r="B293" i="18"/>
  <c r="E292" i="18"/>
  <c r="B292" i="18"/>
  <c r="E291" i="18"/>
  <c r="B291" i="18"/>
  <c r="E290" i="18"/>
  <c r="B290" i="18"/>
  <c r="E289" i="18"/>
  <c r="B289" i="18"/>
  <c r="E288" i="18"/>
  <c r="B288" i="18"/>
  <c r="E287" i="18"/>
  <c r="B287" i="18"/>
  <c r="E286" i="18"/>
  <c r="B286" i="18"/>
  <c r="E285" i="18"/>
  <c r="B285" i="18"/>
  <c r="E284" i="18"/>
  <c r="B284" i="18"/>
  <c r="E283" i="18"/>
  <c r="B283" i="18"/>
  <c r="E282" i="18"/>
  <c r="B282" i="18"/>
  <c r="E281" i="18"/>
  <c r="B281" i="18"/>
  <c r="E280" i="18"/>
  <c r="B280" i="18"/>
  <c r="E279" i="18"/>
  <c r="B279" i="18"/>
  <c r="E278" i="18"/>
  <c r="B278" i="18"/>
  <c r="E277" i="18"/>
  <c r="B277" i="18"/>
  <c r="E276" i="18"/>
  <c r="B276" i="18"/>
  <c r="E275" i="18"/>
  <c r="B275" i="18"/>
  <c r="E274" i="18"/>
  <c r="B274" i="18"/>
  <c r="E273" i="18"/>
  <c r="B273" i="18"/>
  <c r="E272" i="18"/>
  <c r="B272" i="18"/>
  <c r="E271" i="18"/>
  <c r="B271" i="18"/>
  <c r="E270" i="18"/>
  <c r="B270" i="18"/>
  <c r="E269" i="18"/>
  <c r="B269" i="18"/>
  <c r="E268" i="18"/>
  <c r="B268" i="18"/>
  <c r="E267" i="18"/>
  <c r="B267" i="18"/>
  <c r="E266" i="18"/>
  <c r="B266" i="18"/>
  <c r="E265" i="18"/>
  <c r="B265" i="18"/>
  <c r="E264" i="18"/>
  <c r="B264" i="18"/>
  <c r="E263" i="18"/>
  <c r="B263" i="18"/>
  <c r="E262" i="18"/>
  <c r="B262" i="18"/>
  <c r="E261" i="18"/>
  <c r="B261" i="18"/>
  <c r="E260" i="18"/>
  <c r="B260" i="18"/>
  <c r="E259" i="18"/>
  <c r="B259" i="18"/>
  <c r="E258" i="18"/>
  <c r="B258" i="18"/>
  <c r="E257" i="18"/>
  <c r="B257" i="18"/>
  <c r="E256" i="18"/>
  <c r="B256" i="18"/>
  <c r="E255" i="18"/>
  <c r="B255" i="18"/>
  <c r="E254" i="18"/>
  <c r="B254" i="18"/>
  <c r="E253" i="18"/>
  <c r="B253" i="18"/>
  <c r="E252" i="18"/>
  <c r="B252" i="18"/>
  <c r="E251" i="18"/>
  <c r="B251" i="18"/>
  <c r="E250" i="18"/>
  <c r="B250" i="18"/>
  <c r="E249" i="18"/>
  <c r="B249" i="18"/>
  <c r="E248" i="18"/>
  <c r="B248" i="18"/>
  <c r="E247" i="18"/>
  <c r="B247" i="18"/>
  <c r="E246" i="18"/>
  <c r="B246" i="18"/>
  <c r="E245" i="18"/>
  <c r="B245" i="18"/>
  <c r="E244" i="18"/>
  <c r="B244" i="18"/>
  <c r="E243" i="18"/>
  <c r="B243" i="18"/>
  <c r="E242" i="18"/>
  <c r="B242" i="18"/>
  <c r="E241" i="18"/>
  <c r="B241" i="18"/>
  <c r="E240" i="18"/>
  <c r="B240" i="18"/>
  <c r="E239" i="18"/>
  <c r="B239" i="18"/>
  <c r="E238" i="18"/>
  <c r="B238" i="18"/>
  <c r="E237" i="18"/>
  <c r="B237" i="18"/>
  <c r="E236" i="18"/>
  <c r="B236" i="18"/>
  <c r="E235" i="18"/>
  <c r="B235" i="18"/>
  <c r="E234" i="18"/>
  <c r="B234" i="18"/>
  <c r="E233" i="18"/>
  <c r="B233" i="18"/>
  <c r="E232" i="18"/>
  <c r="B232" i="18"/>
  <c r="E231" i="18"/>
  <c r="B231" i="18"/>
  <c r="E230" i="18"/>
  <c r="B230" i="18"/>
  <c r="E229" i="18"/>
  <c r="B229" i="18"/>
  <c r="E228" i="18"/>
  <c r="B228" i="18"/>
  <c r="E227" i="18"/>
  <c r="B227" i="18"/>
  <c r="E226" i="18"/>
  <c r="B226" i="18"/>
  <c r="E225" i="18"/>
  <c r="B225" i="18"/>
  <c r="E224" i="18"/>
  <c r="B224" i="18"/>
  <c r="E223" i="18"/>
  <c r="B223" i="18"/>
  <c r="E222" i="18"/>
  <c r="B222" i="18"/>
  <c r="E221" i="18"/>
  <c r="B221" i="18"/>
  <c r="E220" i="18"/>
  <c r="B220" i="18"/>
  <c r="E219" i="18"/>
  <c r="B219" i="18"/>
  <c r="E218" i="18"/>
  <c r="B218" i="18"/>
  <c r="E217" i="18"/>
  <c r="B217" i="18"/>
  <c r="E216" i="18"/>
  <c r="B216" i="18"/>
  <c r="E215" i="18"/>
  <c r="B215" i="18"/>
  <c r="E214" i="18"/>
  <c r="B214" i="18"/>
  <c r="E213" i="18"/>
  <c r="B213" i="18"/>
  <c r="E212" i="18"/>
  <c r="B212" i="18"/>
  <c r="E211" i="18"/>
  <c r="B211" i="18"/>
  <c r="E210" i="18"/>
  <c r="B210" i="18"/>
  <c r="E209" i="18"/>
  <c r="B209" i="18"/>
  <c r="E208" i="18"/>
  <c r="B208" i="18"/>
  <c r="E207" i="18"/>
  <c r="B207" i="18"/>
  <c r="E206" i="18"/>
  <c r="B206" i="18"/>
  <c r="E205" i="18"/>
  <c r="B205" i="18"/>
  <c r="E204" i="18"/>
  <c r="B204" i="18"/>
  <c r="E203" i="18"/>
  <c r="B203" i="18"/>
  <c r="E202" i="18"/>
  <c r="B202" i="18"/>
  <c r="E201" i="18"/>
  <c r="B201" i="18"/>
  <c r="E200" i="18"/>
  <c r="B200" i="18"/>
  <c r="E199" i="18"/>
  <c r="B199" i="18"/>
  <c r="E198" i="18"/>
  <c r="B198" i="18"/>
  <c r="E197" i="18"/>
  <c r="B197" i="18"/>
  <c r="E196" i="18"/>
  <c r="B196" i="18"/>
  <c r="E195" i="18"/>
  <c r="B195" i="18"/>
  <c r="E194" i="18"/>
  <c r="B194" i="18"/>
  <c r="E193" i="18"/>
  <c r="B193" i="18"/>
  <c r="E192" i="18"/>
  <c r="B192" i="18"/>
  <c r="E191" i="18"/>
  <c r="B191" i="18"/>
  <c r="E190" i="18"/>
  <c r="B190" i="18"/>
  <c r="E189" i="18"/>
  <c r="B189" i="18"/>
  <c r="E188" i="18"/>
  <c r="B188" i="18"/>
  <c r="E187" i="18"/>
  <c r="B187" i="18"/>
  <c r="E186" i="18"/>
  <c r="B186" i="18"/>
  <c r="E185" i="18"/>
  <c r="B185" i="18"/>
  <c r="E184" i="18"/>
  <c r="B184" i="18"/>
  <c r="E183" i="18"/>
  <c r="B183" i="18"/>
  <c r="E182" i="18"/>
  <c r="B182" i="18"/>
  <c r="E181" i="18"/>
  <c r="B181" i="18"/>
  <c r="E180" i="18"/>
  <c r="B180" i="18"/>
  <c r="E179" i="18"/>
  <c r="B179" i="18"/>
  <c r="E178" i="18"/>
  <c r="B178" i="18"/>
  <c r="E177" i="18"/>
  <c r="B177" i="18"/>
  <c r="E176" i="18"/>
  <c r="B176" i="18"/>
  <c r="E175" i="18"/>
  <c r="B175" i="18"/>
  <c r="E174" i="18"/>
  <c r="B174" i="18"/>
  <c r="E173" i="18"/>
  <c r="B173" i="18"/>
  <c r="E172" i="18"/>
  <c r="B172" i="18"/>
  <c r="E171" i="18"/>
  <c r="B171" i="18"/>
  <c r="E170" i="18"/>
  <c r="B170" i="18"/>
  <c r="E169" i="18"/>
  <c r="B169" i="18"/>
  <c r="E168" i="18"/>
  <c r="B168" i="18"/>
  <c r="E167" i="18"/>
  <c r="B167" i="18"/>
  <c r="E166" i="18"/>
  <c r="B166" i="18"/>
  <c r="E165" i="18"/>
  <c r="B165" i="18"/>
  <c r="E164" i="18"/>
  <c r="B164" i="18"/>
  <c r="E163" i="18"/>
  <c r="B163" i="18"/>
  <c r="E162" i="18"/>
  <c r="B162" i="18"/>
  <c r="E161" i="18"/>
  <c r="B161" i="18"/>
  <c r="E160" i="18"/>
  <c r="B160" i="18"/>
  <c r="E159" i="18"/>
  <c r="B159" i="18"/>
  <c r="E158" i="18"/>
  <c r="B158" i="18"/>
  <c r="E157" i="18"/>
  <c r="B157" i="18"/>
  <c r="E156" i="18"/>
  <c r="B156" i="18"/>
  <c r="E155" i="18"/>
  <c r="B155" i="18"/>
  <c r="E154" i="18"/>
  <c r="B154" i="18"/>
  <c r="E153" i="18"/>
  <c r="B153" i="18"/>
  <c r="E152" i="18"/>
  <c r="B152" i="18"/>
  <c r="E151" i="18"/>
  <c r="B151" i="18"/>
  <c r="E150" i="18"/>
  <c r="B150" i="18"/>
  <c r="E149" i="18"/>
  <c r="B149" i="18"/>
  <c r="E148" i="18"/>
  <c r="B148" i="18"/>
  <c r="E147" i="18"/>
  <c r="B147" i="18"/>
  <c r="E146" i="18"/>
  <c r="B146" i="18"/>
  <c r="E145" i="18"/>
  <c r="B145" i="18"/>
  <c r="E144" i="18"/>
  <c r="B144" i="18"/>
  <c r="E143" i="18"/>
  <c r="B143" i="18"/>
  <c r="E142" i="18"/>
  <c r="B142" i="18"/>
  <c r="E141" i="18"/>
  <c r="B141" i="18"/>
  <c r="E140" i="18"/>
  <c r="B140" i="18"/>
  <c r="E139" i="18"/>
  <c r="B139" i="18"/>
  <c r="E138" i="18"/>
  <c r="B138" i="18"/>
  <c r="E137" i="18"/>
  <c r="B137" i="18"/>
  <c r="E136" i="18"/>
  <c r="B136" i="18"/>
  <c r="E135" i="18"/>
  <c r="B135" i="18"/>
  <c r="E134" i="18"/>
  <c r="B134" i="18"/>
  <c r="E133" i="18"/>
  <c r="B133" i="18"/>
  <c r="E132" i="18"/>
  <c r="B132" i="18"/>
  <c r="E131" i="18"/>
  <c r="B131" i="18"/>
  <c r="E130" i="18"/>
  <c r="B130" i="18"/>
  <c r="E129" i="18"/>
  <c r="B129" i="18"/>
  <c r="E128" i="18"/>
  <c r="B128" i="18"/>
  <c r="E127" i="18"/>
  <c r="B127" i="18"/>
  <c r="E126" i="18"/>
  <c r="B126" i="18"/>
  <c r="E125" i="18"/>
  <c r="B125" i="18"/>
  <c r="E124" i="18"/>
  <c r="B124" i="18"/>
  <c r="E123" i="18"/>
  <c r="B123" i="18"/>
  <c r="E122" i="18"/>
  <c r="B122" i="18"/>
  <c r="E121" i="18"/>
  <c r="B121" i="18"/>
  <c r="E120" i="18"/>
  <c r="B120" i="18"/>
  <c r="E119" i="18"/>
  <c r="B119" i="18"/>
  <c r="E118" i="18"/>
  <c r="B118" i="18"/>
  <c r="E117" i="18"/>
  <c r="B117" i="18"/>
  <c r="E116" i="18"/>
  <c r="B116" i="18"/>
  <c r="E115" i="18"/>
  <c r="B115" i="18"/>
  <c r="E114" i="18"/>
  <c r="B114" i="18"/>
  <c r="E113" i="18"/>
  <c r="B113" i="18"/>
  <c r="E112" i="18"/>
  <c r="B112" i="18"/>
  <c r="E111" i="18"/>
  <c r="B111" i="18"/>
  <c r="E110" i="18"/>
  <c r="B110" i="18"/>
  <c r="E109" i="18"/>
  <c r="B109" i="18"/>
  <c r="E108" i="18"/>
  <c r="B108" i="18"/>
  <c r="E107" i="18"/>
  <c r="B107" i="18"/>
  <c r="E106" i="18"/>
  <c r="B106" i="18"/>
  <c r="E105" i="18"/>
  <c r="B105" i="18"/>
  <c r="E104" i="18"/>
  <c r="B104" i="18"/>
  <c r="E103" i="18"/>
  <c r="B103" i="18"/>
  <c r="E102" i="18"/>
  <c r="B102" i="18"/>
  <c r="E101" i="18"/>
  <c r="B101" i="18"/>
  <c r="E100" i="18"/>
  <c r="B100" i="18"/>
  <c r="E99" i="18"/>
  <c r="B99" i="18"/>
  <c r="E98" i="18"/>
  <c r="B98" i="18"/>
  <c r="E97" i="18"/>
  <c r="B97" i="18"/>
  <c r="E96" i="18"/>
  <c r="B96" i="18"/>
  <c r="E95" i="18"/>
  <c r="B95" i="18"/>
  <c r="E94" i="18"/>
  <c r="B94" i="18"/>
  <c r="E93" i="18"/>
  <c r="B93" i="18"/>
  <c r="E92" i="18"/>
  <c r="B92" i="18"/>
  <c r="E91" i="18"/>
  <c r="B91" i="18"/>
  <c r="E90" i="18"/>
  <c r="B90" i="18"/>
  <c r="E89" i="18"/>
  <c r="B89" i="18"/>
  <c r="E88" i="18"/>
  <c r="B88" i="18"/>
  <c r="E87" i="18"/>
  <c r="B87" i="18"/>
  <c r="E86" i="18"/>
  <c r="B86" i="18"/>
  <c r="E85" i="18"/>
  <c r="B85" i="18"/>
  <c r="E84" i="18"/>
  <c r="B84" i="18"/>
  <c r="E83" i="18"/>
  <c r="B83" i="18"/>
  <c r="E82" i="18"/>
  <c r="B82" i="18"/>
  <c r="E81" i="18"/>
  <c r="B81" i="18"/>
  <c r="E80" i="18"/>
  <c r="B80" i="18"/>
  <c r="E79" i="18"/>
  <c r="B79" i="18"/>
  <c r="E78" i="18"/>
  <c r="B78" i="18"/>
  <c r="E77" i="18"/>
  <c r="B77" i="18"/>
  <c r="E76" i="18"/>
  <c r="B76" i="18"/>
  <c r="E75" i="18"/>
  <c r="B75" i="18"/>
  <c r="E74" i="18"/>
  <c r="B74" i="18"/>
  <c r="E73" i="18"/>
  <c r="B73" i="18"/>
  <c r="E72" i="18"/>
  <c r="B72" i="18"/>
  <c r="E71" i="18"/>
  <c r="B71" i="18"/>
  <c r="E70" i="18"/>
  <c r="B70" i="18"/>
  <c r="E69" i="18"/>
  <c r="B69" i="18"/>
  <c r="E68" i="18"/>
  <c r="B68" i="18"/>
  <c r="E67" i="18"/>
  <c r="B67" i="18"/>
  <c r="E66" i="18"/>
  <c r="B66" i="18"/>
  <c r="E65" i="18"/>
  <c r="B65" i="18"/>
  <c r="E64" i="18"/>
  <c r="B64" i="18"/>
  <c r="E63" i="18"/>
  <c r="B63" i="18"/>
  <c r="E62" i="18"/>
  <c r="B62" i="18"/>
  <c r="E61" i="18"/>
  <c r="B61" i="18"/>
  <c r="E60" i="18"/>
  <c r="B60" i="18"/>
  <c r="E59" i="18"/>
  <c r="B59" i="18"/>
  <c r="E58" i="18"/>
  <c r="B58" i="18"/>
  <c r="E57" i="18"/>
  <c r="B57" i="18"/>
  <c r="E56" i="18"/>
  <c r="B56" i="18"/>
  <c r="E55" i="18"/>
  <c r="B55" i="18"/>
  <c r="E54" i="18"/>
  <c r="B54" i="18"/>
  <c r="E53" i="18"/>
  <c r="B53" i="18"/>
  <c r="E52" i="18"/>
  <c r="B52" i="18"/>
  <c r="E51" i="18"/>
  <c r="B51" i="18"/>
  <c r="E50" i="18"/>
  <c r="B50" i="18"/>
  <c r="E49" i="18"/>
  <c r="B49" i="18"/>
  <c r="E48" i="18"/>
  <c r="B48" i="18"/>
  <c r="E47" i="18"/>
  <c r="B47" i="18"/>
  <c r="E46" i="18"/>
  <c r="B46" i="18"/>
  <c r="E45" i="18"/>
  <c r="B45" i="18"/>
  <c r="E44" i="18"/>
  <c r="B44" i="18"/>
  <c r="E43" i="18"/>
  <c r="B43" i="18"/>
  <c r="E42" i="18"/>
  <c r="B42" i="18"/>
  <c r="E41" i="18"/>
  <c r="B41" i="18"/>
  <c r="E40" i="18"/>
  <c r="B40" i="18"/>
  <c r="E39" i="18"/>
  <c r="B39" i="18"/>
  <c r="E38" i="18"/>
  <c r="B38" i="18"/>
  <c r="E37" i="18"/>
  <c r="B37" i="18"/>
  <c r="E36" i="18"/>
  <c r="B36" i="18"/>
  <c r="E35" i="18"/>
  <c r="B35" i="18"/>
  <c r="E34" i="18"/>
  <c r="B34" i="18"/>
  <c r="E33" i="18"/>
  <c r="B33" i="18"/>
  <c r="E32" i="18"/>
  <c r="B32" i="18"/>
  <c r="E31" i="18"/>
  <c r="B31" i="18"/>
  <c r="E30" i="18"/>
  <c r="B30" i="18"/>
  <c r="E29" i="18"/>
  <c r="B29" i="18"/>
  <c r="E28" i="18"/>
  <c r="B28" i="18"/>
  <c r="E27" i="18"/>
  <c r="B27" i="18"/>
  <c r="E26" i="18"/>
  <c r="B26" i="18"/>
  <c r="E25" i="18"/>
  <c r="B25" i="18"/>
  <c r="E24" i="18"/>
  <c r="B24" i="18"/>
  <c r="E23" i="18"/>
  <c r="B23" i="18"/>
  <c r="E22" i="18"/>
  <c r="B22" i="18"/>
  <c r="E21" i="18"/>
  <c r="B21" i="18"/>
  <c r="E20" i="18"/>
  <c r="B20" i="18"/>
  <c r="E19" i="18"/>
  <c r="B19" i="18"/>
  <c r="E18" i="18"/>
  <c r="B18" i="18"/>
  <c r="E17" i="18"/>
  <c r="B17" i="18"/>
  <c r="E16" i="18"/>
  <c r="B16" i="18"/>
  <c r="E15" i="18"/>
  <c r="B15" i="18"/>
  <c r="E14" i="18"/>
  <c r="B14" i="18"/>
  <c r="E13" i="18"/>
  <c r="B13" i="18"/>
  <c r="E12" i="18"/>
  <c r="B12" i="18"/>
  <c r="E11" i="18"/>
  <c r="B11" i="18"/>
  <c r="E10" i="18"/>
  <c r="B10" i="18"/>
  <c r="E9" i="18"/>
  <c r="B9" i="18"/>
  <c r="E8" i="18"/>
  <c r="B8" i="18"/>
  <c r="E7" i="18"/>
  <c r="B7" i="18"/>
  <c r="E6" i="18"/>
  <c r="B6" i="18"/>
  <c r="E5" i="18"/>
  <c r="B5" i="18"/>
  <c r="E4" i="18"/>
  <c r="B4" i="18"/>
  <c r="E3" i="18"/>
  <c r="B3" i="18"/>
  <c r="E2" i="18"/>
  <c r="B2" i="18"/>
  <c r="D91" i="22"/>
  <c r="B91" i="22"/>
  <c r="D90" i="22"/>
  <c r="B90" i="22"/>
  <c r="D89" i="22"/>
  <c r="B89" i="22"/>
  <c r="D88" i="22"/>
  <c r="B88" i="22"/>
  <c r="D87" i="22"/>
  <c r="B87" i="22"/>
  <c r="D86" i="22"/>
  <c r="B86" i="22"/>
  <c r="D85" i="22"/>
  <c r="B85" i="22"/>
  <c r="D84" i="22"/>
  <c r="B84" i="22"/>
  <c r="D83" i="22"/>
  <c r="B83" i="22"/>
  <c r="D82" i="22"/>
  <c r="B82" i="22"/>
  <c r="D81" i="22"/>
  <c r="B81" i="22"/>
  <c r="D80" i="22"/>
  <c r="B80" i="22"/>
  <c r="D79" i="22"/>
  <c r="B79" i="22"/>
  <c r="D78" i="22"/>
  <c r="B78" i="22"/>
  <c r="D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E61" i="22"/>
  <c r="D61" i="22"/>
  <c r="C61" i="22"/>
  <c r="B61" i="22"/>
  <c r="D60" i="22"/>
  <c r="C60" i="22"/>
  <c r="B60" i="22"/>
  <c r="E59" i="22"/>
  <c r="D59" i="22"/>
  <c r="C59" i="22"/>
  <c r="B59" i="22"/>
  <c r="D58" i="22"/>
  <c r="C58" i="22"/>
  <c r="B58" i="22"/>
  <c r="E57" i="22"/>
  <c r="D57" i="22"/>
  <c r="C57" i="22"/>
  <c r="B57" i="22"/>
  <c r="E56" i="22"/>
  <c r="D56" i="22"/>
  <c r="C56" i="22"/>
  <c r="B56" i="22"/>
  <c r="D55" i="22"/>
  <c r="C55" i="22"/>
  <c r="B55" i="22"/>
  <c r="E54" i="22"/>
  <c r="D54" i="22"/>
  <c r="C54" i="22"/>
  <c r="B54" i="22"/>
  <c r="D53" i="22"/>
  <c r="C53" i="22"/>
  <c r="B53" i="22"/>
  <c r="E52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B46" i="22"/>
  <c r="D45" i="22"/>
  <c r="B45" i="22"/>
  <c r="D44" i="22"/>
  <c r="B44" i="22"/>
  <c r="D43" i="22"/>
  <c r="B43" i="22"/>
  <c r="D42" i="22"/>
  <c r="B42" i="22"/>
  <c r="D41" i="22"/>
  <c r="B41" i="22"/>
  <c r="D40" i="22"/>
  <c r="B40" i="22"/>
  <c r="D39" i="22"/>
  <c r="B39" i="22"/>
  <c r="D38" i="22"/>
  <c r="B38" i="22"/>
  <c r="D37" i="22"/>
  <c r="B37" i="22"/>
  <c r="D36" i="22"/>
  <c r="B36" i="22"/>
  <c r="D35" i="22"/>
  <c r="B35" i="22"/>
  <c r="D34" i="22"/>
  <c r="B34" i="22"/>
  <c r="D33" i="22"/>
  <c r="B33" i="22"/>
  <c r="D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E16" i="22"/>
  <c r="D16" i="22"/>
  <c r="C16" i="22"/>
  <c r="B16" i="22"/>
  <c r="D15" i="22"/>
  <c r="C15" i="22"/>
  <c r="B15" i="22"/>
  <c r="E14" i="22"/>
  <c r="D14" i="22"/>
  <c r="C14" i="22"/>
  <c r="B14" i="22"/>
  <c r="D13" i="22"/>
  <c r="C13" i="22"/>
  <c r="B13" i="22"/>
  <c r="E12" i="22"/>
  <c r="D12" i="22"/>
  <c r="C12" i="22"/>
  <c r="B12" i="22"/>
  <c r="E11" i="22"/>
  <c r="D11" i="22"/>
  <c r="C11" i="22"/>
  <c r="B11" i="22"/>
  <c r="D10" i="22"/>
  <c r="C10" i="22"/>
  <c r="B10" i="22"/>
  <c r="E9" i="22"/>
  <c r="D9" i="22"/>
  <c r="C9" i="22"/>
  <c r="B9" i="22"/>
  <c r="D8" i="22"/>
  <c r="C8" i="22"/>
  <c r="B8" i="22"/>
  <c r="E7" i="22"/>
  <c r="D7" i="22"/>
  <c r="C7" i="22"/>
  <c r="B7" i="22"/>
  <c r="D6" i="22"/>
  <c r="C6" i="22"/>
  <c r="B6" i="22"/>
  <c r="D5" i="22"/>
  <c r="C5" i="22"/>
  <c r="B5" i="22"/>
  <c r="D4" i="22"/>
  <c r="C4" i="22"/>
  <c r="B4" i="22"/>
  <c r="D3" i="22"/>
  <c r="C3" i="22"/>
  <c r="B3" i="22"/>
  <c r="D2" i="22"/>
  <c r="C2" i="22"/>
  <c r="B2" i="22"/>
  <c r="C79" i="57"/>
  <c r="C78" i="57"/>
  <c r="C77" i="57"/>
  <c r="C76" i="57"/>
  <c r="C75" i="57"/>
  <c r="C74" i="57"/>
  <c r="C73" i="57"/>
  <c r="C72" i="57"/>
  <c r="C71" i="57"/>
  <c r="C70" i="57"/>
  <c r="C69" i="57"/>
  <c r="C68" i="57"/>
  <c r="C67" i="57"/>
  <c r="C66" i="57"/>
  <c r="C65" i="57"/>
  <c r="C64" i="57"/>
  <c r="C63" i="57"/>
  <c r="C62" i="57"/>
  <c r="C61" i="57"/>
  <c r="C60" i="57"/>
  <c r="C59" i="57"/>
  <c r="C58" i="57"/>
  <c r="C57" i="57"/>
  <c r="C56" i="57"/>
  <c r="C55" i="57"/>
  <c r="C54" i="57"/>
  <c r="C53" i="57"/>
  <c r="C52" i="57"/>
  <c r="C51" i="57"/>
  <c r="C50" i="57"/>
  <c r="C49" i="57"/>
  <c r="C48" i="57"/>
  <c r="C47" i="57"/>
  <c r="C46" i="57"/>
  <c r="C45" i="57"/>
  <c r="C44" i="57"/>
  <c r="C43" i="57"/>
  <c r="C42" i="57"/>
  <c r="C41" i="57"/>
  <c r="C40" i="57"/>
  <c r="C39" i="57"/>
  <c r="C38" i="57"/>
  <c r="C37" i="57"/>
  <c r="C36" i="57"/>
  <c r="C35" i="57"/>
  <c r="C34" i="57"/>
  <c r="C33" i="57"/>
  <c r="C32" i="57"/>
  <c r="C31" i="57"/>
  <c r="C30" i="57"/>
  <c r="C29" i="57"/>
  <c r="C28" i="57"/>
  <c r="C27" i="57"/>
  <c r="C26" i="57"/>
  <c r="C25" i="57"/>
  <c r="C24" i="57"/>
  <c r="C23" i="57"/>
  <c r="C22" i="57"/>
  <c r="C21" i="57"/>
  <c r="C20" i="57"/>
  <c r="C19" i="57"/>
  <c r="C18" i="57"/>
  <c r="C17" i="57"/>
  <c r="C16" i="57"/>
  <c r="C15" i="57"/>
  <c r="C14" i="57"/>
  <c r="C13" i="57"/>
  <c r="C12" i="57"/>
  <c r="C11" i="57"/>
  <c r="C10" i="57"/>
  <c r="C9" i="57"/>
  <c r="C8" i="57"/>
  <c r="C7" i="57"/>
  <c r="C6" i="57"/>
  <c r="C5" i="57"/>
  <c r="C4" i="57"/>
  <c r="C3" i="57"/>
  <c r="C2" i="57"/>
  <c r="I61" i="63"/>
  <c r="H61" i="63"/>
  <c r="G61" i="63"/>
  <c r="F61" i="63"/>
  <c r="E61" i="63"/>
  <c r="D61" i="63"/>
  <c r="B61" i="63"/>
  <c r="I60" i="63"/>
  <c r="H60" i="63"/>
  <c r="G60" i="63"/>
  <c r="F60" i="63"/>
  <c r="E60" i="63"/>
  <c r="D60" i="63"/>
  <c r="B60" i="63"/>
  <c r="E59" i="63"/>
  <c r="B59" i="63"/>
  <c r="I58" i="63"/>
  <c r="H58" i="63"/>
  <c r="G58" i="63"/>
  <c r="F58" i="63"/>
  <c r="E58" i="63"/>
  <c r="D58" i="63"/>
  <c r="B58" i="63"/>
  <c r="I57" i="63"/>
  <c r="H57" i="63"/>
  <c r="G57" i="63"/>
  <c r="F57" i="63"/>
  <c r="E57" i="63"/>
  <c r="D57" i="63"/>
  <c r="B57" i="63"/>
  <c r="I56" i="63"/>
  <c r="H56" i="63"/>
  <c r="G56" i="63"/>
  <c r="E56" i="63"/>
  <c r="D56" i="63"/>
  <c r="B56" i="63"/>
  <c r="I55" i="63"/>
  <c r="H55" i="63"/>
  <c r="G55" i="63"/>
  <c r="E55" i="63"/>
  <c r="D55" i="63"/>
  <c r="B55" i="63"/>
  <c r="I54" i="63"/>
  <c r="H54" i="63"/>
  <c r="G54" i="63"/>
  <c r="E54" i="63"/>
  <c r="D54" i="63"/>
  <c r="B54" i="63"/>
  <c r="I53" i="63"/>
  <c r="H53" i="63"/>
  <c r="G53" i="63"/>
  <c r="F53" i="63"/>
  <c r="E53" i="63"/>
  <c r="D53" i="63"/>
  <c r="B53" i="63"/>
  <c r="I52" i="63"/>
  <c r="H52" i="63"/>
  <c r="G52" i="63"/>
  <c r="F52" i="63"/>
  <c r="E52" i="63"/>
  <c r="D52" i="63"/>
  <c r="B52" i="63"/>
  <c r="I51" i="63"/>
  <c r="H51" i="63"/>
  <c r="G51" i="63"/>
  <c r="F51" i="63"/>
  <c r="E51" i="63"/>
  <c r="D51" i="63"/>
  <c r="B51" i="63"/>
  <c r="I50" i="63"/>
  <c r="H50" i="63"/>
  <c r="G50" i="63"/>
  <c r="F50" i="63"/>
  <c r="E50" i="63"/>
  <c r="D50" i="63"/>
  <c r="B50" i="63"/>
  <c r="E49" i="63"/>
  <c r="B49" i="63"/>
  <c r="I48" i="63"/>
  <c r="H48" i="63"/>
  <c r="G48" i="63"/>
  <c r="F48" i="63"/>
  <c r="E48" i="63"/>
  <c r="D48" i="63"/>
  <c r="B48" i="63"/>
  <c r="I47" i="63"/>
  <c r="H47" i="63"/>
  <c r="G47" i="63"/>
  <c r="F47" i="63"/>
  <c r="E47" i="63"/>
  <c r="D47" i="63"/>
  <c r="B47" i="63"/>
  <c r="I46" i="63"/>
  <c r="H46" i="63"/>
  <c r="G46" i="63"/>
  <c r="E46" i="63"/>
  <c r="D46" i="63"/>
  <c r="B46" i="63"/>
  <c r="I45" i="63"/>
  <c r="H45" i="63"/>
  <c r="G45" i="63"/>
  <c r="E45" i="63"/>
  <c r="D45" i="63"/>
  <c r="B45" i="63"/>
  <c r="I44" i="63"/>
  <c r="H44" i="63"/>
  <c r="G44" i="63"/>
  <c r="E44" i="63"/>
  <c r="D44" i="63"/>
  <c r="B44" i="63"/>
  <c r="I43" i="63"/>
  <c r="H43" i="63"/>
  <c r="G43" i="63"/>
  <c r="F43" i="63"/>
  <c r="E43" i="63"/>
  <c r="D43" i="63"/>
  <c r="B43" i="63"/>
  <c r="I42" i="63"/>
  <c r="H42" i="63"/>
  <c r="G42" i="63"/>
  <c r="F42" i="63"/>
  <c r="E42" i="63"/>
  <c r="D42" i="63"/>
  <c r="B42" i="63"/>
  <c r="I41" i="63"/>
  <c r="H41" i="63"/>
  <c r="G41" i="63"/>
  <c r="F41" i="63"/>
  <c r="E41" i="63"/>
  <c r="D41" i="63"/>
  <c r="B41" i="63"/>
  <c r="I40" i="63"/>
  <c r="H40" i="63"/>
  <c r="G40" i="63"/>
  <c r="F40" i="63"/>
  <c r="E40" i="63"/>
  <c r="D40" i="63"/>
  <c r="B40" i="63"/>
  <c r="E39" i="63"/>
  <c r="B39" i="63"/>
  <c r="I38" i="63"/>
  <c r="H38" i="63"/>
  <c r="G38" i="63"/>
  <c r="F38" i="63"/>
  <c r="E38" i="63"/>
  <c r="D38" i="63"/>
  <c r="B38" i="63"/>
  <c r="I37" i="63"/>
  <c r="H37" i="63"/>
  <c r="G37" i="63"/>
  <c r="F37" i="63"/>
  <c r="E37" i="63"/>
  <c r="D37" i="63"/>
  <c r="B37" i="63"/>
  <c r="I36" i="63"/>
  <c r="H36" i="63"/>
  <c r="G36" i="63"/>
  <c r="E36" i="63"/>
  <c r="D36" i="63"/>
  <c r="B36" i="63"/>
  <c r="I35" i="63"/>
  <c r="H35" i="63"/>
  <c r="G35" i="63"/>
  <c r="E35" i="63"/>
  <c r="D35" i="63"/>
  <c r="B35" i="63"/>
  <c r="I34" i="63"/>
  <c r="H34" i="63"/>
  <c r="G34" i="63"/>
  <c r="E34" i="63"/>
  <c r="D34" i="63"/>
  <c r="B34" i="63"/>
  <c r="I33" i="63"/>
  <c r="H33" i="63"/>
  <c r="G33" i="63"/>
  <c r="F33" i="63"/>
  <c r="E33" i="63"/>
  <c r="D33" i="63"/>
  <c r="B33" i="63"/>
  <c r="I32" i="63"/>
  <c r="H32" i="63"/>
  <c r="G32" i="63"/>
  <c r="F32" i="63"/>
  <c r="E32" i="63"/>
  <c r="D32" i="63"/>
  <c r="B32" i="63"/>
  <c r="I31" i="63"/>
  <c r="H31" i="63"/>
  <c r="G31" i="63"/>
  <c r="F31" i="63"/>
  <c r="E31" i="63"/>
  <c r="D31" i="63"/>
  <c r="B31" i="63"/>
  <c r="I30" i="63"/>
  <c r="H30" i="63"/>
  <c r="G30" i="63"/>
  <c r="F30" i="63"/>
  <c r="E30" i="63"/>
  <c r="D30" i="63"/>
  <c r="B30" i="63"/>
  <c r="E29" i="63"/>
  <c r="B29" i="63"/>
  <c r="I28" i="63"/>
  <c r="H28" i="63"/>
  <c r="G28" i="63"/>
  <c r="F28" i="63"/>
  <c r="E28" i="63"/>
  <c r="D28" i="63"/>
  <c r="B28" i="63"/>
  <c r="I27" i="63"/>
  <c r="H27" i="63"/>
  <c r="G27" i="63"/>
  <c r="F27" i="63"/>
  <c r="E27" i="63"/>
  <c r="D27" i="63"/>
  <c r="B27" i="63"/>
  <c r="I26" i="63"/>
  <c r="H26" i="63"/>
  <c r="G26" i="63"/>
  <c r="E26" i="63"/>
  <c r="D26" i="63"/>
  <c r="B26" i="63"/>
  <c r="I25" i="63"/>
  <c r="H25" i="63"/>
  <c r="G25" i="63"/>
  <c r="E25" i="63"/>
  <c r="D25" i="63"/>
  <c r="B25" i="63"/>
  <c r="I24" i="63"/>
  <c r="H24" i="63"/>
  <c r="G24" i="63"/>
  <c r="E24" i="63"/>
  <c r="D24" i="63"/>
  <c r="B24" i="63"/>
  <c r="I23" i="63"/>
  <c r="H23" i="63"/>
  <c r="G23" i="63"/>
  <c r="F23" i="63"/>
  <c r="E23" i="63"/>
  <c r="D23" i="63"/>
  <c r="B23" i="63"/>
  <c r="I22" i="63"/>
  <c r="H22" i="63"/>
  <c r="G22" i="63"/>
  <c r="F22" i="63"/>
  <c r="E22" i="63"/>
  <c r="D22" i="63"/>
  <c r="B22" i="63"/>
  <c r="I21" i="63"/>
  <c r="H21" i="63"/>
  <c r="G21" i="63"/>
  <c r="F21" i="63"/>
  <c r="E21" i="63"/>
  <c r="D21" i="63"/>
  <c r="B21" i="63"/>
  <c r="I20" i="63"/>
  <c r="H20" i="63"/>
  <c r="G20" i="63"/>
  <c r="F20" i="63"/>
  <c r="E20" i="63"/>
  <c r="D20" i="63"/>
  <c r="B20" i="63"/>
  <c r="E19" i="63"/>
  <c r="B19" i="63"/>
  <c r="I18" i="63"/>
  <c r="H18" i="63"/>
  <c r="G18" i="63"/>
  <c r="F18" i="63"/>
  <c r="E18" i="63"/>
  <c r="D18" i="63"/>
  <c r="B18" i="63"/>
  <c r="I17" i="63"/>
  <c r="H17" i="63"/>
  <c r="G17" i="63"/>
  <c r="F17" i="63"/>
  <c r="E17" i="63"/>
  <c r="D17" i="63"/>
  <c r="B17" i="63"/>
  <c r="I16" i="63"/>
  <c r="H16" i="63"/>
  <c r="G16" i="63"/>
  <c r="E16" i="63"/>
  <c r="D16" i="63"/>
  <c r="B16" i="63"/>
  <c r="I15" i="63"/>
  <c r="H15" i="63"/>
  <c r="G15" i="63"/>
  <c r="E15" i="63"/>
  <c r="D15" i="63"/>
  <c r="B15" i="63"/>
  <c r="I14" i="63"/>
  <c r="H14" i="63"/>
  <c r="G14" i="63"/>
  <c r="E14" i="63"/>
  <c r="D14" i="63"/>
  <c r="B14" i="63"/>
  <c r="I13" i="63"/>
  <c r="H13" i="63"/>
  <c r="G13" i="63"/>
  <c r="F13" i="63"/>
  <c r="E13" i="63"/>
  <c r="D13" i="63"/>
  <c r="B13" i="63"/>
  <c r="I12" i="63"/>
  <c r="H12" i="63"/>
  <c r="G12" i="63"/>
  <c r="F12" i="63"/>
  <c r="E12" i="63"/>
  <c r="D12" i="63"/>
  <c r="B12" i="63"/>
  <c r="B11" i="63"/>
  <c r="B10" i="63"/>
  <c r="B9" i="63"/>
  <c r="B8" i="63"/>
  <c r="B7" i="63"/>
  <c r="F6" i="63"/>
  <c r="B6" i="63"/>
  <c r="F5" i="63"/>
  <c r="B5" i="63"/>
  <c r="F4" i="63"/>
  <c r="B4" i="63"/>
  <c r="B3" i="63"/>
  <c r="B2" i="63"/>
  <c r="F53" i="20"/>
  <c r="C53" i="20" s="1"/>
  <c r="P22" i="18" s="1"/>
  <c r="F52" i="20"/>
  <c r="P30" i="18" s="1"/>
  <c r="F51" i="20"/>
  <c r="P29" i="18" s="1"/>
  <c r="H50" i="20"/>
  <c r="G50" i="20"/>
  <c r="F50" i="20"/>
  <c r="E50" i="20"/>
  <c r="D50" i="20"/>
  <c r="C50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C31" i="20"/>
  <c r="F26" i="20"/>
  <c r="F25" i="20"/>
  <c r="C25" i="20" s="1"/>
  <c r="F24" i="20"/>
  <c r="H23" i="20"/>
  <c r="G23" i="20"/>
  <c r="F23" i="20"/>
  <c r="E23" i="20"/>
  <c r="D23" i="20"/>
  <c r="C23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C5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C4" i="20"/>
  <c r="Z2" i="20"/>
  <c r="Y2" i="20"/>
  <c r="X2" i="20"/>
  <c r="K23" i="75"/>
  <c r="I23" i="75"/>
  <c r="K22" i="75"/>
  <c r="I22" i="75"/>
  <c r="K21" i="75"/>
  <c r="I21" i="75"/>
  <c r="K20" i="75"/>
  <c r="I20" i="75"/>
  <c r="K19" i="75"/>
  <c r="I19" i="75"/>
  <c r="K18" i="75"/>
  <c r="I18" i="75"/>
  <c r="K17" i="75"/>
  <c r="I17" i="75"/>
  <c r="K16" i="75"/>
  <c r="I16" i="75"/>
  <c r="K15" i="75"/>
  <c r="I15" i="75"/>
  <c r="K14" i="75"/>
  <c r="I14" i="75"/>
  <c r="K13" i="75"/>
  <c r="I13" i="75"/>
  <c r="K12" i="75"/>
  <c r="I12" i="75"/>
  <c r="K11" i="75"/>
  <c r="I11" i="75"/>
  <c r="K10" i="75"/>
  <c r="I10" i="75"/>
  <c r="K9" i="75"/>
  <c r="I9" i="75"/>
  <c r="K8" i="75"/>
  <c r="I8" i="75"/>
  <c r="K7" i="75"/>
  <c r="I7" i="75"/>
  <c r="K6" i="75"/>
  <c r="I6" i="75"/>
  <c r="K5" i="75"/>
  <c r="I5" i="75"/>
  <c r="K4" i="75"/>
  <c r="I4" i="75"/>
  <c r="K3" i="75"/>
  <c r="I3" i="75"/>
  <c r="F17" i="77"/>
  <c r="E17" i="77"/>
  <c r="D17" i="77"/>
  <c r="C17" i="77"/>
  <c r="B15" i="77"/>
  <c r="B4" i="77"/>
  <c r="B4" i="77" a="1"/>
  <c r="D3" i="77"/>
  <c r="C3" i="77"/>
  <c r="B1" i="77"/>
  <c r="F147" i="74"/>
  <c r="E147" i="74"/>
  <c r="B147" i="74"/>
  <c r="F146" i="74"/>
  <c r="E146" i="74"/>
  <c r="B146" i="74"/>
  <c r="F145" i="74"/>
  <c r="E145" i="74"/>
  <c r="B145" i="74"/>
  <c r="F144" i="74"/>
  <c r="E144" i="74"/>
  <c r="B144" i="74"/>
  <c r="F143" i="74"/>
  <c r="E143" i="74"/>
  <c r="B143" i="74"/>
  <c r="F142" i="74"/>
  <c r="E142" i="74"/>
  <c r="B142" i="74"/>
  <c r="F141" i="74"/>
  <c r="E141" i="74"/>
  <c r="B141" i="74"/>
  <c r="F140" i="74"/>
  <c r="E140" i="74"/>
  <c r="B140" i="74"/>
  <c r="F139" i="74"/>
  <c r="E139" i="74"/>
  <c r="B139" i="74"/>
  <c r="F138" i="74"/>
  <c r="E138" i="74"/>
  <c r="B138" i="74"/>
  <c r="F137" i="74"/>
  <c r="E137" i="74"/>
  <c r="B137" i="74"/>
  <c r="F136" i="74"/>
  <c r="E136" i="74"/>
  <c r="B136" i="74"/>
  <c r="F135" i="74"/>
  <c r="E135" i="74"/>
  <c r="B135" i="74"/>
  <c r="F134" i="74"/>
  <c r="E134" i="74"/>
  <c r="B134" i="74"/>
  <c r="F133" i="74"/>
  <c r="E133" i="74"/>
  <c r="B133" i="74"/>
  <c r="F132" i="74"/>
  <c r="E132" i="74"/>
  <c r="B132" i="74"/>
  <c r="F131" i="74"/>
  <c r="E131" i="74"/>
  <c r="B131" i="74"/>
  <c r="F130" i="74"/>
  <c r="E130" i="74"/>
  <c r="B130" i="74"/>
  <c r="F129" i="74"/>
  <c r="E129" i="74"/>
  <c r="B129" i="74"/>
  <c r="F128" i="74"/>
  <c r="E128" i="74"/>
  <c r="B128" i="74"/>
  <c r="F127" i="74"/>
  <c r="E127" i="74"/>
  <c r="B127" i="74"/>
  <c r="F126" i="74"/>
  <c r="E126" i="74"/>
  <c r="B126" i="74"/>
  <c r="F125" i="74"/>
  <c r="E125" i="74"/>
  <c r="B125" i="74"/>
  <c r="F124" i="74"/>
  <c r="E124" i="74"/>
  <c r="B124" i="74"/>
  <c r="F123" i="74"/>
  <c r="E123" i="74"/>
  <c r="B123" i="74"/>
  <c r="F122" i="74"/>
  <c r="E122" i="74"/>
  <c r="B122" i="74"/>
  <c r="F121" i="74"/>
  <c r="E121" i="74"/>
  <c r="B121" i="74"/>
  <c r="F120" i="74"/>
  <c r="E120" i="74"/>
  <c r="B120" i="74"/>
  <c r="F119" i="74"/>
  <c r="E119" i="74"/>
  <c r="B119" i="74"/>
  <c r="F118" i="74"/>
  <c r="E118" i="74"/>
  <c r="B118" i="74"/>
  <c r="F117" i="74"/>
  <c r="E117" i="74"/>
  <c r="B117" i="74"/>
  <c r="F116" i="74"/>
  <c r="E116" i="74"/>
  <c r="B116" i="74"/>
  <c r="F115" i="74"/>
  <c r="E115" i="74"/>
  <c r="B115" i="74"/>
  <c r="F114" i="74"/>
  <c r="E114" i="74"/>
  <c r="B114" i="74"/>
  <c r="F113" i="74"/>
  <c r="E113" i="74"/>
  <c r="B113" i="74"/>
  <c r="F112" i="74"/>
  <c r="E112" i="74"/>
  <c r="B112" i="74"/>
  <c r="F111" i="74"/>
  <c r="E111" i="74"/>
  <c r="B111" i="74"/>
  <c r="F110" i="74"/>
  <c r="E110" i="74"/>
  <c r="B110" i="74"/>
  <c r="F109" i="74"/>
  <c r="E109" i="74"/>
  <c r="B109" i="74"/>
  <c r="F108" i="74"/>
  <c r="E108" i="74"/>
  <c r="B108" i="74"/>
  <c r="F107" i="74"/>
  <c r="E107" i="74"/>
  <c r="B107" i="74"/>
  <c r="F106" i="74"/>
  <c r="E106" i="74"/>
  <c r="B106" i="74"/>
  <c r="F105" i="74"/>
  <c r="E105" i="74"/>
  <c r="B105" i="74"/>
  <c r="F104" i="74"/>
  <c r="E104" i="74"/>
  <c r="B104" i="74"/>
  <c r="F103" i="74"/>
  <c r="E103" i="74"/>
  <c r="B103" i="74"/>
  <c r="F102" i="74"/>
  <c r="E102" i="74"/>
  <c r="B102" i="74"/>
  <c r="F101" i="74"/>
  <c r="E101" i="74"/>
  <c r="B101" i="74"/>
  <c r="F100" i="74"/>
  <c r="B100" i="74"/>
  <c r="F99" i="74"/>
  <c r="E99" i="74"/>
  <c r="B99" i="74"/>
  <c r="A99" i="74"/>
  <c r="C99" i="74" s="1"/>
  <c r="F98" i="74"/>
  <c r="E98" i="74"/>
  <c r="B98" i="74"/>
  <c r="A98" i="74"/>
  <c r="C98" i="74" s="1"/>
  <c r="F97" i="74"/>
  <c r="E97" i="74"/>
  <c r="B97" i="74"/>
  <c r="A97" i="74"/>
  <c r="C97" i="74" s="1"/>
  <c r="F96" i="74"/>
  <c r="E96" i="74"/>
  <c r="B96" i="74"/>
  <c r="A96" i="74"/>
  <c r="C96" i="74" s="1"/>
  <c r="F95" i="74"/>
  <c r="E95" i="74"/>
  <c r="B95" i="74"/>
  <c r="A95" i="74"/>
  <c r="A143" i="74" s="1"/>
  <c r="C143" i="74" s="1"/>
  <c r="F94" i="74"/>
  <c r="E94" i="74"/>
  <c r="B94" i="74"/>
  <c r="A94" i="74"/>
  <c r="A142" i="74" s="1"/>
  <c r="C142" i="74" s="1"/>
  <c r="F93" i="74"/>
  <c r="E93" i="74"/>
  <c r="B93" i="74"/>
  <c r="A93" i="74"/>
  <c r="C93" i="74" s="1"/>
  <c r="F92" i="74"/>
  <c r="E92" i="74"/>
  <c r="B92" i="74"/>
  <c r="A92" i="74"/>
  <c r="A140" i="74" s="1"/>
  <c r="C140" i="74" s="1"/>
  <c r="F91" i="74"/>
  <c r="E91" i="74"/>
  <c r="B91" i="74"/>
  <c r="A91" i="74"/>
  <c r="A139" i="74" s="1"/>
  <c r="C139" i="74" s="1"/>
  <c r="F90" i="74"/>
  <c r="E90" i="74"/>
  <c r="B90" i="74"/>
  <c r="A90" i="74"/>
  <c r="A138" i="74" s="1"/>
  <c r="C138" i="74" s="1"/>
  <c r="F89" i="74"/>
  <c r="E89" i="74"/>
  <c r="B89" i="74"/>
  <c r="A89" i="74"/>
  <c r="C89" i="74" s="1"/>
  <c r="F88" i="74"/>
  <c r="E88" i="74"/>
  <c r="C88" i="74"/>
  <c r="B88" i="74"/>
  <c r="A88" i="74"/>
  <c r="A136" i="74" s="1"/>
  <c r="C136" i="74" s="1"/>
  <c r="F87" i="74"/>
  <c r="E87" i="74"/>
  <c r="B87" i="74"/>
  <c r="A87" i="74"/>
  <c r="C87" i="74" s="1"/>
  <c r="F86" i="74"/>
  <c r="E86" i="74"/>
  <c r="B86" i="74"/>
  <c r="A86" i="74"/>
  <c r="C86" i="74" s="1"/>
  <c r="F85" i="74"/>
  <c r="E85" i="74"/>
  <c r="B85" i="74"/>
  <c r="A85" i="74"/>
  <c r="C85" i="74" s="1"/>
  <c r="F84" i="74"/>
  <c r="E84" i="74"/>
  <c r="B84" i="74"/>
  <c r="A84" i="74"/>
  <c r="C84" i="74" s="1"/>
  <c r="F83" i="74"/>
  <c r="E83" i="74"/>
  <c r="B83" i="74"/>
  <c r="A83" i="74"/>
  <c r="A131" i="74" s="1"/>
  <c r="C131" i="74" s="1"/>
  <c r="F82" i="74"/>
  <c r="E82" i="74"/>
  <c r="C82" i="74"/>
  <c r="B82" i="74"/>
  <c r="A82" i="74"/>
  <c r="A130" i="74" s="1"/>
  <c r="C130" i="74" s="1"/>
  <c r="F81" i="74"/>
  <c r="E81" i="74"/>
  <c r="B81" i="74"/>
  <c r="A81" i="74"/>
  <c r="C81" i="74" s="1"/>
  <c r="F80" i="74"/>
  <c r="E80" i="74"/>
  <c r="B80" i="74"/>
  <c r="A80" i="74"/>
  <c r="A128" i="74" s="1"/>
  <c r="C128" i="74" s="1"/>
  <c r="F79" i="74"/>
  <c r="E79" i="74"/>
  <c r="B79" i="74"/>
  <c r="A79" i="74"/>
  <c r="A127" i="74" s="1"/>
  <c r="C127" i="74" s="1"/>
  <c r="F78" i="74"/>
  <c r="E78" i="74"/>
  <c r="B78" i="74"/>
  <c r="A78" i="74"/>
  <c r="A126" i="74" s="1"/>
  <c r="C126" i="74" s="1"/>
  <c r="F77" i="74"/>
  <c r="E77" i="74"/>
  <c r="B77" i="74"/>
  <c r="A77" i="74"/>
  <c r="C77" i="74" s="1"/>
  <c r="F76" i="74"/>
  <c r="E76" i="74"/>
  <c r="C76" i="74"/>
  <c r="B76" i="74"/>
  <c r="A76" i="74"/>
  <c r="A124" i="74" s="1"/>
  <c r="C124" i="74" s="1"/>
  <c r="F75" i="74"/>
  <c r="E75" i="74"/>
  <c r="B75" i="74"/>
  <c r="A75" i="74"/>
  <c r="C75" i="74" s="1"/>
  <c r="F74" i="74"/>
  <c r="E74" i="74"/>
  <c r="B74" i="74"/>
  <c r="A74" i="74"/>
  <c r="C74" i="74" s="1"/>
  <c r="F73" i="74"/>
  <c r="E73" i="74"/>
  <c r="B73" i="74"/>
  <c r="A73" i="74"/>
  <c r="C73" i="74" s="1"/>
  <c r="F72" i="74"/>
  <c r="E72" i="74"/>
  <c r="B72" i="74"/>
  <c r="A72" i="74"/>
  <c r="C72" i="74" s="1"/>
  <c r="F71" i="74"/>
  <c r="E71" i="74"/>
  <c r="C71" i="74"/>
  <c r="B71" i="74"/>
  <c r="A71" i="74"/>
  <c r="A119" i="74" s="1"/>
  <c r="C119" i="74" s="1"/>
  <c r="F70" i="74"/>
  <c r="E70" i="74"/>
  <c r="B70" i="74"/>
  <c r="A70" i="74"/>
  <c r="A118" i="74" s="1"/>
  <c r="C118" i="74" s="1"/>
  <c r="F69" i="74"/>
  <c r="E69" i="74"/>
  <c r="B69" i="74"/>
  <c r="A69" i="74"/>
  <c r="C69" i="74" s="1"/>
  <c r="F68" i="74"/>
  <c r="E68" i="74"/>
  <c r="B68" i="74"/>
  <c r="A68" i="74"/>
  <c r="A116" i="74" s="1"/>
  <c r="C116" i="74" s="1"/>
  <c r="F67" i="74"/>
  <c r="E67" i="74"/>
  <c r="B67" i="74"/>
  <c r="A67" i="74"/>
  <c r="A115" i="74" s="1"/>
  <c r="C115" i="74" s="1"/>
  <c r="F66" i="74"/>
  <c r="E66" i="74"/>
  <c r="B66" i="74"/>
  <c r="A66" i="74"/>
  <c r="A114" i="74" s="1"/>
  <c r="C114" i="74" s="1"/>
  <c r="F65" i="74"/>
  <c r="E65" i="74"/>
  <c r="B65" i="74"/>
  <c r="A65" i="74"/>
  <c r="C65" i="74" s="1"/>
  <c r="F64" i="74"/>
  <c r="E64" i="74"/>
  <c r="B64" i="74"/>
  <c r="A64" i="74"/>
  <c r="A112" i="74" s="1"/>
  <c r="C112" i="74" s="1"/>
  <c r="F63" i="74"/>
  <c r="E63" i="74"/>
  <c r="B63" i="74"/>
  <c r="A63" i="74"/>
  <c r="C63" i="74" s="1"/>
  <c r="F62" i="74"/>
  <c r="E62" i="74"/>
  <c r="B62" i="74"/>
  <c r="A62" i="74"/>
  <c r="C62" i="74" s="1"/>
  <c r="F61" i="74"/>
  <c r="E61" i="74"/>
  <c r="B61" i="74"/>
  <c r="A61" i="74"/>
  <c r="C61" i="74" s="1"/>
  <c r="F60" i="74"/>
  <c r="E60" i="74"/>
  <c r="B60" i="74"/>
  <c r="A60" i="74"/>
  <c r="C60" i="74" s="1"/>
  <c r="F59" i="74"/>
  <c r="E59" i="74"/>
  <c r="B59" i="74"/>
  <c r="A59" i="74"/>
  <c r="A107" i="74" s="1"/>
  <c r="C107" i="74" s="1"/>
  <c r="F58" i="74"/>
  <c r="E58" i="74"/>
  <c r="B58" i="74"/>
  <c r="A58" i="74"/>
  <c r="A106" i="74" s="1"/>
  <c r="C106" i="74" s="1"/>
  <c r="F57" i="74"/>
  <c r="E57" i="74"/>
  <c r="B57" i="74"/>
  <c r="A57" i="74"/>
  <c r="C57" i="74" s="1"/>
  <c r="F56" i="74"/>
  <c r="E56" i="74"/>
  <c r="B56" i="74"/>
  <c r="A56" i="74"/>
  <c r="A104" i="74" s="1"/>
  <c r="C104" i="74" s="1"/>
  <c r="F55" i="74"/>
  <c r="E55" i="74"/>
  <c r="B55" i="74"/>
  <c r="A55" i="74"/>
  <c r="S55" i="74" s="1"/>
  <c r="F54" i="74"/>
  <c r="E54" i="74"/>
  <c r="B54" i="74"/>
  <c r="A54" i="74"/>
  <c r="C54" i="74" s="1"/>
  <c r="F53" i="74"/>
  <c r="E53" i="74"/>
  <c r="B53" i="74"/>
  <c r="A53" i="74"/>
  <c r="C53" i="74" s="1"/>
  <c r="F52" i="74"/>
  <c r="E52" i="74"/>
  <c r="E100" i="74" s="1"/>
  <c r="C52" i="74"/>
  <c r="B52" i="74"/>
  <c r="A52" i="74"/>
  <c r="A100" i="74" s="1"/>
  <c r="C100" i="74" s="1"/>
  <c r="F51" i="74"/>
  <c r="C51" i="74"/>
  <c r="F50" i="74"/>
  <c r="C50" i="74"/>
  <c r="F49" i="74"/>
  <c r="C49" i="74"/>
  <c r="F48" i="74"/>
  <c r="C48" i="74"/>
  <c r="F47" i="74"/>
  <c r="C47" i="74"/>
  <c r="F46" i="74"/>
  <c r="C46" i="74"/>
  <c r="F45" i="74"/>
  <c r="C45" i="74"/>
  <c r="F44" i="74"/>
  <c r="C44" i="74"/>
  <c r="F43" i="74"/>
  <c r="C43" i="74"/>
  <c r="F42" i="74"/>
  <c r="C42" i="74"/>
  <c r="F41" i="74"/>
  <c r="C41" i="74"/>
  <c r="F40" i="74"/>
  <c r="C40" i="74"/>
  <c r="F39" i="74"/>
  <c r="C39" i="74"/>
  <c r="F38" i="74"/>
  <c r="C38" i="74"/>
  <c r="F37" i="74"/>
  <c r="C37" i="74"/>
  <c r="F36" i="74"/>
  <c r="C36" i="74"/>
  <c r="F35" i="74"/>
  <c r="C35" i="74"/>
  <c r="F34" i="74"/>
  <c r="C34" i="74"/>
  <c r="F33" i="74"/>
  <c r="C33" i="74"/>
  <c r="F32" i="74"/>
  <c r="C32" i="74"/>
  <c r="F31" i="74"/>
  <c r="C31" i="74"/>
  <c r="F30" i="74"/>
  <c r="C30" i="74"/>
  <c r="F29" i="74"/>
  <c r="C29" i="74"/>
  <c r="F28" i="74"/>
  <c r="C28" i="74"/>
  <c r="F27" i="74"/>
  <c r="C27" i="74"/>
  <c r="F26" i="74"/>
  <c r="C26" i="74"/>
  <c r="F25" i="74"/>
  <c r="C25" i="74"/>
  <c r="F24" i="74"/>
  <c r="C24" i="74"/>
  <c r="F23" i="74"/>
  <c r="C23" i="74"/>
  <c r="F22" i="74"/>
  <c r="C22" i="74"/>
  <c r="F21" i="74"/>
  <c r="C21" i="74"/>
  <c r="F20" i="74"/>
  <c r="C20" i="74"/>
  <c r="F19" i="74"/>
  <c r="C19" i="74"/>
  <c r="F18" i="74"/>
  <c r="C18" i="74"/>
  <c r="F17" i="74"/>
  <c r="C17" i="74"/>
  <c r="F16" i="74"/>
  <c r="C16" i="74"/>
  <c r="F15" i="74"/>
  <c r="C15" i="74"/>
  <c r="F14" i="74"/>
  <c r="C14" i="74"/>
  <c r="F13" i="74"/>
  <c r="C13" i="74"/>
  <c r="F12" i="74"/>
  <c r="C12" i="74"/>
  <c r="F11" i="74"/>
  <c r="C11" i="74"/>
  <c r="F10" i="74"/>
  <c r="C10" i="74"/>
  <c r="F9" i="74"/>
  <c r="C9" i="74"/>
  <c r="F8" i="74"/>
  <c r="C8" i="74"/>
  <c r="S7" i="74"/>
  <c r="F7" i="74"/>
  <c r="C7" i="74"/>
  <c r="F6" i="74"/>
  <c r="C6" i="74"/>
  <c r="F5" i="74"/>
  <c r="C5" i="74"/>
  <c r="F4" i="74"/>
  <c r="C4" i="74"/>
  <c r="AE3" i="74"/>
  <c r="AB3" i="74"/>
  <c r="AE2" i="74"/>
  <c r="AE1" i="74"/>
  <c r="I291" i="66"/>
  <c r="E291" i="66"/>
  <c r="D291" i="66"/>
  <c r="B291" i="66"/>
  <c r="A291" i="66"/>
  <c r="I290" i="66"/>
  <c r="E290" i="66"/>
  <c r="D290" i="66"/>
  <c r="B290" i="66"/>
  <c r="A290" i="66"/>
  <c r="I289" i="66"/>
  <c r="E289" i="66"/>
  <c r="D289" i="66"/>
  <c r="B289" i="66"/>
  <c r="A289" i="66"/>
  <c r="I288" i="66"/>
  <c r="E288" i="66"/>
  <c r="D288" i="66"/>
  <c r="B288" i="66"/>
  <c r="A288" i="66"/>
  <c r="I287" i="66"/>
  <c r="E287" i="66"/>
  <c r="D287" i="66"/>
  <c r="B287" i="66"/>
  <c r="A287" i="66"/>
  <c r="I286" i="66"/>
  <c r="E286" i="66"/>
  <c r="D286" i="66"/>
  <c r="B286" i="66"/>
  <c r="A286" i="66"/>
  <c r="I285" i="66"/>
  <c r="E285" i="66"/>
  <c r="D285" i="66"/>
  <c r="B285" i="66"/>
  <c r="A285" i="66"/>
  <c r="I284" i="66"/>
  <c r="E284" i="66"/>
  <c r="D284" i="66"/>
  <c r="B284" i="66"/>
  <c r="A284" i="66"/>
  <c r="I283" i="66"/>
  <c r="E283" i="66"/>
  <c r="D283" i="66"/>
  <c r="B283" i="66"/>
  <c r="A283" i="66"/>
  <c r="I282" i="66"/>
  <c r="E282" i="66"/>
  <c r="D282" i="66"/>
  <c r="B282" i="66"/>
  <c r="A282" i="66"/>
  <c r="I281" i="66"/>
  <c r="E281" i="66"/>
  <c r="D281" i="66"/>
  <c r="B281" i="66"/>
  <c r="A281" i="66"/>
  <c r="I280" i="66"/>
  <c r="E280" i="66"/>
  <c r="D280" i="66"/>
  <c r="B280" i="66"/>
  <c r="A280" i="66"/>
  <c r="I279" i="66"/>
  <c r="E279" i="66"/>
  <c r="D279" i="66"/>
  <c r="B279" i="66"/>
  <c r="A279" i="66"/>
  <c r="I278" i="66"/>
  <c r="E278" i="66"/>
  <c r="D278" i="66"/>
  <c r="B278" i="66"/>
  <c r="A278" i="66"/>
  <c r="I277" i="66"/>
  <c r="E277" i="66"/>
  <c r="D277" i="66"/>
  <c r="B277" i="66"/>
  <c r="A277" i="66"/>
  <c r="I276" i="66"/>
  <c r="E276" i="66"/>
  <c r="D276" i="66"/>
  <c r="B276" i="66"/>
  <c r="A276" i="66"/>
  <c r="I275" i="66"/>
  <c r="E275" i="66"/>
  <c r="D275" i="66"/>
  <c r="B275" i="66"/>
  <c r="A275" i="66"/>
  <c r="I274" i="66"/>
  <c r="E274" i="66"/>
  <c r="D274" i="66"/>
  <c r="B274" i="66"/>
  <c r="A274" i="66"/>
  <c r="I273" i="66"/>
  <c r="E273" i="66"/>
  <c r="D273" i="66"/>
  <c r="B273" i="66"/>
  <c r="A273" i="66"/>
  <c r="I272" i="66"/>
  <c r="E272" i="66"/>
  <c r="D272" i="66"/>
  <c r="B272" i="66"/>
  <c r="A272" i="66"/>
  <c r="I271" i="66"/>
  <c r="E271" i="66"/>
  <c r="D271" i="66"/>
  <c r="B271" i="66"/>
  <c r="A271" i="66"/>
  <c r="I270" i="66"/>
  <c r="E270" i="66"/>
  <c r="D270" i="66"/>
  <c r="B270" i="66"/>
  <c r="A270" i="66"/>
  <c r="I269" i="66"/>
  <c r="E269" i="66"/>
  <c r="D269" i="66"/>
  <c r="B269" i="66"/>
  <c r="A269" i="66"/>
  <c r="I268" i="66"/>
  <c r="E268" i="66"/>
  <c r="D268" i="66"/>
  <c r="B268" i="66"/>
  <c r="A268" i="66"/>
  <c r="I267" i="66"/>
  <c r="E267" i="66"/>
  <c r="D267" i="66"/>
  <c r="B267" i="66"/>
  <c r="A267" i="66"/>
  <c r="I266" i="66"/>
  <c r="E266" i="66"/>
  <c r="D266" i="66"/>
  <c r="B266" i="66"/>
  <c r="A266" i="66"/>
  <c r="I265" i="66"/>
  <c r="E265" i="66"/>
  <c r="D265" i="66"/>
  <c r="B265" i="66"/>
  <c r="A265" i="66"/>
  <c r="I264" i="66"/>
  <c r="E264" i="66"/>
  <c r="D264" i="66"/>
  <c r="B264" i="66"/>
  <c r="A264" i="66"/>
  <c r="I263" i="66"/>
  <c r="E263" i="66"/>
  <c r="D263" i="66"/>
  <c r="B263" i="66"/>
  <c r="A263" i="66"/>
  <c r="I262" i="66"/>
  <c r="E262" i="66"/>
  <c r="D262" i="66"/>
  <c r="B262" i="66"/>
  <c r="A262" i="66"/>
  <c r="I261" i="66"/>
  <c r="E261" i="66"/>
  <c r="D261" i="66"/>
  <c r="B261" i="66"/>
  <c r="A261" i="66"/>
  <c r="E260" i="66"/>
  <c r="D260" i="66"/>
  <c r="B260" i="66"/>
  <c r="A260" i="66"/>
  <c r="I259" i="66"/>
  <c r="E259" i="66"/>
  <c r="D259" i="66"/>
  <c r="B259" i="66"/>
  <c r="A259" i="66"/>
  <c r="I258" i="66"/>
  <c r="E258" i="66"/>
  <c r="D258" i="66"/>
  <c r="B258" i="66"/>
  <c r="A258" i="66"/>
  <c r="I257" i="66"/>
  <c r="E257" i="66"/>
  <c r="D257" i="66"/>
  <c r="B257" i="66"/>
  <c r="A257" i="66"/>
  <c r="I256" i="66"/>
  <c r="E256" i="66"/>
  <c r="D256" i="66"/>
  <c r="B256" i="66"/>
  <c r="A256" i="66"/>
  <c r="I255" i="66"/>
  <c r="E255" i="66"/>
  <c r="D255" i="66"/>
  <c r="B255" i="66"/>
  <c r="A255" i="66"/>
  <c r="I254" i="66"/>
  <c r="E254" i="66"/>
  <c r="D254" i="66"/>
  <c r="B254" i="66"/>
  <c r="A254" i="66"/>
  <c r="I253" i="66"/>
  <c r="E253" i="66"/>
  <c r="D253" i="66"/>
  <c r="B253" i="66"/>
  <c r="A253" i="66"/>
  <c r="I252" i="66"/>
  <c r="E252" i="66"/>
  <c r="D252" i="66"/>
  <c r="B252" i="66"/>
  <c r="A252" i="66"/>
  <c r="I251" i="66"/>
  <c r="E251" i="66"/>
  <c r="D251" i="66"/>
  <c r="B251" i="66"/>
  <c r="A251" i="66"/>
  <c r="I250" i="66"/>
  <c r="E250" i="66"/>
  <c r="D250" i="66"/>
  <c r="B250" i="66"/>
  <c r="A250" i="66"/>
  <c r="I249" i="66"/>
  <c r="E249" i="66"/>
  <c r="D249" i="66"/>
  <c r="B249" i="66"/>
  <c r="A249" i="66"/>
  <c r="I248" i="66"/>
  <c r="E248" i="66"/>
  <c r="D248" i="66"/>
  <c r="B248" i="66"/>
  <c r="A248" i="66"/>
  <c r="S247" i="66"/>
  <c r="I247" i="66"/>
  <c r="E247" i="66"/>
  <c r="D247" i="66"/>
  <c r="B247" i="66"/>
  <c r="A247" i="66"/>
  <c r="I246" i="66"/>
  <c r="E246" i="66"/>
  <c r="D246" i="66"/>
  <c r="B246" i="66"/>
  <c r="A246" i="66"/>
  <c r="I245" i="66"/>
  <c r="E245" i="66"/>
  <c r="D245" i="66"/>
  <c r="B245" i="66"/>
  <c r="A245" i="66"/>
  <c r="I244" i="66"/>
  <c r="E244" i="66"/>
  <c r="D244" i="66"/>
  <c r="B244" i="66"/>
  <c r="A244" i="66"/>
  <c r="I243" i="66"/>
  <c r="E243" i="66"/>
  <c r="D243" i="66"/>
  <c r="B243" i="66"/>
  <c r="A243" i="66"/>
  <c r="I242" i="66"/>
  <c r="E242" i="66"/>
  <c r="D242" i="66"/>
  <c r="B242" i="66"/>
  <c r="A242" i="66"/>
  <c r="I241" i="66"/>
  <c r="E241" i="66"/>
  <c r="D241" i="66"/>
  <c r="B241" i="66"/>
  <c r="A241" i="66"/>
  <c r="I240" i="66"/>
  <c r="E240" i="66"/>
  <c r="D240" i="66"/>
  <c r="B240" i="66"/>
  <c r="A240" i="66"/>
  <c r="I239" i="66"/>
  <c r="E239" i="66"/>
  <c r="D239" i="66"/>
  <c r="B239" i="66"/>
  <c r="A239" i="66"/>
  <c r="I238" i="66"/>
  <c r="E238" i="66"/>
  <c r="D238" i="66"/>
  <c r="B238" i="66"/>
  <c r="A238" i="66"/>
  <c r="I237" i="66"/>
  <c r="E237" i="66"/>
  <c r="D237" i="66"/>
  <c r="B237" i="66"/>
  <c r="A237" i="66"/>
  <c r="I236" i="66"/>
  <c r="E236" i="66"/>
  <c r="D236" i="66"/>
  <c r="B236" i="66"/>
  <c r="A236" i="66"/>
  <c r="I235" i="66"/>
  <c r="E235" i="66"/>
  <c r="D235" i="66"/>
  <c r="B235" i="66"/>
  <c r="A235" i="66"/>
  <c r="I234" i="66"/>
  <c r="E234" i="66"/>
  <c r="D234" i="66"/>
  <c r="B234" i="66"/>
  <c r="A234" i="66"/>
  <c r="I233" i="66"/>
  <c r="E233" i="66"/>
  <c r="D233" i="66"/>
  <c r="B233" i="66"/>
  <c r="A233" i="66"/>
  <c r="I232" i="66"/>
  <c r="E232" i="66"/>
  <c r="D232" i="66"/>
  <c r="B232" i="66"/>
  <c r="A232" i="66"/>
  <c r="I231" i="66"/>
  <c r="E231" i="66"/>
  <c r="D231" i="66"/>
  <c r="B231" i="66"/>
  <c r="A231" i="66"/>
  <c r="I230" i="66"/>
  <c r="E230" i="66"/>
  <c r="D230" i="66"/>
  <c r="B230" i="66"/>
  <c r="A230" i="66"/>
  <c r="I229" i="66"/>
  <c r="E229" i="66"/>
  <c r="D229" i="66"/>
  <c r="B229" i="66"/>
  <c r="A229" i="66"/>
  <c r="I228" i="66"/>
  <c r="E228" i="66"/>
  <c r="D228" i="66"/>
  <c r="B228" i="66"/>
  <c r="A228" i="66"/>
  <c r="I227" i="66"/>
  <c r="E227" i="66"/>
  <c r="D227" i="66"/>
  <c r="B227" i="66"/>
  <c r="A227" i="66"/>
  <c r="I226" i="66"/>
  <c r="E226" i="66"/>
  <c r="D226" i="66"/>
  <c r="B226" i="66"/>
  <c r="A226" i="66"/>
  <c r="I225" i="66"/>
  <c r="E225" i="66"/>
  <c r="D225" i="66"/>
  <c r="B225" i="66"/>
  <c r="A225" i="66"/>
  <c r="I224" i="66"/>
  <c r="E224" i="66"/>
  <c r="D224" i="66"/>
  <c r="B224" i="66"/>
  <c r="A224" i="66"/>
  <c r="I223" i="66"/>
  <c r="E223" i="66"/>
  <c r="D223" i="66"/>
  <c r="B223" i="66"/>
  <c r="A223" i="66"/>
  <c r="I222" i="66"/>
  <c r="E222" i="66"/>
  <c r="D222" i="66"/>
  <c r="B222" i="66"/>
  <c r="A222" i="66"/>
  <c r="I221" i="66"/>
  <c r="E221" i="66"/>
  <c r="D221" i="66"/>
  <c r="B221" i="66"/>
  <c r="A221" i="66"/>
  <c r="I220" i="66"/>
  <c r="E220" i="66"/>
  <c r="D220" i="66"/>
  <c r="B220" i="66"/>
  <c r="A220" i="66"/>
  <c r="I219" i="66"/>
  <c r="E219" i="66"/>
  <c r="D219" i="66"/>
  <c r="B219" i="66"/>
  <c r="A219" i="66"/>
  <c r="I218" i="66"/>
  <c r="E218" i="66"/>
  <c r="D218" i="66"/>
  <c r="B218" i="66"/>
  <c r="A218" i="66"/>
  <c r="I217" i="66"/>
  <c r="E217" i="66"/>
  <c r="D217" i="66"/>
  <c r="B217" i="66"/>
  <c r="A217" i="66"/>
  <c r="I216" i="66"/>
  <c r="E216" i="66"/>
  <c r="D216" i="66"/>
  <c r="B216" i="66"/>
  <c r="A216" i="66"/>
  <c r="I215" i="66"/>
  <c r="E215" i="66"/>
  <c r="D215" i="66"/>
  <c r="B215" i="66"/>
  <c r="A215" i="66"/>
  <c r="I214" i="66"/>
  <c r="E214" i="66"/>
  <c r="D214" i="66"/>
  <c r="B214" i="66"/>
  <c r="A214" i="66"/>
  <c r="I213" i="66"/>
  <c r="E213" i="66"/>
  <c r="D213" i="66"/>
  <c r="B213" i="66"/>
  <c r="A213" i="66"/>
  <c r="E212" i="66"/>
  <c r="D212" i="66"/>
  <c r="B212" i="66"/>
  <c r="A212" i="66"/>
  <c r="I211" i="66"/>
  <c r="E211" i="66"/>
  <c r="D211" i="66"/>
  <c r="B211" i="66"/>
  <c r="A211" i="66"/>
  <c r="I210" i="66"/>
  <c r="E210" i="66"/>
  <c r="D210" i="66"/>
  <c r="B210" i="66"/>
  <c r="A210" i="66"/>
  <c r="I209" i="66"/>
  <c r="E209" i="66"/>
  <c r="D209" i="66"/>
  <c r="B209" i="66"/>
  <c r="A209" i="66"/>
  <c r="I208" i="66"/>
  <c r="E208" i="66"/>
  <c r="D208" i="66"/>
  <c r="B208" i="66"/>
  <c r="A208" i="66"/>
  <c r="I207" i="66"/>
  <c r="E207" i="66"/>
  <c r="D207" i="66"/>
  <c r="B207" i="66"/>
  <c r="A207" i="66"/>
  <c r="I206" i="66"/>
  <c r="E206" i="66"/>
  <c r="D206" i="66"/>
  <c r="B206" i="66"/>
  <c r="A206" i="66"/>
  <c r="I205" i="66"/>
  <c r="E205" i="66"/>
  <c r="D205" i="66"/>
  <c r="B205" i="66"/>
  <c r="A205" i="66"/>
  <c r="I204" i="66"/>
  <c r="E204" i="66"/>
  <c r="D204" i="66"/>
  <c r="B204" i="66"/>
  <c r="A204" i="66"/>
  <c r="I203" i="66"/>
  <c r="E203" i="66"/>
  <c r="D203" i="66"/>
  <c r="B203" i="66"/>
  <c r="A203" i="66"/>
  <c r="I202" i="66"/>
  <c r="E202" i="66"/>
  <c r="D202" i="66"/>
  <c r="B202" i="66"/>
  <c r="A202" i="66"/>
  <c r="I201" i="66"/>
  <c r="E201" i="66"/>
  <c r="D201" i="66"/>
  <c r="B201" i="66"/>
  <c r="A201" i="66"/>
  <c r="I200" i="66"/>
  <c r="E200" i="66"/>
  <c r="D200" i="66"/>
  <c r="B200" i="66"/>
  <c r="A200" i="66"/>
  <c r="S199" i="66"/>
  <c r="I199" i="66"/>
  <c r="E199" i="66"/>
  <c r="D199" i="66"/>
  <c r="B199" i="66"/>
  <c r="A199" i="66"/>
  <c r="I198" i="66"/>
  <c r="E198" i="66"/>
  <c r="D198" i="66"/>
  <c r="B198" i="66"/>
  <c r="A198" i="66"/>
  <c r="I197" i="66"/>
  <c r="E197" i="66"/>
  <c r="D197" i="66"/>
  <c r="B197" i="66"/>
  <c r="A197" i="66"/>
  <c r="I196" i="66"/>
  <c r="E196" i="66"/>
  <c r="D196" i="66"/>
  <c r="B196" i="66"/>
  <c r="A196" i="66"/>
  <c r="I195" i="66"/>
  <c r="E195" i="66"/>
  <c r="D195" i="66"/>
  <c r="I194" i="66"/>
  <c r="E194" i="66"/>
  <c r="D194" i="66"/>
  <c r="I193" i="66"/>
  <c r="E193" i="66"/>
  <c r="D193" i="66"/>
  <c r="I192" i="66"/>
  <c r="E192" i="66"/>
  <c r="D192" i="66"/>
  <c r="I191" i="66"/>
  <c r="E191" i="66"/>
  <c r="D191" i="66"/>
  <c r="I190" i="66"/>
  <c r="E190" i="66"/>
  <c r="D190" i="66"/>
  <c r="I189" i="66"/>
  <c r="E189" i="66"/>
  <c r="D189" i="66"/>
  <c r="I188" i="66"/>
  <c r="E188" i="66"/>
  <c r="D188" i="66"/>
  <c r="I187" i="66"/>
  <c r="E187" i="66"/>
  <c r="D187" i="66"/>
  <c r="I186" i="66"/>
  <c r="E186" i="66"/>
  <c r="D186" i="66"/>
  <c r="I185" i="66"/>
  <c r="E185" i="66"/>
  <c r="D185" i="66"/>
  <c r="I184" i="66"/>
  <c r="E184" i="66"/>
  <c r="D184" i="66"/>
  <c r="I183" i="66"/>
  <c r="E183" i="66"/>
  <c r="D183" i="66"/>
  <c r="I182" i="66"/>
  <c r="E182" i="66"/>
  <c r="D182" i="66"/>
  <c r="I181" i="66"/>
  <c r="E181" i="66"/>
  <c r="D181" i="66"/>
  <c r="I180" i="66"/>
  <c r="E180" i="66"/>
  <c r="D180" i="66"/>
  <c r="I179" i="66"/>
  <c r="E179" i="66"/>
  <c r="D179" i="66"/>
  <c r="I178" i="66"/>
  <c r="E178" i="66"/>
  <c r="D178" i="66"/>
  <c r="I177" i="66"/>
  <c r="E177" i="66"/>
  <c r="D177" i="66"/>
  <c r="I176" i="66"/>
  <c r="E176" i="66"/>
  <c r="D176" i="66"/>
  <c r="I175" i="66"/>
  <c r="E175" i="66"/>
  <c r="D175" i="66"/>
  <c r="I174" i="66"/>
  <c r="E174" i="66"/>
  <c r="D174" i="66"/>
  <c r="I173" i="66"/>
  <c r="E173" i="66"/>
  <c r="D173" i="66"/>
  <c r="I172" i="66"/>
  <c r="E172" i="66"/>
  <c r="D172" i="66"/>
  <c r="I171" i="66"/>
  <c r="E171" i="66"/>
  <c r="D171" i="66"/>
  <c r="I170" i="66"/>
  <c r="E170" i="66"/>
  <c r="D170" i="66"/>
  <c r="I169" i="66"/>
  <c r="E169" i="66"/>
  <c r="D169" i="66"/>
  <c r="I168" i="66"/>
  <c r="E168" i="66"/>
  <c r="D168" i="66"/>
  <c r="I167" i="66"/>
  <c r="E167" i="66"/>
  <c r="D167" i="66"/>
  <c r="I166" i="66"/>
  <c r="E166" i="66"/>
  <c r="D166" i="66"/>
  <c r="I165" i="66"/>
  <c r="E165" i="66"/>
  <c r="D165" i="66"/>
  <c r="E164" i="66"/>
  <c r="D164" i="66"/>
  <c r="I163" i="66"/>
  <c r="E163" i="66"/>
  <c r="D163" i="66"/>
  <c r="I162" i="66"/>
  <c r="E162" i="66"/>
  <c r="D162" i="66"/>
  <c r="I161" i="66"/>
  <c r="E161" i="66"/>
  <c r="D161" i="66"/>
  <c r="I160" i="66"/>
  <c r="E160" i="66"/>
  <c r="D160" i="66"/>
  <c r="I159" i="66"/>
  <c r="E159" i="66"/>
  <c r="D159" i="66"/>
  <c r="I158" i="66"/>
  <c r="E158" i="66"/>
  <c r="D158" i="66"/>
  <c r="I157" i="66"/>
  <c r="E157" i="66"/>
  <c r="D157" i="66"/>
  <c r="I156" i="66"/>
  <c r="E156" i="66"/>
  <c r="D156" i="66"/>
  <c r="I155" i="66"/>
  <c r="E155" i="66"/>
  <c r="D155" i="66"/>
  <c r="I154" i="66"/>
  <c r="E154" i="66"/>
  <c r="D154" i="66"/>
  <c r="I153" i="66"/>
  <c r="E153" i="66"/>
  <c r="D153" i="66"/>
  <c r="I152" i="66"/>
  <c r="E152" i="66"/>
  <c r="D152" i="66"/>
  <c r="S151" i="66"/>
  <c r="I151" i="66"/>
  <c r="E151" i="66"/>
  <c r="D151" i="66"/>
  <c r="I150" i="66"/>
  <c r="E150" i="66"/>
  <c r="D150" i="66"/>
  <c r="I149" i="66"/>
  <c r="E149" i="66"/>
  <c r="D149" i="66"/>
  <c r="I148" i="66"/>
  <c r="E148" i="66"/>
  <c r="D148" i="66"/>
  <c r="I147" i="66"/>
  <c r="E147" i="66"/>
  <c r="D147" i="66"/>
  <c r="B147" i="66"/>
  <c r="A147" i="66"/>
  <c r="I146" i="66"/>
  <c r="E146" i="66"/>
  <c r="D146" i="66"/>
  <c r="B146" i="66"/>
  <c r="A146" i="66"/>
  <c r="I145" i="66"/>
  <c r="E145" i="66"/>
  <c r="D145" i="66"/>
  <c r="B145" i="66"/>
  <c r="A145" i="66"/>
  <c r="I144" i="66"/>
  <c r="E144" i="66"/>
  <c r="D144" i="66"/>
  <c r="B144" i="66"/>
  <c r="A144" i="66"/>
  <c r="I143" i="66"/>
  <c r="E143" i="66"/>
  <c r="D143" i="66"/>
  <c r="B143" i="66"/>
  <c r="A143" i="66"/>
  <c r="I142" i="66"/>
  <c r="E142" i="66"/>
  <c r="D142" i="66"/>
  <c r="B142" i="66"/>
  <c r="A142" i="66"/>
  <c r="I141" i="66"/>
  <c r="E141" i="66"/>
  <c r="D141" i="66"/>
  <c r="B141" i="66"/>
  <c r="A141" i="66"/>
  <c r="I140" i="66"/>
  <c r="E140" i="66"/>
  <c r="D140" i="66"/>
  <c r="B140" i="66"/>
  <c r="A140" i="66"/>
  <c r="I139" i="66"/>
  <c r="E139" i="66"/>
  <c r="D139" i="66"/>
  <c r="B139" i="66"/>
  <c r="A139" i="66"/>
  <c r="I138" i="66"/>
  <c r="E138" i="66"/>
  <c r="D138" i="66"/>
  <c r="B138" i="66"/>
  <c r="A138" i="66"/>
  <c r="I137" i="66"/>
  <c r="E137" i="66"/>
  <c r="D137" i="66"/>
  <c r="B137" i="66"/>
  <c r="A137" i="66"/>
  <c r="I136" i="66"/>
  <c r="E136" i="66"/>
  <c r="D136" i="66"/>
  <c r="B136" i="66"/>
  <c r="A136" i="66"/>
  <c r="I135" i="66"/>
  <c r="E135" i="66"/>
  <c r="D135" i="66"/>
  <c r="B135" i="66"/>
  <c r="A135" i="66"/>
  <c r="I134" i="66"/>
  <c r="E134" i="66"/>
  <c r="D134" i="66"/>
  <c r="B134" i="66"/>
  <c r="A134" i="66"/>
  <c r="I133" i="66"/>
  <c r="E133" i="66"/>
  <c r="D133" i="66"/>
  <c r="B133" i="66"/>
  <c r="A133" i="66"/>
  <c r="I132" i="66"/>
  <c r="E132" i="66"/>
  <c r="D132" i="66"/>
  <c r="B132" i="66"/>
  <c r="A132" i="66"/>
  <c r="I131" i="66"/>
  <c r="E131" i="66"/>
  <c r="D131" i="66"/>
  <c r="B131" i="66"/>
  <c r="A131" i="66"/>
  <c r="I130" i="66"/>
  <c r="E130" i="66"/>
  <c r="D130" i="66"/>
  <c r="B130" i="66"/>
  <c r="A130" i="66"/>
  <c r="I129" i="66"/>
  <c r="E129" i="66"/>
  <c r="D129" i="66"/>
  <c r="B129" i="66"/>
  <c r="A129" i="66"/>
  <c r="I128" i="66"/>
  <c r="E128" i="66"/>
  <c r="D128" i="66"/>
  <c r="B128" i="66"/>
  <c r="A128" i="66"/>
  <c r="I127" i="66"/>
  <c r="E127" i="66"/>
  <c r="D127" i="66"/>
  <c r="B127" i="66"/>
  <c r="A127" i="66"/>
  <c r="I126" i="66"/>
  <c r="E126" i="66"/>
  <c r="D126" i="66"/>
  <c r="B126" i="66"/>
  <c r="A126" i="66"/>
  <c r="I125" i="66"/>
  <c r="E125" i="66"/>
  <c r="D125" i="66"/>
  <c r="B125" i="66"/>
  <c r="A125" i="66"/>
  <c r="I124" i="66"/>
  <c r="E124" i="66"/>
  <c r="D124" i="66"/>
  <c r="B124" i="66"/>
  <c r="A124" i="66"/>
  <c r="I123" i="66"/>
  <c r="E123" i="66"/>
  <c r="D123" i="66"/>
  <c r="B123" i="66"/>
  <c r="A123" i="66"/>
  <c r="I122" i="66"/>
  <c r="E122" i="66"/>
  <c r="D122" i="66"/>
  <c r="B122" i="66"/>
  <c r="A122" i="66"/>
  <c r="I121" i="66"/>
  <c r="E121" i="66"/>
  <c r="D121" i="66"/>
  <c r="B121" i="66"/>
  <c r="A121" i="66"/>
  <c r="I120" i="66"/>
  <c r="E120" i="66"/>
  <c r="D120" i="66"/>
  <c r="B120" i="66"/>
  <c r="A120" i="66"/>
  <c r="I119" i="66"/>
  <c r="E119" i="66"/>
  <c r="D119" i="66"/>
  <c r="B119" i="66"/>
  <c r="A119" i="66"/>
  <c r="I118" i="66"/>
  <c r="E118" i="66"/>
  <c r="D118" i="66"/>
  <c r="B118" i="66"/>
  <c r="A118" i="66"/>
  <c r="I117" i="66"/>
  <c r="E117" i="66"/>
  <c r="D117" i="66"/>
  <c r="B117" i="66"/>
  <c r="A117" i="66"/>
  <c r="E116" i="66"/>
  <c r="D116" i="66"/>
  <c r="B116" i="66"/>
  <c r="A116" i="66"/>
  <c r="I115" i="66"/>
  <c r="E115" i="66"/>
  <c r="D115" i="66"/>
  <c r="B115" i="66"/>
  <c r="A115" i="66"/>
  <c r="I114" i="66"/>
  <c r="E114" i="66"/>
  <c r="D114" i="66"/>
  <c r="B114" i="66"/>
  <c r="A114" i="66"/>
  <c r="I113" i="66"/>
  <c r="E113" i="66"/>
  <c r="D113" i="66"/>
  <c r="B113" i="66"/>
  <c r="A113" i="66"/>
  <c r="I112" i="66"/>
  <c r="E112" i="66"/>
  <c r="D112" i="66"/>
  <c r="B112" i="66"/>
  <c r="A112" i="66"/>
  <c r="I111" i="66"/>
  <c r="E111" i="66"/>
  <c r="D111" i="66"/>
  <c r="B111" i="66"/>
  <c r="A111" i="66"/>
  <c r="I110" i="66"/>
  <c r="E110" i="66"/>
  <c r="D110" i="66"/>
  <c r="B110" i="66"/>
  <c r="A110" i="66"/>
  <c r="I109" i="66"/>
  <c r="E109" i="66"/>
  <c r="D109" i="66"/>
  <c r="B109" i="66"/>
  <c r="A109" i="66"/>
  <c r="I108" i="66"/>
  <c r="E108" i="66"/>
  <c r="D108" i="66"/>
  <c r="B108" i="66"/>
  <c r="A108" i="66"/>
  <c r="I107" i="66"/>
  <c r="E107" i="66"/>
  <c r="D107" i="66"/>
  <c r="B107" i="66"/>
  <c r="A107" i="66"/>
  <c r="I106" i="66"/>
  <c r="E106" i="66"/>
  <c r="D106" i="66"/>
  <c r="B106" i="66"/>
  <c r="A106" i="66"/>
  <c r="I105" i="66"/>
  <c r="E105" i="66"/>
  <c r="D105" i="66"/>
  <c r="B105" i="66"/>
  <c r="A105" i="66"/>
  <c r="I104" i="66"/>
  <c r="E104" i="66"/>
  <c r="D104" i="66"/>
  <c r="B104" i="66"/>
  <c r="A104" i="66"/>
  <c r="S103" i="66"/>
  <c r="I103" i="66"/>
  <c r="E103" i="66"/>
  <c r="D103" i="66"/>
  <c r="B103" i="66"/>
  <c r="A103" i="66"/>
  <c r="I102" i="66"/>
  <c r="E102" i="66"/>
  <c r="D102" i="66"/>
  <c r="B102" i="66"/>
  <c r="A102" i="66"/>
  <c r="I101" i="66"/>
  <c r="E101" i="66"/>
  <c r="D101" i="66"/>
  <c r="B101" i="66"/>
  <c r="A101" i="66"/>
  <c r="I100" i="66"/>
  <c r="E100" i="66"/>
  <c r="D100" i="66"/>
  <c r="B100" i="66"/>
  <c r="A100" i="66"/>
  <c r="I99" i="66"/>
  <c r="E99" i="66"/>
  <c r="D99" i="66"/>
  <c r="B99" i="66"/>
  <c r="A99" i="66"/>
  <c r="I98" i="66"/>
  <c r="E98" i="66"/>
  <c r="D98" i="66"/>
  <c r="B98" i="66"/>
  <c r="A98" i="66"/>
  <c r="I97" i="66"/>
  <c r="E97" i="66"/>
  <c r="D97" i="66"/>
  <c r="B97" i="66"/>
  <c r="A97" i="66"/>
  <c r="I96" i="66"/>
  <c r="E96" i="66"/>
  <c r="D96" i="66"/>
  <c r="B96" i="66"/>
  <c r="A96" i="66"/>
  <c r="I95" i="66"/>
  <c r="E95" i="66"/>
  <c r="D95" i="66"/>
  <c r="B95" i="66"/>
  <c r="A95" i="66"/>
  <c r="I94" i="66"/>
  <c r="E94" i="66"/>
  <c r="D94" i="66"/>
  <c r="B94" i="66"/>
  <c r="A94" i="66"/>
  <c r="I93" i="66"/>
  <c r="E93" i="66"/>
  <c r="D93" i="66"/>
  <c r="B93" i="66"/>
  <c r="A93" i="66"/>
  <c r="I92" i="66"/>
  <c r="E92" i="66"/>
  <c r="D92" i="66"/>
  <c r="B92" i="66"/>
  <c r="A92" i="66"/>
  <c r="I91" i="66"/>
  <c r="E91" i="66"/>
  <c r="D91" i="66"/>
  <c r="B91" i="66"/>
  <c r="A91" i="66"/>
  <c r="I90" i="66"/>
  <c r="E90" i="66"/>
  <c r="D90" i="66"/>
  <c r="B90" i="66"/>
  <c r="A90" i="66"/>
  <c r="I89" i="66"/>
  <c r="E89" i="66"/>
  <c r="D89" i="66"/>
  <c r="B89" i="66"/>
  <c r="A89" i="66"/>
  <c r="I88" i="66"/>
  <c r="E88" i="66"/>
  <c r="D88" i="66"/>
  <c r="B88" i="66"/>
  <c r="A88" i="66"/>
  <c r="I87" i="66"/>
  <c r="E87" i="66"/>
  <c r="D87" i="66"/>
  <c r="B87" i="66"/>
  <c r="A87" i="66"/>
  <c r="I86" i="66"/>
  <c r="E86" i="66"/>
  <c r="D86" i="66"/>
  <c r="B86" i="66"/>
  <c r="A86" i="66"/>
  <c r="I85" i="66"/>
  <c r="E85" i="66"/>
  <c r="D85" i="66"/>
  <c r="B85" i="66"/>
  <c r="A85" i="66"/>
  <c r="I84" i="66"/>
  <c r="E84" i="66"/>
  <c r="D84" i="66"/>
  <c r="B84" i="66"/>
  <c r="A84" i="66"/>
  <c r="I83" i="66"/>
  <c r="E83" i="66"/>
  <c r="D83" i="66"/>
  <c r="B83" i="66"/>
  <c r="A83" i="66"/>
  <c r="I82" i="66"/>
  <c r="E82" i="66"/>
  <c r="D82" i="66"/>
  <c r="B82" i="66"/>
  <c r="A82" i="66"/>
  <c r="I81" i="66"/>
  <c r="E81" i="66"/>
  <c r="D81" i="66"/>
  <c r="B81" i="66"/>
  <c r="A81" i="66"/>
  <c r="I80" i="66"/>
  <c r="E80" i="66"/>
  <c r="D80" i="66"/>
  <c r="B80" i="66"/>
  <c r="A80" i="66"/>
  <c r="I79" i="66"/>
  <c r="E79" i="66"/>
  <c r="D79" i="66"/>
  <c r="B79" i="66"/>
  <c r="A79" i="66"/>
  <c r="I78" i="66"/>
  <c r="E78" i="66"/>
  <c r="D78" i="66"/>
  <c r="B78" i="66"/>
  <c r="A78" i="66"/>
  <c r="I77" i="66"/>
  <c r="E77" i="66"/>
  <c r="D77" i="66"/>
  <c r="B77" i="66"/>
  <c r="A77" i="66"/>
  <c r="I76" i="66"/>
  <c r="E76" i="66"/>
  <c r="D76" i="66"/>
  <c r="B76" i="66"/>
  <c r="A76" i="66"/>
  <c r="I75" i="66"/>
  <c r="E75" i="66"/>
  <c r="D75" i="66"/>
  <c r="B75" i="66"/>
  <c r="A75" i="66"/>
  <c r="I74" i="66"/>
  <c r="E74" i="66"/>
  <c r="D74" i="66"/>
  <c r="B74" i="66"/>
  <c r="A74" i="66"/>
  <c r="I73" i="66"/>
  <c r="E73" i="66"/>
  <c r="D73" i="66"/>
  <c r="B73" i="66"/>
  <c r="A73" i="66"/>
  <c r="I72" i="66"/>
  <c r="E72" i="66"/>
  <c r="D72" i="66"/>
  <c r="B72" i="66"/>
  <c r="A72" i="66"/>
  <c r="I71" i="66"/>
  <c r="E71" i="66"/>
  <c r="D71" i="66"/>
  <c r="B71" i="66"/>
  <c r="A71" i="66"/>
  <c r="I70" i="66"/>
  <c r="E70" i="66"/>
  <c r="D70" i="66"/>
  <c r="B70" i="66"/>
  <c r="A70" i="66"/>
  <c r="I69" i="66"/>
  <c r="E69" i="66"/>
  <c r="D69" i="66"/>
  <c r="B69" i="66"/>
  <c r="A69" i="66"/>
  <c r="E68" i="66"/>
  <c r="D68" i="66"/>
  <c r="B68" i="66"/>
  <c r="A68" i="66"/>
  <c r="I67" i="66"/>
  <c r="E67" i="66"/>
  <c r="D67" i="66"/>
  <c r="B67" i="66"/>
  <c r="A67" i="66"/>
  <c r="I66" i="66"/>
  <c r="E66" i="66"/>
  <c r="D66" i="66"/>
  <c r="B66" i="66"/>
  <c r="A66" i="66"/>
  <c r="I65" i="66"/>
  <c r="E65" i="66"/>
  <c r="D65" i="66"/>
  <c r="B65" i="66"/>
  <c r="A65" i="66"/>
  <c r="I64" i="66"/>
  <c r="E64" i="66"/>
  <c r="D64" i="66"/>
  <c r="B64" i="66"/>
  <c r="A64" i="66"/>
  <c r="I63" i="66"/>
  <c r="E63" i="66"/>
  <c r="D63" i="66"/>
  <c r="B63" i="66"/>
  <c r="A63" i="66"/>
  <c r="I62" i="66"/>
  <c r="E62" i="66"/>
  <c r="D62" i="66"/>
  <c r="B62" i="66"/>
  <c r="A62" i="66"/>
  <c r="I61" i="66"/>
  <c r="E61" i="66"/>
  <c r="D61" i="66"/>
  <c r="B61" i="66"/>
  <c r="A61" i="66"/>
  <c r="I60" i="66"/>
  <c r="E60" i="66"/>
  <c r="D60" i="66"/>
  <c r="B60" i="66"/>
  <c r="A60" i="66"/>
  <c r="I59" i="66"/>
  <c r="E59" i="66"/>
  <c r="D59" i="66"/>
  <c r="B59" i="66"/>
  <c r="A59" i="66"/>
  <c r="I58" i="66"/>
  <c r="E58" i="66"/>
  <c r="D58" i="66"/>
  <c r="B58" i="66"/>
  <c r="A58" i="66"/>
  <c r="I57" i="66"/>
  <c r="E57" i="66"/>
  <c r="D57" i="66"/>
  <c r="B57" i="66"/>
  <c r="A57" i="66"/>
  <c r="I56" i="66"/>
  <c r="E56" i="66"/>
  <c r="D56" i="66"/>
  <c r="B56" i="66"/>
  <c r="A56" i="66"/>
  <c r="S55" i="66"/>
  <c r="I55" i="66"/>
  <c r="E55" i="66"/>
  <c r="D55" i="66"/>
  <c r="B55" i="66"/>
  <c r="A55" i="66"/>
  <c r="I54" i="66"/>
  <c r="E54" i="66"/>
  <c r="D54" i="66"/>
  <c r="B54" i="66"/>
  <c r="A54" i="66"/>
  <c r="I53" i="66"/>
  <c r="E53" i="66"/>
  <c r="D53" i="66"/>
  <c r="B53" i="66"/>
  <c r="A53" i="66"/>
  <c r="I52" i="66"/>
  <c r="E52" i="66"/>
  <c r="D52" i="66"/>
  <c r="B52" i="66"/>
  <c r="A52" i="66"/>
  <c r="I51" i="66"/>
  <c r="E51" i="66"/>
  <c r="I50" i="66"/>
  <c r="E50" i="66"/>
  <c r="I49" i="66"/>
  <c r="E49" i="66"/>
  <c r="I48" i="66"/>
  <c r="E48" i="66"/>
  <c r="I47" i="66"/>
  <c r="E47" i="66"/>
  <c r="I46" i="66"/>
  <c r="E46" i="66"/>
  <c r="I45" i="66"/>
  <c r="E45" i="66"/>
  <c r="I44" i="66"/>
  <c r="E44" i="66"/>
  <c r="I43" i="66"/>
  <c r="E43" i="66"/>
  <c r="I42" i="66"/>
  <c r="E42" i="66"/>
  <c r="I41" i="66"/>
  <c r="E41" i="66"/>
  <c r="I40" i="66"/>
  <c r="E40" i="66"/>
  <c r="I39" i="66"/>
  <c r="E39" i="66"/>
  <c r="I38" i="66"/>
  <c r="E38" i="66"/>
  <c r="I37" i="66"/>
  <c r="E37" i="66"/>
  <c r="I36" i="66"/>
  <c r="E36" i="66"/>
  <c r="I35" i="66"/>
  <c r="E35" i="66"/>
  <c r="I34" i="66"/>
  <c r="E34" i="66"/>
  <c r="I33" i="66"/>
  <c r="E33" i="66"/>
  <c r="I32" i="66"/>
  <c r="E32" i="66"/>
  <c r="I31" i="66"/>
  <c r="E31" i="66"/>
  <c r="I30" i="66"/>
  <c r="E30" i="66"/>
  <c r="I29" i="66"/>
  <c r="E29" i="66"/>
  <c r="I28" i="66"/>
  <c r="E28" i="66"/>
  <c r="I27" i="66"/>
  <c r="E27" i="66"/>
  <c r="I26" i="66"/>
  <c r="E26" i="66"/>
  <c r="I25" i="66"/>
  <c r="E25" i="66"/>
  <c r="I24" i="66"/>
  <c r="E24" i="66"/>
  <c r="I23" i="66"/>
  <c r="E23" i="66"/>
  <c r="I22" i="66"/>
  <c r="E22" i="66"/>
  <c r="I21" i="66"/>
  <c r="E21" i="66"/>
  <c r="E20" i="66"/>
  <c r="I19" i="66"/>
  <c r="E19" i="66"/>
  <c r="I18" i="66"/>
  <c r="E18" i="66"/>
  <c r="I17" i="66"/>
  <c r="E17" i="66"/>
  <c r="I16" i="66"/>
  <c r="E16" i="66"/>
  <c r="I15" i="66"/>
  <c r="E15" i="66"/>
  <c r="I14" i="66"/>
  <c r="E14" i="66"/>
  <c r="I13" i="66"/>
  <c r="E13" i="66"/>
  <c r="I12" i="66"/>
  <c r="E12" i="66"/>
  <c r="I11" i="66"/>
  <c r="E11" i="66"/>
  <c r="I10" i="66"/>
  <c r="E10" i="66"/>
  <c r="I9" i="66"/>
  <c r="E9" i="66"/>
  <c r="I8" i="66"/>
  <c r="E8" i="66"/>
  <c r="S7" i="66"/>
  <c r="I7" i="66"/>
  <c r="E7" i="66"/>
  <c r="I6" i="66"/>
  <c r="E6" i="66"/>
  <c r="I5" i="66"/>
  <c r="E5" i="66"/>
  <c r="I4" i="66"/>
  <c r="E4" i="66"/>
  <c r="K2" i="41"/>
  <c r="R1" i="41"/>
  <c r="K1" i="41"/>
  <c r="J1" i="41"/>
  <c r="I1" i="41"/>
  <c r="G1" i="41"/>
  <c r="F1" i="41"/>
  <c r="E1" i="41"/>
  <c r="D1" i="41"/>
  <c r="C1" i="41"/>
  <c r="B1" i="41"/>
  <c r="G497" i="58"/>
  <c r="F497" i="58"/>
  <c r="E497" i="58"/>
  <c r="D497" i="58"/>
  <c r="C497" i="58"/>
  <c r="B497" i="58"/>
  <c r="A497" i="58"/>
  <c r="G496" i="58"/>
  <c r="F496" i="58"/>
  <c r="E496" i="58"/>
  <c r="D496" i="58"/>
  <c r="C496" i="58"/>
  <c r="B496" i="58"/>
  <c r="A496" i="58"/>
  <c r="G495" i="58"/>
  <c r="F495" i="58"/>
  <c r="E495" i="58"/>
  <c r="D495" i="58"/>
  <c r="C495" i="58"/>
  <c r="B495" i="58"/>
  <c r="A495" i="58"/>
  <c r="G494" i="58"/>
  <c r="F494" i="58"/>
  <c r="E494" i="58"/>
  <c r="D494" i="58"/>
  <c r="C494" i="58"/>
  <c r="B494" i="58"/>
  <c r="A494" i="58"/>
  <c r="G493" i="58"/>
  <c r="F493" i="58"/>
  <c r="E493" i="58"/>
  <c r="D493" i="58"/>
  <c r="C493" i="58"/>
  <c r="B493" i="58"/>
  <c r="A493" i="58"/>
  <c r="G492" i="58"/>
  <c r="F492" i="58"/>
  <c r="E492" i="58"/>
  <c r="D492" i="58"/>
  <c r="C492" i="58"/>
  <c r="B492" i="58"/>
  <c r="A492" i="58"/>
  <c r="G491" i="58"/>
  <c r="F491" i="58"/>
  <c r="E491" i="58"/>
  <c r="D491" i="58"/>
  <c r="C491" i="58"/>
  <c r="B491" i="58"/>
  <c r="A491" i="58"/>
  <c r="G490" i="58"/>
  <c r="F490" i="58"/>
  <c r="E490" i="58"/>
  <c r="D490" i="58"/>
  <c r="C490" i="58"/>
  <c r="B490" i="58"/>
  <c r="A490" i="58"/>
  <c r="G489" i="58"/>
  <c r="F489" i="58"/>
  <c r="E489" i="58"/>
  <c r="D489" i="58"/>
  <c r="C489" i="58"/>
  <c r="B489" i="58"/>
  <c r="A489" i="58"/>
  <c r="G488" i="58"/>
  <c r="F488" i="58"/>
  <c r="E488" i="58"/>
  <c r="D488" i="58"/>
  <c r="C488" i="58"/>
  <c r="B488" i="58"/>
  <c r="A488" i="58"/>
  <c r="G487" i="58"/>
  <c r="F487" i="58"/>
  <c r="E487" i="58"/>
  <c r="D487" i="58"/>
  <c r="C487" i="58"/>
  <c r="B487" i="58"/>
  <c r="A487" i="58"/>
  <c r="G486" i="58"/>
  <c r="F486" i="58"/>
  <c r="E486" i="58"/>
  <c r="D486" i="58"/>
  <c r="C486" i="58"/>
  <c r="B486" i="58"/>
  <c r="A486" i="58"/>
  <c r="G485" i="58"/>
  <c r="F485" i="58"/>
  <c r="E485" i="58"/>
  <c r="D485" i="58"/>
  <c r="C485" i="58"/>
  <c r="B485" i="58"/>
  <c r="A485" i="58"/>
  <c r="G484" i="58"/>
  <c r="F484" i="58"/>
  <c r="E484" i="58"/>
  <c r="D484" i="58"/>
  <c r="C484" i="58"/>
  <c r="B484" i="58"/>
  <c r="A484" i="58"/>
  <c r="G483" i="58"/>
  <c r="F483" i="58"/>
  <c r="E483" i="58"/>
  <c r="D483" i="58"/>
  <c r="C483" i="58"/>
  <c r="B483" i="58"/>
  <c r="A483" i="58"/>
  <c r="G482" i="58"/>
  <c r="F482" i="58"/>
  <c r="E482" i="58"/>
  <c r="D482" i="58"/>
  <c r="C482" i="58"/>
  <c r="B482" i="58"/>
  <c r="A482" i="58"/>
  <c r="G481" i="58"/>
  <c r="F481" i="58"/>
  <c r="E481" i="58"/>
  <c r="D481" i="58"/>
  <c r="C481" i="58"/>
  <c r="B481" i="58"/>
  <c r="A481" i="58"/>
  <c r="G480" i="58"/>
  <c r="F480" i="58"/>
  <c r="E480" i="58"/>
  <c r="D480" i="58"/>
  <c r="C480" i="58"/>
  <c r="B480" i="58"/>
  <c r="A480" i="58"/>
  <c r="G479" i="58"/>
  <c r="F479" i="58"/>
  <c r="E479" i="58"/>
  <c r="D479" i="58"/>
  <c r="C479" i="58"/>
  <c r="B479" i="58"/>
  <c r="A479" i="58"/>
  <c r="G478" i="58"/>
  <c r="F478" i="58"/>
  <c r="E478" i="58"/>
  <c r="D478" i="58"/>
  <c r="C478" i="58"/>
  <c r="B478" i="58"/>
  <c r="A478" i="58"/>
  <c r="G477" i="58"/>
  <c r="F477" i="58"/>
  <c r="E477" i="58"/>
  <c r="D477" i="58"/>
  <c r="C477" i="58"/>
  <c r="B477" i="58"/>
  <c r="A477" i="58"/>
  <c r="G476" i="58"/>
  <c r="F476" i="58"/>
  <c r="E476" i="58"/>
  <c r="D476" i="58"/>
  <c r="C476" i="58"/>
  <c r="B476" i="58"/>
  <c r="A476" i="58"/>
  <c r="G475" i="58"/>
  <c r="F475" i="58"/>
  <c r="E475" i="58"/>
  <c r="D475" i="58"/>
  <c r="C475" i="58"/>
  <c r="B475" i="58"/>
  <c r="A475" i="58"/>
  <c r="G474" i="58"/>
  <c r="F474" i="58"/>
  <c r="E474" i="58"/>
  <c r="D474" i="58"/>
  <c r="C474" i="58"/>
  <c r="B474" i="58"/>
  <c r="A474" i="58"/>
  <c r="G473" i="58"/>
  <c r="F473" i="58"/>
  <c r="E473" i="58"/>
  <c r="D473" i="58"/>
  <c r="C473" i="58"/>
  <c r="B473" i="58"/>
  <c r="A473" i="58"/>
  <c r="G472" i="58"/>
  <c r="F472" i="58"/>
  <c r="E472" i="58"/>
  <c r="D472" i="58"/>
  <c r="C472" i="58"/>
  <c r="B472" i="58"/>
  <c r="A472" i="58"/>
  <c r="G471" i="58"/>
  <c r="F471" i="58"/>
  <c r="E471" i="58"/>
  <c r="D471" i="58"/>
  <c r="C471" i="58"/>
  <c r="B471" i="58"/>
  <c r="A471" i="58"/>
  <c r="G470" i="58"/>
  <c r="F470" i="58"/>
  <c r="E470" i="58"/>
  <c r="D470" i="58"/>
  <c r="C470" i="58"/>
  <c r="B470" i="58"/>
  <c r="A470" i="58"/>
  <c r="G469" i="58"/>
  <c r="F469" i="58"/>
  <c r="E469" i="58"/>
  <c r="D469" i="58"/>
  <c r="C469" i="58"/>
  <c r="B469" i="58"/>
  <c r="A469" i="58"/>
  <c r="G468" i="58"/>
  <c r="F468" i="58"/>
  <c r="E468" i="58"/>
  <c r="D468" i="58"/>
  <c r="C468" i="58"/>
  <c r="B468" i="58"/>
  <c r="A468" i="58"/>
  <c r="G467" i="58"/>
  <c r="F467" i="58"/>
  <c r="E467" i="58"/>
  <c r="D467" i="58"/>
  <c r="C467" i="58"/>
  <c r="B467" i="58"/>
  <c r="A467" i="58"/>
  <c r="G466" i="58"/>
  <c r="F466" i="58"/>
  <c r="E466" i="58"/>
  <c r="D466" i="58"/>
  <c r="C466" i="58"/>
  <c r="B466" i="58"/>
  <c r="A466" i="58"/>
  <c r="G465" i="58"/>
  <c r="F465" i="58"/>
  <c r="E465" i="58"/>
  <c r="D465" i="58"/>
  <c r="C465" i="58"/>
  <c r="B465" i="58"/>
  <c r="A465" i="58"/>
  <c r="G464" i="58"/>
  <c r="F464" i="58"/>
  <c r="E464" i="58"/>
  <c r="D464" i="58"/>
  <c r="C464" i="58"/>
  <c r="B464" i="58"/>
  <c r="A464" i="58"/>
  <c r="G463" i="58"/>
  <c r="F463" i="58"/>
  <c r="E463" i="58"/>
  <c r="D463" i="58"/>
  <c r="C463" i="58"/>
  <c r="B463" i="58"/>
  <c r="A463" i="58"/>
  <c r="G462" i="58"/>
  <c r="F462" i="58"/>
  <c r="E462" i="58"/>
  <c r="D462" i="58"/>
  <c r="C462" i="58"/>
  <c r="B462" i="58"/>
  <c r="A462" i="58"/>
  <c r="G461" i="58"/>
  <c r="F461" i="58"/>
  <c r="E461" i="58"/>
  <c r="D461" i="58"/>
  <c r="C461" i="58"/>
  <c r="B461" i="58"/>
  <c r="A461" i="58"/>
  <c r="G460" i="58"/>
  <c r="F460" i="58"/>
  <c r="E460" i="58"/>
  <c r="D460" i="58"/>
  <c r="C460" i="58"/>
  <c r="B460" i="58"/>
  <c r="A460" i="58"/>
  <c r="G459" i="58"/>
  <c r="F459" i="58"/>
  <c r="E459" i="58"/>
  <c r="D459" i="58"/>
  <c r="C459" i="58"/>
  <c r="B459" i="58"/>
  <c r="A459" i="58"/>
  <c r="G458" i="58"/>
  <c r="F458" i="58"/>
  <c r="E458" i="58"/>
  <c r="D458" i="58"/>
  <c r="C458" i="58"/>
  <c r="B458" i="58"/>
  <c r="A458" i="58"/>
  <c r="G457" i="58"/>
  <c r="F457" i="58"/>
  <c r="E457" i="58"/>
  <c r="D457" i="58"/>
  <c r="C457" i="58"/>
  <c r="B457" i="58"/>
  <c r="A457" i="58"/>
  <c r="G456" i="58"/>
  <c r="F456" i="58"/>
  <c r="E456" i="58"/>
  <c r="D456" i="58"/>
  <c r="C456" i="58"/>
  <c r="B456" i="58"/>
  <c r="A456" i="58"/>
  <c r="G455" i="58"/>
  <c r="F455" i="58"/>
  <c r="E455" i="58"/>
  <c r="D455" i="58"/>
  <c r="C455" i="58"/>
  <c r="B455" i="58"/>
  <c r="A455" i="58"/>
  <c r="G454" i="58"/>
  <c r="F454" i="58"/>
  <c r="E454" i="58"/>
  <c r="D454" i="58"/>
  <c r="C454" i="58"/>
  <c r="B454" i="58"/>
  <c r="A454" i="58"/>
  <c r="G453" i="58"/>
  <c r="F453" i="58"/>
  <c r="E453" i="58"/>
  <c r="D453" i="58"/>
  <c r="C453" i="58"/>
  <c r="B453" i="58"/>
  <c r="A453" i="58"/>
  <c r="G452" i="58"/>
  <c r="F452" i="58"/>
  <c r="E452" i="58"/>
  <c r="D452" i="58"/>
  <c r="C452" i="58"/>
  <c r="B452" i="58"/>
  <c r="A452" i="58"/>
  <c r="G451" i="58"/>
  <c r="F451" i="58"/>
  <c r="E451" i="58"/>
  <c r="D451" i="58"/>
  <c r="C451" i="58"/>
  <c r="B451" i="58"/>
  <c r="A451" i="58"/>
  <c r="G450" i="58"/>
  <c r="F450" i="58"/>
  <c r="E450" i="58"/>
  <c r="D450" i="58"/>
  <c r="C450" i="58"/>
  <c r="B450" i="58"/>
  <c r="A450" i="58"/>
  <c r="G449" i="58"/>
  <c r="F449" i="58"/>
  <c r="E449" i="58"/>
  <c r="D449" i="58"/>
  <c r="C449" i="58"/>
  <c r="B449" i="58"/>
  <c r="A449" i="58"/>
  <c r="G448" i="58"/>
  <c r="F448" i="58"/>
  <c r="E448" i="58"/>
  <c r="D448" i="58"/>
  <c r="C448" i="58"/>
  <c r="B448" i="58"/>
  <c r="A448" i="58"/>
  <c r="G447" i="58"/>
  <c r="F447" i="58"/>
  <c r="E447" i="58"/>
  <c r="D447" i="58"/>
  <c r="C447" i="58"/>
  <c r="B447" i="58"/>
  <c r="A447" i="58"/>
  <c r="G446" i="58"/>
  <c r="F446" i="58"/>
  <c r="E446" i="58"/>
  <c r="D446" i="58"/>
  <c r="C446" i="58"/>
  <c r="B446" i="58"/>
  <c r="A446" i="58"/>
  <c r="G445" i="58"/>
  <c r="F445" i="58"/>
  <c r="E445" i="58"/>
  <c r="D445" i="58"/>
  <c r="C445" i="58"/>
  <c r="B445" i="58"/>
  <c r="A445" i="58"/>
  <c r="G444" i="58"/>
  <c r="F444" i="58"/>
  <c r="E444" i="58"/>
  <c r="D444" i="58"/>
  <c r="C444" i="58"/>
  <c r="B444" i="58"/>
  <c r="A444" i="58"/>
  <c r="G443" i="58"/>
  <c r="F443" i="58"/>
  <c r="E443" i="58"/>
  <c r="D443" i="58"/>
  <c r="C443" i="58"/>
  <c r="B443" i="58"/>
  <c r="A443" i="58"/>
  <c r="G442" i="58"/>
  <c r="F442" i="58"/>
  <c r="E442" i="58"/>
  <c r="D442" i="58"/>
  <c r="C442" i="58"/>
  <c r="B442" i="58"/>
  <c r="A442" i="58"/>
  <c r="G441" i="58"/>
  <c r="F441" i="58"/>
  <c r="E441" i="58"/>
  <c r="D441" i="58"/>
  <c r="C441" i="58"/>
  <c r="B441" i="58"/>
  <c r="A441" i="58"/>
  <c r="G440" i="58"/>
  <c r="F440" i="58"/>
  <c r="E440" i="58"/>
  <c r="D440" i="58"/>
  <c r="C440" i="58"/>
  <c r="B440" i="58"/>
  <c r="A440" i="58"/>
  <c r="G439" i="58"/>
  <c r="F439" i="58"/>
  <c r="E439" i="58"/>
  <c r="D439" i="58"/>
  <c r="C439" i="58"/>
  <c r="B439" i="58"/>
  <c r="A439" i="58"/>
  <c r="G438" i="58"/>
  <c r="F438" i="58"/>
  <c r="E438" i="58"/>
  <c r="D438" i="58"/>
  <c r="C438" i="58"/>
  <c r="B438" i="58"/>
  <c r="A438" i="58"/>
  <c r="G437" i="58"/>
  <c r="F437" i="58"/>
  <c r="E437" i="58"/>
  <c r="D437" i="58"/>
  <c r="C437" i="58"/>
  <c r="B437" i="58"/>
  <c r="A437" i="58"/>
  <c r="G436" i="58"/>
  <c r="F436" i="58"/>
  <c r="E436" i="58"/>
  <c r="D436" i="58"/>
  <c r="C436" i="58"/>
  <c r="B436" i="58"/>
  <c r="A436" i="58"/>
  <c r="G435" i="58"/>
  <c r="F435" i="58"/>
  <c r="E435" i="58"/>
  <c r="D435" i="58"/>
  <c r="C435" i="58"/>
  <c r="B435" i="58"/>
  <c r="A435" i="58"/>
  <c r="G434" i="58"/>
  <c r="F434" i="58"/>
  <c r="E434" i="58"/>
  <c r="D434" i="58"/>
  <c r="C434" i="58"/>
  <c r="B434" i="58"/>
  <c r="A434" i="58"/>
  <c r="G433" i="58"/>
  <c r="F433" i="58"/>
  <c r="E433" i="58"/>
  <c r="D433" i="58"/>
  <c r="C433" i="58"/>
  <c r="B433" i="58"/>
  <c r="A433" i="58"/>
  <c r="G432" i="58"/>
  <c r="F432" i="58"/>
  <c r="E432" i="58"/>
  <c r="D432" i="58"/>
  <c r="C432" i="58"/>
  <c r="B432" i="58"/>
  <c r="A432" i="58"/>
  <c r="G431" i="58"/>
  <c r="F431" i="58"/>
  <c r="E431" i="58"/>
  <c r="D431" i="58"/>
  <c r="C431" i="58"/>
  <c r="B431" i="58"/>
  <c r="A431" i="58"/>
  <c r="G430" i="58"/>
  <c r="F430" i="58"/>
  <c r="E430" i="58"/>
  <c r="D430" i="58"/>
  <c r="C430" i="58"/>
  <c r="B430" i="58"/>
  <c r="A430" i="58"/>
  <c r="G429" i="58"/>
  <c r="F429" i="58"/>
  <c r="E429" i="58"/>
  <c r="D429" i="58"/>
  <c r="C429" i="58"/>
  <c r="B429" i="58"/>
  <c r="A429" i="58"/>
  <c r="G428" i="58"/>
  <c r="F428" i="58"/>
  <c r="E428" i="58"/>
  <c r="D428" i="58"/>
  <c r="C428" i="58"/>
  <c r="B428" i="58"/>
  <c r="A428" i="58"/>
  <c r="G427" i="58"/>
  <c r="F427" i="58"/>
  <c r="E427" i="58"/>
  <c r="D427" i="58"/>
  <c r="C427" i="58"/>
  <c r="B427" i="58"/>
  <c r="A427" i="58"/>
  <c r="G426" i="58"/>
  <c r="F426" i="58"/>
  <c r="E426" i="58"/>
  <c r="D426" i="58"/>
  <c r="C426" i="58"/>
  <c r="B426" i="58"/>
  <c r="A426" i="58"/>
  <c r="G425" i="58"/>
  <c r="F425" i="58"/>
  <c r="E425" i="58"/>
  <c r="D425" i="58"/>
  <c r="C425" i="58"/>
  <c r="B425" i="58"/>
  <c r="A425" i="58"/>
  <c r="G424" i="58"/>
  <c r="F424" i="58"/>
  <c r="E424" i="58"/>
  <c r="D424" i="58"/>
  <c r="C424" i="58"/>
  <c r="B424" i="58"/>
  <c r="A424" i="58"/>
  <c r="G423" i="58"/>
  <c r="F423" i="58"/>
  <c r="E423" i="58"/>
  <c r="D423" i="58"/>
  <c r="C423" i="58"/>
  <c r="B423" i="58"/>
  <c r="A423" i="58"/>
  <c r="G422" i="58"/>
  <c r="F422" i="58"/>
  <c r="E422" i="58"/>
  <c r="D422" i="58"/>
  <c r="C422" i="58"/>
  <c r="B422" i="58"/>
  <c r="A422" i="58"/>
  <c r="G421" i="58"/>
  <c r="F421" i="58"/>
  <c r="E421" i="58"/>
  <c r="D421" i="58"/>
  <c r="C421" i="58"/>
  <c r="B421" i="58"/>
  <c r="A421" i="58"/>
  <c r="G420" i="58"/>
  <c r="F420" i="58"/>
  <c r="E420" i="58"/>
  <c r="D420" i="58"/>
  <c r="C420" i="58"/>
  <c r="B420" i="58"/>
  <c r="A420" i="58"/>
  <c r="G419" i="58"/>
  <c r="F419" i="58"/>
  <c r="E419" i="58"/>
  <c r="D419" i="58"/>
  <c r="C419" i="58"/>
  <c r="B419" i="58"/>
  <c r="A419" i="58"/>
  <c r="G418" i="58"/>
  <c r="F418" i="58"/>
  <c r="E418" i="58"/>
  <c r="D418" i="58"/>
  <c r="C418" i="58"/>
  <c r="B418" i="58"/>
  <c r="A418" i="58"/>
  <c r="G417" i="58"/>
  <c r="F417" i="58"/>
  <c r="E417" i="58"/>
  <c r="D417" i="58"/>
  <c r="C417" i="58"/>
  <c r="B417" i="58"/>
  <c r="A417" i="58"/>
  <c r="G416" i="58"/>
  <c r="F416" i="58"/>
  <c r="E416" i="58"/>
  <c r="D416" i="58"/>
  <c r="C416" i="58"/>
  <c r="B416" i="58"/>
  <c r="A416" i="58"/>
  <c r="G415" i="58"/>
  <c r="F415" i="58"/>
  <c r="E415" i="58"/>
  <c r="D415" i="58"/>
  <c r="C415" i="58"/>
  <c r="B415" i="58"/>
  <c r="A415" i="58"/>
  <c r="G414" i="58"/>
  <c r="F414" i="58"/>
  <c r="E414" i="58"/>
  <c r="D414" i="58"/>
  <c r="C414" i="58"/>
  <c r="B414" i="58"/>
  <c r="A414" i="58"/>
  <c r="G413" i="58"/>
  <c r="F413" i="58"/>
  <c r="E413" i="58"/>
  <c r="D413" i="58"/>
  <c r="C413" i="58"/>
  <c r="B413" i="58"/>
  <c r="A413" i="58"/>
  <c r="G412" i="58"/>
  <c r="F412" i="58"/>
  <c r="E412" i="58"/>
  <c r="D412" i="58"/>
  <c r="C412" i="58"/>
  <c r="B412" i="58"/>
  <c r="A412" i="58"/>
  <c r="G411" i="58"/>
  <c r="F411" i="58"/>
  <c r="E411" i="58"/>
  <c r="D411" i="58"/>
  <c r="C411" i="58"/>
  <c r="B411" i="58"/>
  <c r="A411" i="58"/>
  <c r="G410" i="58"/>
  <c r="F410" i="58"/>
  <c r="E410" i="58"/>
  <c r="D410" i="58"/>
  <c r="C410" i="58"/>
  <c r="B410" i="58"/>
  <c r="A410" i="58"/>
  <c r="G409" i="58"/>
  <c r="F409" i="58"/>
  <c r="E409" i="58"/>
  <c r="D409" i="58"/>
  <c r="C409" i="58"/>
  <c r="B409" i="58"/>
  <c r="A409" i="58"/>
  <c r="G408" i="58"/>
  <c r="F408" i="58"/>
  <c r="E408" i="58"/>
  <c r="D408" i="58"/>
  <c r="C408" i="58"/>
  <c r="B408" i="58"/>
  <c r="A408" i="58"/>
  <c r="G407" i="58"/>
  <c r="F407" i="58"/>
  <c r="E407" i="58"/>
  <c r="D407" i="58"/>
  <c r="C407" i="58"/>
  <c r="B407" i="58"/>
  <c r="A407" i="58"/>
  <c r="G406" i="58"/>
  <c r="F406" i="58"/>
  <c r="E406" i="58"/>
  <c r="D406" i="58"/>
  <c r="C406" i="58"/>
  <c r="B406" i="58"/>
  <c r="A406" i="58"/>
  <c r="G405" i="58"/>
  <c r="F405" i="58"/>
  <c r="E405" i="58"/>
  <c r="D405" i="58"/>
  <c r="C405" i="58"/>
  <c r="B405" i="58"/>
  <c r="A405" i="58"/>
  <c r="G404" i="58"/>
  <c r="F404" i="58"/>
  <c r="E404" i="58"/>
  <c r="D404" i="58"/>
  <c r="C404" i="58"/>
  <c r="B404" i="58"/>
  <c r="A404" i="58"/>
  <c r="G403" i="58"/>
  <c r="F403" i="58"/>
  <c r="E403" i="58"/>
  <c r="D403" i="58"/>
  <c r="C403" i="58"/>
  <c r="B403" i="58"/>
  <c r="A403" i="58"/>
  <c r="G402" i="58"/>
  <c r="F402" i="58"/>
  <c r="E402" i="58"/>
  <c r="D402" i="58"/>
  <c r="C402" i="58"/>
  <c r="B402" i="58"/>
  <c r="A402" i="58"/>
  <c r="G401" i="58"/>
  <c r="F401" i="58"/>
  <c r="E401" i="58"/>
  <c r="D401" i="58"/>
  <c r="C401" i="58"/>
  <c r="B401" i="58"/>
  <c r="A401" i="58"/>
  <c r="G400" i="58"/>
  <c r="F400" i="58"/>
  <c r="E400" i="58"/>
  <c r="D400" i="58"/>
  <c r="C400" i="58"/>
  <c r="B400" i="58"/>
  <c r="A400" i="58"/>
  <c r="G399" i="58"/>
  <c r="F399" i="58"/>
  <c r="E399" i="58"/>
  <c r="D399" i="58"/>
  <c r="C399" i="58"/>
  <c r="B399" i="58"/>
  <c r="A399" i="58"/>
  <c r="G398" i="58"/>
  <c r="F398" i="58"/>
  <c r="E398" i="58"/>
  <c r="D398" i="58"/>
  <c r="C398" i="58"/>
  <c r="B398" i="58"/>
  <c r="A398" i="58"/>
  <c r="G397" i="58"/>
  <c r="F397" i="58"/>
  <c r="E397" i="58"/>
  <c r="D397" i="58"/>
  <c r="C397" i="58"/>
  <c r="B397" i="58"/>
  <c r="A397" i="58"/>
  <c r="G396" i="58"/>
  <c r="F396" i="58"/>
  <c r="E396" i="58"/>
  <c r="D396" i="58"/>
  <c r="C396" i="58"/>
  <c r="B396" i="58"/>
  <c r="A396" i="58"/>
  <c r="G395" i="58"/>
  <c r="F395" i="58"/>
  <c r="E395" i="58"/>
  <c r="D395" i="58"/>
  <c r="C395" i="58"/>
  <c r="B395" i="58"/>
  <c r="A395" i="58"/>
  <c r="G394" i="58"/>
  <c r="F394" i="58"/>
  <c r="E394" i="58"/>
  <c r="D394" i="58"/>
  <c r="C394" i="58"/>
  <c r="B394" i="58"/>
  <c r="A394" i="58"/>
  <c r="G393" i="58"/>
  <c r="F393" i="58"/>
  <c r="E393" i="58"/>
  <c r="D393" i="58"/>
  <c r="C393" i="58"/>
  <c r="B393" i="58"/>
  <c r="A393" i="58"/>
  <c r="G392" i="58"/>
  <c r="F392" i="58"/>
  <c r="E392" i="58"/>
  <c r="D392" i="58"/>
  <c r="C392" i="58"/>
  <c r="B392" i="58"/>
  <c r="A392" i="58"/>
  <c r="G391" i="58"/>
  <c r="F391" i="58"/>
  <c r="E391" i="58"/>
  <c r="D391" i="58"/>
  <c r="C391" i="58"/>
  <c r="B391" i="58"/>
  <c r="A391" i="58"/>
  <c r="G390" i="58"/>
  <c r="F390" i="58"/>
  <c r="E390" i="58"/>
  <c r="D390" i="58"/>
  <c r="C390" i="58"/>
  <c r="B390" i="58"/>
  <c r="A390" i="58"/>
  <c r="G389" i="58"/>
  <c r="F389" i="58"/>
  <c r="E389" i="58"/>
  <c r="D389" i="58"/>
  <c r="C389" i="58"/>
  <c r="B389" i="58"/>
  <c r="A389" i="58"/>
  <c r="G388" i="58"/>
  <c r="F388" i="58"/>
  <c r="E388" i="58"/>
  <c r="D388" i="58"/>
  <c r="C388" i="58"/>
  <c r="B388" i="58"/>
  <c r="A388" i="58"/>
  <c r="G387" i="58"/>
  <c r="F387" i="58"/>
  <c r="E387" i="58"/>
  <c r="D387" i="58"/>
  <c r="C387" i="58"/>
  <c r="B387" i="58"/>
  <c r="A387" i="58"/>
  <c r="G386" i="58"/>
  <c r="F386" i="58"/>
  <c r="E386" i="58"/>
  <c r="D386" i="58"/>
  <c r="C386" i="58"/>
  <c r="B386" i="58"/>
  <c r="A386" i="58"/>
  <c r="G385" i="58"/>
  <c r="F385" i="58"/>
  <c r="E385" i="58"/>
  <c r="D385" i="58"/>
  <c r="C385" i="58"/>
  <c r="B385" i="58"/>
  <c r="A385" i="58"/>
  <c r="G384" i="58"/>
  <c r="F384" i="58"/>
  <c r="E384" i="58"/>
  <c r="D384" i="58"/>
  <c r="C384" i="58"/>
  <c r="B384" i="58"/>
  <c r="A384" i="58"/>
  <c r="G383" i="58"/>
  <c r="F383" i="58"/>
  <c r="E383" i="58"/>
  <c r="D383" i="58"/>
  <c r="C383" i="58"/>
  <c r="B383" i="58"/>
  <c r="A383" i="58"/>
  <c r="G382" i="58"/>
  <c r="F382" i="58"/>
  <c r="E382" i="58"/>
  <c r="D382" i="58"/>
  <c r="C382" i="58"/>
  <c r="B382" i="58"/>
  <c r="A382" i="58"/>
  <c r="G381" i="58"/>
  <c r="F381" i="58"/>
  <c r="E381" i="58"/>
  <c r="D381" i="58"/>
  <c r="C381" i="58"/>
  <c r="B381" i="58"/>
  <c r="A381" i="58"/>
  <c r="G380" i="58"/>
  <c r="F380" i="58"/>
  <c r="E380" i="58"/>
  <c r="D380" i="58"/>
  <c r="C380" i="58"/>
  <c r="B380" i="58"/>
  <c r="A380" i="58"/>
  <c r="G379" i="58"/>
  <c r="F379" i="58"/>
  <c r="E379" i="58"/>
  <c r="D379" i="58"/>
  <c r="C379" i="58"/>
  <c r="B379" i="58"/>
  <c r="A379" i="58"/>
  <c r="G378" i="58"/>
  <c r="F378" i="58"/>
  <c r="E378" i="58"/>
  <c r="D378" i="58"/>
  <c r="C378" i="58"/>
  <c r="B378" i="58"/>
  <c r="A378" i="58"/>
  <c r="G377" i="58"/>
  <c r="F377" i="58"/>
  <c r="E377" i="58"/>
  <c r="D377" i="58"/>
  <c r="C377" i="58"/>
  <c r="B377" i="58"/>
  <c r="A377" i="58"/>
  <c r="G376" i="58"/>
  <c r="F376" i="58"/>
  <c r="E376" i="58"/>
  <c r="D376" i="58"/>
  <c r="C376" i="58"/>
  <c r="B376" i="58"/>
  <c r="A376" i="58"/>
  <c r="G375" i="58"/>
  <c r="F375" i="58"/>
  <c r="E375" i="58"/>
  <c r="D375" i="58"/>
  <c r="C375" i="58"/>
  <c r="B375" i="58"/>
  <c r="A375" i="58"/>
  <c r="G374" i="58"/>
  <c r="F374" i="58"/>
  <c r="E374" i="58"/>
  <c r="D374" i="58"/>
  <c r="C374" i="58"/>
  <c r="B374" i="58"/>
  <c r="A374" i="58"/>
  <c r="G373" i="58"/>
  <c r="F373" i="58"/>
  <c r="E373" i="58"/>
  <c r="D373" i="58"/>
  <c r="C373" i="58"/>
  <c r="B373" i="58"/>
  <c r="A373" i="58"/>
  <c r="G372" i="58"/>
  <c r="F372" i="58"/>
  <c r="E372" i="58"/>
  <c r="D372" i="58"/>
  <c r="C372" i="58"/>
  <c r="B372" i="58"/>
  <c r="A372" i="58"/>
  <c r="G371" i="58"/>
  <c r="F371" i="58"/>
  <c r="E371" i="58"/>
  <c r="D371" i="58"/>
  <c r="C371" i="58"/>
  <c r="B371" i="58"/>
  <c r="A371" i="58"/>
  <c r="G370" i="58"/>
  <c r="F370" i="58"/>
  <c r="E370" i="58"/>
  <c r="D370" i="58"/>
  <c r="C370" i="58"/>
  <c r="B370" i="58"/>
  <c r="A370" i="58"/>
  <c r="G369" i="58"/>
  <c r="F369" i="58"/>
  <c r="E369" i="58"/>
  <c r="D369" i="58"/>
  <c r="C369" i="58"/>
  <c r="B369" i="58"/>
  <c r="A369" i="58"/>
  <c r="G368" i="58"/>
  <c r="F368" i="58"/>
  <c r="E368" i="58"/>
  <c r="D368" i="58"/>
  <c r="C368" i="58"/>
  <c r="B368" i="58"/>
  <c r="A368" i="58"/>
  <c r="G367" i="58"/>
  <c r="F367" i="58"/>
  <c r="E367" i="58"/>
  <c r="D367" i="58"/>
  <c r="C367" i="58"/>
  <c r="B367" i="58"/>
  <c r="A367" i="58"/>
  <c r="G366" i="58"/>
  <c r="F366" i="58"/>
  <c r="E366" i="58"/>
  <c r="D366" i="58"/>
  <c r="C366" i="58"/>
  <c r="B366" i="58"/>
  <c r="A366" i="58"/>
  <c r="G365" i="58"/>
  <c r="F365" i="58"/>
  <c r="E365" i="58"/>
  <c r="D365" i="58"/>
  <c r="C365" i="58"/>
  <c r="B365" i="58"/>
  <c r="A365" i="58"/>
  <c r="G364" i="58"/>
  <c r="F364" i="58"/>
  <c r="E364" i="58"/>
  <c r="D364" i="58"/>
  <c r="C364" i="58"/>
  <c r="B364" i="58"/>
  <c r="A364" i="58"/>
  <c r="G363" i="58"/>
  <c r="F363" i="58"/>
  <c r="E363" i="58"/>
  <c r="D363" i="58"/>
  <c r="C363" i="58"/>
  <c r="B363" i="58"/>
  <c r="A363" i="58"/>
  <c r="G362" i="58"/>
  <c r="F362" i="58"/>
  <c r="E362" i="58"/>
  <c r="D362" i="58"/>
  <c r="C362" i="58"/>
  <c r="B362" i="58"/>
  <c r="A362" i="58"/>
  <c r="G361" i="58"/>
  <c r="F361" i="58"/>
  <c r="E361" i="58"/>
  <c r="D361" i="58"/>
  <c r="C361" i="58"/>
  <c r="B361" i="58"/>
  <c r="A361" i="58"/>
  <c r="G360" i="58"/>
  <c r="F360" i="58"/>
  <c r="E360" i="58"/>
  <c r="D360" i="58"/>
  <c r="C360" i="58"/>
  <c r="B360" i="58"/>
  <c r="A360" i="58"/>
  <c r="G359" i="58"/>
  <c r="F359" i="58"/>
  <c r="E359" i="58"/>
  <c r="D359" i="58"/>
  <c r="C359" i="58"/>
  <c r="B359" i="58"/>
  <c r="A359" i="58"/>
  <c r="G358" i="58"/>
  <c r="F358" i="58"/>
  <c r="E358" i="58"/>
  <c r="D358" i="58"/>
  <c r="C358" i="58"/>
  <c r="B358" i="58"/>
  <c r="A358" i="58"/>
  <c r="G357" i="58"/>
  <c r="F357" i="58"/>
  <c r="E357" i="58"/>
  <c r="D357" i="58"/>
  <c r="C357" i="58"/>
  <c r="B357" i="58"/>
  <c r="A357" i="58"/>
  <c r="G356" i="58"/>
  <c r="F356" i="58"/>
  <c r="E356" i="58"/>
  <c r="D356" i="58"/>
  <c r="C356" i="58"/>
  <c r="B356" i="58"/>
  <c r="A356" i="58"/>
  <c r="G355" i="58"/>
  <c r="F355" i="58"/>
  <c r="E355" i="58"/>
  <c r="D355" i="58"/>
  <c r="C355" i="58"/>
  <c r="B355" i="58"/>
  <c r="A355" i="58"/>
  <c r="G354" i="58"/>
  <c r="F354" i="58"/>
  <c r="E354" i="58"/>
  <c r="D354" i="58"/>
  <c r="C354" i="58"/>
  <c r="B354" i="58"/>
  <c r="A354" i="58"/>
  <c r="G353" i="58"/>
  <c r="F353" i="58"/>
  <c r="E353" i="58"/>
  <c r="D353" i="58"/>
  <c r="C353" i="58"/>
  <c r="B353" i="58"/>
  <c r="A353" i="58"/>
  <c r="G352" i="58"/>
  <c r="F352" i="58"/>
  <c r="E352" i="58"/>
  <c r="D352" i="58"/>
  <c r="C352" i="58"/>
  <c r="B352" i="58"/>
  <c r="A352" i="58"/>
  <c r="G351" i="58"/>
  <c r="F351" i="58"/>
  <c r="E351" i="58"/>
  <c r="D351" i="58"/>
  <c r="C351" i="58"/>
  <c r="B351" i="58"/>
  <c r="A351" i="58"/>
  <c r="G350" i="58"/>
  <c r="F350" i="58"/>
  <c r="E350" i="58"/>
  <c r="D350" i="58"/>
  <c r="C350" i="58"/>
  <c r="B350" i="58"/>
  <c r="A350" i="58"/>
  <c r="G349" i="58"/>
  <c r="F349" i="58"/>
  <c r="E349" i="58"/>
  <c r="D349" i="58"/>
  <c r="C349" i="58"/>
  <c r="B349" i="58"/>
  <c r="A349" i="58"/>
  <c r="G348" i="58"/>
  <c r="F348" i="58"/>
  <c r="E348" i="58"/>
  <c r="D348" i="58"/>
  <c r="C348" i="58"/>
  <c r="B348" i="58"/>
  <c r="A348" i="58"/>
  <c r="G347" i="58"/>
  <c r="F347" i="58"/>
  <c r="E347" i="58"/>
  <c r="D347" i="58"/>
  <c r="C347" i="58"/>
  <c r="B347" i="58"/>
  <c r="A347" i="58"/>
  <c r="G346" i="58"/>
  <c r="F346" i="58"/>
  <c r="E346" i="58"/>
  <c r="D346" i="58"/>
  <c r="C346" i="58"/>
  <c r="B346" i="58"/>
  <c r="A346" i="58"/>
  <c r="G345" i="58"/>
  <c r="F345" i="58"/>
  <c r="E345" i="58"/>
  <c r="D345" i="58"/>
  <c r="C345" i="58"/>
  <c r="B345" i="58"/>
  <c r="A345" i="58"/>
  <c r="G344" i="58"/>
  <c r="F344" i="58"/>
  <c r="E344" i="58"/>
  <c r="D344" i="58"/>
  <c r="C344" i="58"/>
  <c r="B344" i="58"/>
  <c r="A344" i="58"/>
  <c r="G343" i="58"/>
  <c r="F343" i="58"/>
  <c r="E343" i="58"/>
  <c r="D343" i="58"/>
  <c r="C343" i="58"/>
  <c r="B343" i="58"/>
  <c r="A343" i="58"/>
  <c r="G342" i="58"/>
  <c r="F342" i="58"/>
  <c r="E342" i="58"/>
  <c r="D342" i="58"/>
  <c r="C342" i="58"/>
  <c r="B342" i="58"/>
  <c r="A342" i="58"/>
  <c r="G341" i="58"/>
  <c r="F341" i="58"/>
  <c r="E341" i="58"/>
  <c r="D341" i="58"/>
  <c r="C341" i="58"/>
  <c r="B341" i="58"/>
  <c r="A341" i="58"/>
  <c r="G340" i="58"/>
  <c r="F340" i="58"/>
  <c r="E340" i="58"/>
  <c r="D340" i="58"/>
  <c r="C340" i="58"/>
  <c r="B340" i="58"/>
  <c r="A340" i="58"/>
  <c r="G339" i="58"/>
  <c r="F339" i="58"/>
  <c r="E339" i="58"/>
  <c r="D339" i="58"/>
  <c r="C339" i="58"/>
  <c r="B339" i="58"/>
  <c r="A339" i="58"/>
  <c r="G338" i="58"/>
  <c r="F338" i="58"/>
  <c r="E338" i="58"/>
  <c r="D338" i="58"/>
  <c r="C338" i="58"/>
  <c r="B338" i="58"/>
  <c r="A338" i="58"/>
  <c r="G337" i="58"/>
  <c r="F337" i="58"/>
  <c r="E337" i="58"/>
  <c r="D337" i="58"/>
  <c r="C337" i="58"/>
  <c r="B337" i="58"/>
  <c r="A337" i="58"/>
  <c r="G336" i="58"/>
  <c r="F336" i="58"/>
  <c r="E336" i="58"/>
  <c r="D336" i="58"/>
  <c r="C336" i="58"/>
  <c r="B336" i="58"/>
  <c r="A336" i="58"/>
  <c r="G335" i="58"/>
  <c r="F335" i="58"/>
  <c r="E335" i="58"/>
  <c r="D335" i="58"/>
  <c r="C335" i="58"/>
  <c r="B335" i="58"/>
  <c r="A335" i="58"/>
  <c r="G334" i="58"/>
  <c r="F334" i="58"/>
  <c r="E334" i="58"/>
  <c r="D334" i="58"/>
  <c r="C334" i="58"/>
  <c r="B334" i="58"/>
  <c r="A334" i="58"/>
  <c r="G333" i="58"/>
  <c r="F333" i="58"/>
  <c r="E333" i="58"/>
  <c r="D333" i="58"/>
  <c r="C333" i="58"/>
  <c r="B333" i="58"/>
  <c r="A333" i="58"/>
  <c r="G332" i="58"/>
  <c r="F332" i="58"/>
  <c r="E332" i="58"/>
  <c r="D332" i="58"/>
  <c r="C332" i="58"/>
  <c r="B332" i="58"/>
  <c r="A332" i="58"/>
  <c r="G331" i="58"/>
  <c r="F331" i="58"/>
  <c r="E331" i="58"/>
  <c r="D331" i="58"/>
  <c r="C331" i="58"/>
  <c r="B331" i="58"/>
  <c r="A331" i="58"/>
  <c r="G330" i="58"/>
  <c r="F330" i="58"/>
  <c r="E330" i="58"/>
  <c r="D330" i="58"/>
  <c r="C330" i="58"/>
  <c r="B330" i="58"/>
  <c r="A330" i="58"/>
  <c r="G329" i="58"/>
  <c r="F329" i="58"/>
  <c r="E329" i="58"/>
  <c r="D329" i="58"/>
  <c r="C329" i="58"/>
  <c r="B329" i="58"/>
  <c r="A329" i="58"/>
  <c r="G328" i="58"/>
  <c r="F328" i="58"/>
  <c r="E328" i="58"/>
  <c r="D328" i="58"/>
  <c r="C328" i="58"/>
  <c r="B328" i="58"/>
  <c r="A328" i="58"/>
  <c r="G327" i="58"/>
  <c r="F327" i="58"/>
  <c r="E327" i="58"/>
  <c r="D327" i="58"/>
  <c r="C327" i="58"/>
  <c r="B327" i="58"/>
  <c r="A327" i="58"/>
  <c r="G326" i="58"/>
  <c r="F326" i="58"/>
  <c r="E326" i="58"/>
  <c r="D326" i="58"/>
  <c r="C326" i="58"/>
  <c r="B326" i="58"/>
  <c r="A326" i="58"/>
  <c r="G325" i="58"/>
  <c r="F325" i="58"/>
  <c r="E325" i="58"/>
  <c r="D325" i="58"/>
  <c r="C325" i="58"/>
  <c r="B325" i="58"/>
  <c r="A325" i="58"/>
  <c r="G324" i="58"/>
  <c r="F324" i="58"/>
  <c r="E324" i="58"/>
  <c r="D324" i="58"/>
  <c r="C324" i="58"/>
  <c r="B324" i="58"/>
  <c r="A324" i="58"/>
  <c r="G323" i="58"/>
  <c r="F323" i="58"/>
  <c r="E323" i="58"/>
  <c r="D323" i="58"/>
  <c r="C323" i="58"/>
  <c r="B323" i="58"/>
  <c r="A323" i="58"/>
  <c r="G322" i="58"/>
  <c r="F322" i="58"/>
  <c r="E322" i="58"/>
  <c r="D322" i="58"/>
  <c r="C322" i="58"/>
  <c r="B322" i="58"/>
  <c r="A322" i="58"/>
  <c r="G321" i="58"/>
  <c r="F321" i="58"/>
  <c r="E321" i="58"/>
  <c r="D321" i="58"/>
  <c r="C321" i="58"/>
  <c r="B321" i="58"/>
  <c r="A321" i="58"/>
  <c r="G320" i="58"/>
  <c r="F320" i="58"/>
  <c r="E320" i="58"/>
  <c r="D320" i="58"/>
  <c r="C320" i="58"/>
  <c r="B320" i="58"/>
  <c r="A320" i="58"/>
  <c r="G319" i="58"/>
  <c r="F319" i="58"/>
  <c r="E319" i="58"/>
  <c r="D319" i="58"/>
  <c r="C319" i="58"/>
  <c r="B319" i="58"/>
  <c r="A319" i="58"/>
  <c r="G318" i="58"/>
  <c r="F318" i="58"/>
  <c r="E318" i="58"/>
  <c r="D318" i="58"/>
  <c r="C318" i="58"/>
  <c r="B318" i="58"/>
  <c r="A318" i="58"/>
  <c r="G317" i="58"/>
  <c r="F317" i="58"/>
  <c r="E317" i="58"/>
  <c r="D317" i="58"/>
  <c r="C317" i="58"/>
  <c r="B317" i="58"/>
  <c r="A317" i="58"/>
  <c r="G316" i="58"/>
  <c r="F316" i="58"/>
  <c r="E316" i="58"/>
  <c r="D316" i="58"/>
  <c r="C316" i="58"/>
  <c r="B316" i="58"/>
  <c r="A316" i="58"/>
  <c r="G315" i="58"/>
  <c r="F315" i="58"/>
  <c r="E315" i="58"/>
  <c r="D315" i="58"/>
  <c r="C315" i="58"/>
  <c r="B315" i="58"/>
  <c r="A315" i="58"/>
  <c r="G314" i="58"/>
  <c r="F314" i="58"/>
  <c r="E314" i="58"/>
  <c r="D314" i="58"/>
  <c r="C314" i="58"/>
  <c r="B314" i="58"/>
  <c r="A314" i="58"/>
  <c r="G313" i="58"/>
  <c r="F313" i="58"/>
  <c r="E313" i="58"/>
  <c r="D313" i="58"/>
  <c r="C313" i="58"/>
  <c r="B313" i="58"/>
  <c r="A313" i="58"/>
  <c r="G312" i="58"/>
  <c r="F312" i="58"/>
  <c r="E312" i="58"/>
  <c r="D312" i="58"/>
  <c r="C312" i="58"/>
  <c r="B312" i="58"/>
  <c r="A312" i="58"/>
  <c r="G311" i="58"/>
  <c r="F311" i="58"/>
  <c r="E311" i="58"/>
  <c r="D311" i="58"/>
  <c r="C311" i="58"/>
  <c r="B311" i="58"/>
  <c r="A311" i="58"/>
  <c r="G310" i="58"/>
  <c r="F310" i="58"/>
  <c r="E310" i="58"/>
  <c r="D310" i="58"/>
  <c r="C310" i="58"/>
  <c r="B310" i="58"/>
  <c r="A310" i="58"/>
  <c r="G309" i="58"/>
  <c r="F309" i="58"/>
  <c r="E309" i="58"/>
  <c r="D309" i="58"/>
  <c r="C309" i="58"/>
  <c r="B309" i="58"/>
  <c r="A309" i="58"/>
  <c r="G308" i="58"/>
  <c r="F308" i="58"/>
  <c r="E308" i="58"/>
  <c r="D308" i="58"/>
  <c r="C308" i="58"/>
  <c r="B308" i="58"/>
  <c r="A308" i="58"/>
  <c r="G307" i="58"/>
  <c r="F307" i="58"/>
  <c r="E307" i="58"/>
  <c r="D307" i="58"/>
  <c r="C307" i="58"/>
  <c r="B307" i="58"/>
  <c r="A307" i="58"/>
  <c r="G306" i="58"/>
  <c r="F306" i="58"/>
  <c r="E306" i="58"/>
  <c r="D306" i="58"/>
  <c r="C306" i="58"/>
  <c r="B306" i="58"/>
  <c r="A306" i="58"/>
  <c r="G305" i="58"/>
  <c r="F305" i="58"/>
  <c r="E305" i="58"/>
  <c r="D305" i="58"/>
  <c r="C305" i="58"/>
  <c r="B305" i="58"/>
  <c r="A305" i="58"/>
  <c r="G304" i="58"/>
  <c r="F304" i="58"/>
  <c r="E304" i="58"/>
  <c r="D304" i="58"/>
  <c r="C304" i="58"/>
  <c r="B304" i="58"/>
  <c r="A304" i="58"/>
  <c r="G303" i="58"/>
  <c r="F303" i="58"/>
  <c r="E303" i="58"/>
  <c r="D303" i="58"/>
  <c r="C303" i="58"/>
  <c r="B303" i="58"/>
  <c r="A303" i="58"/>
  <c r="G302" i="58"/>
  <c r="F302" i="58"/>
  <c r="E302" i="58"/>
  <c r="D302" i="58"/>
  <c r="C302" i="58"/>
  <c r="B302" i="58"/>
  <c r="A302" i="58"/>
  <c r="G301" i="58"/>
  <c r="F301" i="58"/>
  <c r="E301" i="58"/>
  <c r="D301" i="58"/>
  <c r="C301" i="58"/>
  <c r="B301" i="58"/>
  <c r="A301" i="58"/>
  <c r="G300" i="58"/>
  <c r="F300" i="58"/>
  <c r="E300" i="58"/>
  <c r="D300" i="58"/>
  <c r="C300" i="58"/>
  <c r="B300" i="58"/>
  <c r="A300" i="58"/>
  <c r="G299" i="58"/>
  <c r="F299" i="58"/>
  <c r="E299" i="58"/>
  <c r="D299" i="58"/>
  <c r="C299" i="58"/>
  <c r="B299" i="58"/>
  <c r="A299" i="58"/>
  <c r="G298" i="58"/>
  <c r="F298" i="58"/>
  <c r="E298" i="58"/>
  <c r="D298" i="58"/>
  <c r="C298" i="58"/>
  <c r="B298" i="58"/>
  <c r="A298" i="58"/>
  <c r="G297" i="58"/>
  <c r="F297" i="58"/>
  <c r="E297" i="58"/>
  <c r="D297" i="58"/>
  <c r="C297" i="58"/>
  <c r="B297" i="58"/>
  <c r="A297" i="58"/>
  <c r="G296" i="58"/>
  <c r="F296" i="58"/>
  <c r="E296" i="58"/>
  <c r="D296" i="58"/>
  <c r="C296" i="58"/>
  <c r="B296" i="58"/>
  <c r="A296" i="58"/>
  <c r="G295" i="58"/>
  <c r="F295" i="58"/>
  <c r="E295" i="58"/>
  <c r="D295" i="58"/>
  <c r="C295" i="58"/>
  <c r="B295" i="58"/>
  <c r="A295" i="58"/>
  <c r="G294" i="58"/>
  <c r="F294" i="58"/>
  <c r="E294" i="58"/>
  <c r="D294" i="58"/>
  <c r="C294" i="58"/>
  <c r="B294" i="58"/>
  <c r="A294" i="58"/>
  <c r="G293" i="58"/>
  <c r="F293" i="58"/>
  <c r="E293" i="58"/>
  <c r="D293" i="58"/>
  <c r="C293" i="58"/>
  <c r="B293" i="58"/>
  <c r="A293" i="58"/>
  <c r="G292" i="58"/>
  <c r="F292" i="58"/>
  <c r="E292" i="58"/>
  <c r="D292" i="58"/>
  <c r="C292" i="58"/>
  <c r="B292" i="58"/>
  <c r="A292" i="58"/>
  <c r="G291" i="58"/>
  <c r="F291" i="58"/>
  <c r="E291" i="58"/>
  <c r="D291" i="58"/>
  <c r="C291" i="58"/>
  <c r="B291" i="58"/>
  <c r="A291" i="58"/>
  <c r="G290" i="58"/>
  <c r="F290" i="58"/>
  <c r="E290" i="58"/>
  <c r="D290" i="58"/>
  <c r="C290" i="58"/>
  <c r="B290" i="58"/>
  <c r="A290" i="58"/>
  <c r="G289" i="58"/>
  <c r="F289" i="58"/>
  <c r="E289" i="58"/>
  <c r="D289" i="58"/>
  <c r="C289" i="58"/>
  <c r="B289" i="58"/>
  <c r="A289" i="58"/>
  <c r="G288" i="58"/>
  <c r="F288" i="58"/>
  <c r="E288" i="58"/>
  <c r="D288" i="58"/>
  <c r="C288" i="58"/>
  <c r="B288" i="58"/>
  <c r="A288" i="58"/>
  <c r="G287" i="58"/>
  <c r="F287" i="58"/>
  <c r="E287" i="58"/>
  <c r="D287" i="58"/>
  <c r="C287" i="58"/>
  <c r="B287" i="58"/>
  <c r="A287" i="58"/>
  <c r="G286" i="58"/>
  <c r="F286" i="58"/>
  <c r="E286" i="58"/>
  <c r="D286" i="58"/>
  <c r="C286" i="58"/>
  <c r="B286" i="58"/>
  <c r="A286" i="58"/>
  <c r="G285" i="58"/>
  <c r="F285" i="58"/>
  <c r="E285" i="58"/>
  <c r="D285" i="58"/>
  <c r="C285" i="58"/>
  <c r="B285" i="58"/>
  <c r="A285" i="58"/>
  <c r="G284" i="58"/>
  <c r="F284" i="58"/>
  <c r="E284" i="58"/>
  <c r="D284" i="58"/>
  <c r="C284" i="58"/>
  <c r="B284" i="58"/>
  <c r="A284" i="58"/>
  <c r="G283" i="58"/>
  <c r="F283" i="58"/>
  <c r="E283" i="58"/>
  <c r="D283" i="58"/>
  <c r="C283" i="58"/>
  <c r="B283" i="58"/>
  <c r="A283" i="58"/>
  <c r="G282" i="58"/>
  <c r="F282" i="58"/>
  <c r="E282" i="58"/>
  <c r="D282" i="58"/>
  <c r="C282" i="58"/>
  <c r="B282" i="58"/>
  <c r="A282" i="58"/>
  <c r="G281" i="58"/>
  <c r="F281" i="58"/>
  <c r="E281" i="58"/>
  <c r="D281" i="58"/>
  <c r="C281" i="58"/>
  <c r="B281" i="58"/>
  <c r="A281" i="58"/>
  <c r="G280" i="58"/>
  <c r="F280" i="58"/>
  <c r="E280" i="58"/>
  <c r="D280" i="58"/>
  <c r="C280" i="58"/>
  <c r="B280" i="58"/>
  <c r="A280" i="58"/>
  <c r="G279" i="58"/>
  <c r="F279" i="58"/>
  <c r="E279" i="58"/>
  <c r="D279" i="58"/>
  <c r="C279" i="58"/>
  <c r="B279" i="58"/>
  <c r="A279" i="58"/>
  <c r="G278" i="58"/>
  <c r="F278" i="58"/>
  <c r="E278" i="58"/>
  <c r="D278" i="58"/>
  <c r="C278" i="58"/>
  <c r="B278" i="58"/>
  <c r="A278" i="58"/>
  <c r="G277" i="58"/>
  <c r="F277" i="58"/>
  <c r="E277" i="58"/>
  <c r="D277" i="58"/>
  <c r="C277" i="58"/>
  <c r="B277" i="58"/>
  <c r="A277" i="58"/>
  <c r="G276" i="58"/>
  <c r="F276" i="58"/>
  <c r="E276" i="58"/>
  <c r="D276" i="58"/>
  <c r="C276" i="58"/>
  <c r="B276" i="58"/>
  <c r="A276" i="58"/>
  <c r="G275" i="58"/>
  <c r="F275" i="58"/>
  <c r="E275" i="58"/>
  <c r="D275" i="58"/>
  <c r="C275" i="58"/>
  <c r="B275" i="58"/>
  <c r="A275" i="58"/>
  <c r="G274" i="58"/>
  <c r="F274" i="58"/>
  <c r="E274" i="58"/>
  <c r="D274" i="58"/>
  <c r="C274" i="58"/>
  <c r="B274" i="58"/>
  <c r="A274" i="58"/>
  <c r="G273" i="58"/>
  <c r="F273" i="58"/>
  <c r="E273" i="58"/>
  <c r="D273" i="58"/>
  <c r="C273" i="58"/>
  <c r="B273" i="58"/>
  <c r="A273" i="58"/>
  <c r="G272" i="58"/>
  <c r="F272" i="58"/>
  <c r="E272" i="58"/>
  <c r="D272" i="58"/>
  <c r="C272" i="58"/>
  <c r="B272" i="58"/>
  <c r="A272" i="58"/>
  <c r="G271" i="58"/>
  <c r="F271" i="58"/>
  <c r="E271" i="58"/>
  <c r="D271" i="58"/>
  <c r="C271" i="58"/>
  <c r="B271" i="58"/>
  <c r="A271" i="58"/>
  <c r="G270" i="58"/>
  <c r="F270" i="58"/>
  <c r="E270" i="58"/>
  <c r="D270" i="58"/>
  <c r="C270" i="58"/>
  <c r="B270" i="58"/>
  <c r="A270" i="58"/>
  <c r="G269" i="58"/>
  <c r="F269" i="58"/>
  <c r="E269" i="58"/>
  <c r="D269" i="58"/>
  <c r="C269" i="58"/>
  <c r="B269" i="58"/>
  <c r="A269" i="58"/>
  <c r="G268" i="58"/>
  <c r="F268" i="58"/>
  <c r="E268" i="58"/>
  <c r="D268" i="58"/>
  <c r="C268" i="58"/>
  <c r="B268" i="58"/>
  <c r="A268" i="58"/>
  <c r="G267" i="58"/>
  <c r="F267" i="58"/>
  <c r="E267" i="58"/>
  <c r="D267" i="58"/>
  <c r="C267" i="58"/>
  <c r="B267" i="58"/>
  <c r="A267" i="58"/>
  <c r="G266" i="58"/>
  <c r="F266" i="58"/>
  <c r="E266" i="58"/>
  <c r="D266" i="58"/>
  <c r="C266" i="58"/>
  <c r="B266" i="58"/>
  <c r="A266" i="58"/>
  <c r="G265" i="58"/>
  <c r="F265" i="58"/>
  <c r="E265" i="58"/>
  <c r="D265" i="58"/>
  <c r="C265" i="58"/>
  <c r="B265" i="58"/>
  <c r="A265" i="58"/>
  <c r="G264" i="58"/>
  <c r="F264" i="58"/>
  <c r="E264" i="58"/>
  <c r="D264" i="58"/>
  <c r="C264" i="58"/>
  <c r="B264" i="58"/>
  <c r="A264" i="58"/>
  <c r="G263" i="58"/>
  <c r="F263" i="58"/>
  <c r="E263" i="58"/>
  <c r="D263" i="58"/>
  <c r="C263" i="58"/>
  <c r="B263" i="58"/>
  <c r="A263" i="58"/>
  <c r="G262" i="58"/>
  <c r="F262" i="58"/>
  <c r="E262" i="58"/>
  <c r="D262" i="58"/>
  <c r="C262" i="58"/>
  <c r="B262" i="58"/>
  <c r="A262" i="58"/>
  <c r="G261" i="58"/>
  <c r="F261" i="58"/>
  <c r="E261" i="58"/>
  <c r="D261" i="58"/>
  <c r="C261" i="58"/>
  <c r="B261" i="58"/>
  <c r="A261" i="58"/>
  <c r="G260" i="58"/>
  <c r="F260" i="58"/>
  <c r="E260" i="58"/>
  <c r="D260" i="58"/>
  <c r="C260" i="58"/>
  <c r="B260" i="58"/>
  <c r="A260" i="58"/>
  <c r="G259" i="58"/>
  <c r="F259" i="58"/>
  <c r="E259" i="58"/>
  <c r="D259" i="58"/>
  <c r="C259" i="58"/>
  <c r="B259" i="58"/>
  <c r="A259" i="58"/>
  <c r="G258" i="58"/>
  <c r="F258" i="58"/>
  <c r="E258" i="58"/>
  <c r="D258" i="58"/>
  <c r="C258" i="58"/>
  <c r="B258" i="58"/>
  <c r="A258" i="58"/>
  <c r="G257" i="58"/>
  <c r="F257" i="58"/>
  <c r="E257" i="58"/>
  <c r="D257" i="58"/>
  <c r="C257" i="58"/>
  <c r="B257" i="58"/>
  <c r="A257" i="58"/>
  <c r="G256" i="58"/>
  <c r="F256" i="58"/>
  <c r="E256" i="58"/>
  <c r="D256" i="58"/>
  <c r="C256" i="58"/>
  <c r="B256" i="58"/>
  <c r="A256" i="58"/>
  <c r="G255" i="58"/>
  <c r="F255" i="58"/>
  <c r="E255" i="58"/>
  <c r="D255" i="58"/>
  <c r="C255" i="58"/>
  <c r="B255" i="58"/>
  <c r="A255" i="58"/>
  <c r="G254" i="58"/>
  <c r="F254" i="58"/>
  <c r="E254" i="58"/>
  <c r="D254" i="58"/>
  <c r="C254" i="58"/>
  <c r="B254" i="58"/>
  <c r="A254" i="58"/>
  <c r="G253" i="58"/>
  <c r="F253" i="58"/>
  <c r="E253" i="58"/>
  <c r="D253" i="58"/>
  <c r="C253" i="58"/>
  <c r="B253" i="58"/>
  <c r="A253" i="58"/>
  <c r="G252" i="58"/>
  <c r="F252" i="58"/>
  <c r="E252" i="58"/>
  <c r="D252" i="58"/>
  <c r="C252" i="58"/>
  <c r="B252" i="58"/>
  <c r="A252" i="58"/>
  <c r="G251" i="58"/>
  <c r="F251" i="58"/>
  <c r="E251" i="58"/>
  <c r="D251" i="58"/>
  <c r="C251" i="58"/>
  <c r="B251" i="58"/>
  <c r="A251" i="58"/>
  <c r="G250" i="58"/>
  <c r="F250" i="58"/>
  <c r="E250" i="58"/>
  <c r="D250" i="58"/>
  <c r="C250" i="58"/>
  <c r="B250" i="58"/>
  <c r="A250" i="58"/>
  <c r="G249" i="58"/>
  <c r="F249" i="58"/>
  <c r="E249" i="58"/>
  <c r="D249" i="58"/>
  <c r="C249" i="58"/>
  <c r="B249" i="58"/>
  <c r="A249" i="58"/>
  <c r="G248" i="58"/>
  <c r="F248" i="58"/>
  <c r="E248" i="58"/>
  <c r="D248" i="58"/>
  <c r="C248" i="58"/>
  <c r="B248" i="58"/>
  <c r="A248" i="58"/>
  <c r="G247" i="58"/>
  <c r="F247" i="58"/>
  <c r="E247" i="58"/>
  <c r="D247" i="58"/>
  <c r="C247" i="58"/>
  <c r="B247" i="58"/>
  <c r="A247" i="58"/>
  <c r="G246" i="58"/>
  <c r="F246" i="58"/>
  <c r="E246" i="58"/>
  <c r="D246" i="58"/>
  <c r="C246" i="58"/>
  <c r="B246" i="58"/>
  <c r="A246" i="58"/>
  <c r="G245" i="58"/>
  <c r="F245" i="58"/>
  <c r="E245" i="58"/>
  <c r="D245" i="58"/>
  <c r="C245" i="58"/>
  <c r="B245" i="58"/>
  <c r="A245" i="58"/>
  <c r="G244" i="58"/>
  <c r="F244" i="58"/>
  <c r="E244" i="58"/>
  <c r="D244" i="58"/>
  <c r="C244" i="58"/>
  <c r="B244" i="58"/>
  <c r="A244" i="58"/>
  <c r="G243" i="58"/>
  <c r="F243" i="58"/>
  <c r="E243" i="58"/>
  <c r="D243" i="58"/>
  <c r="C243" i="58"/>
  <c r="B243" i="58"/>
  <c r="A243" i="58"/>
  <c r="G242" i="58"/>
  <c r="F242" i="58"/>
  <c r="E242" i="58"/>
  <c r="D242" i="58"/>
  <c r="C242" i="58"/>
  <c r="B242" i="58"/>
  <c r="A242" i="58"/>
  <c r="G241" i="58"/>
  <c r="F241" i="58"/>
  <c r="E241" i="58"/>
  <c r="D241" i="58"/>
  <c r="C241" i="58"/>
  <c r="B241" i="58"/>
  <c r="A241" i="58"/>
  <c r="G240" i="58"/>
  <c r="F240" i="58"/>
  <c r="E240" i="58"/>
  <c r="D240" i="58"/>
  <c r="C240" i="58"/>
  <c r="B240" i="58"/>
  <c r="A240" i="58"/>
  <c r="G239" i="58"/>
  <c r="F239" i="58"/>
  <c r="E239" i="58"/>
  <c r="D239" i="58"/>
  <c r="C239" i="58"/>
  <c r="B239" i="58"/>
  <c r="A239" i="58"/>
  <c r="G238" i="58"/>
  <c r="F238" i="58"/>
  <c r="E238" i="58"/>
  <c r="D238" i="58"/>
  <c r="C238" i="58"/>
  <c r="B238" i="58"/>
  <c r="A238" i="58"/>
  <c r="G237" i="58"/>
  <c r="F237" i="58"/>
  <c r="E237" i="58"/>
  <c r="D237" i="58"/>
  <c r="C237" i="58"/>
  <c r="B237" i="58"/>
  <c r="A237" i="58"/>
  <c r="G236" i="58"/>
  <c r="F236" i="58"/>
  <c r="E236" i="58"/>
  <c r="D236" i="58"/>
  <c r="C236" i="58"/>
  <c r="B236" i="58"/>
  <c r="A236" i="58"/>
  <c r="G235" i="58"/>
  <c r="F235" i="58"/>
  <c r="E235" i="58"/>
  <c r="D235" i="58"/>
  <c r="C235" i="58"/>
  <c r="B235" i="58"/>
  <c r="A235" i="58"/>
  <c r="G234" i="58"/>
  <c r="F234" i="58"/>
  <c r="E234" i="58"/>
  <c r="D234" i="58"/>
  <c r="C234" i="58"/>
  <c r="B234" i="58"/>
  <c r="A234" i="58"/>
  <c r="G233" i="58"/>
  <c r="F233" i="58"/>
  <c r="E233" i="58"/>
  <c r="D233" i="58"/>
  <c r="C233" i="58"/>
  <c r="B233" i="58"/>
  <c r="A233" i="58"/>
  <c r="G232" i="58"/>
  <c r="F232" i="58"/>
  <c r="E232" i="58"/>
  <c r="D232" i="58"/>
  <c r="C232" i="58"/>
  <c r="B232" i="58"/>
  <c r="A232" i="58"/>
  <c r="G231" i="58"/>
  <c r="F231" i="58"/>
  <c r="E231" i="58"/>
  <c r="D231" i="58"/>
  <c r="C231" i="58"/>
  <c r="B231" i="58"/>
  <c r="A231" i="58"/>
  <c r="G230" i="58"/>
  <c r="F230" i="58"/>
  <c r="E230" i="58"/>
  <c r="D230" i="58"/>
  <c r="C230" i="58"/>
  <c r="B230" i="58"/>
  <c r="A230" i="58"/>
  <c r="G229" i="58"/>
  <c r="F229" i="58"/>
  <c r="E229" i="58"/>
  <c r="D229" i="58"/>
  <c r="C229" i="58"/>
  <c r="B229" i="58"/>
  <c r="A229" i="58"/>
  <c r="G228" i="58"/>
  <c r="F228" i="58"/>
  <c r="E228" i="58"/>
  <c r="D228" i="58"/>
  <c r="C228" i="58"/>
  <c r="B228" i="58"/>
  <c r="A228" i="58"/>
  <c r="G227" i="58"/>
  <c r="F227" i="58"/>
  <c r="E227" i="58"/>
  <c r="D227" i="58"/>
  <c r="C227" i="58"/>
  <c r="B227" i="58"/>
  <c r="A227" i="58"/>
  <c r="G226" i="58"/>
  <c r="F226" i="58"/>
  <c r="E226" i="58"/>
  <c r="D226" i="58"/>
  <c r="C226" i="58"/>
  <c r="B226" i="58"/>
  <c r="A226" i="58"/>
  <c r="G225" i="58"/>
  <c r="F225" i="58"/>
  <c r="E225" i="58"/>
  <c r="D225" i="58"/>
  <c r="C225" i="58"/>
  <c r="B225" i="58"/>
  <c r="A225" i="58"/>
  <c r="G224" i="58"/>
  <c r="F224" i="58"/>
  <c r="E224" i="58"/>
  <c r="D224" i="58"/>
  <c r="C224" i="58"/>
  <c r="B224" i="58"/>
  <c r="A224" i="58"/>
  <c r="G223" i="58"/>
  <c r="F223" i="58"/>
  <c r="E223" i="58"/>
  <c r="D223" i="58"/>
  <c r="C223" i="58"/>
  <c r="B223" i="58"/>
  <c r="A223" i="58"/>
  <c r="G222" i="58"/>
  <c r="F222" i="58"/>
  <c r="E222" i="58"/>
  <c r="D222" i="58"/>
  <c r="C222" i="58"/>
  <c r="B222" i="58"/>
  <c r="A222" i="58"/>
  <c r="G221" i="58"/>
  <c r="F221" i="58"/>
  <c r="E221" i="58"/>
  <c r="D221" i="58"/>
  <c r="C221" i="58"/>
  <c r="B221" i="58"/>
  <c r="A221" i="58"/>
  <c r="G220" i="58"/>
  <c r="F220" i="58"/>
  <c r="E220" i="58"/>
  <c r="D220" i="58"/>
  <c r="C220" i="58"/>
  <c r="B220" i="58"/>
  <c r="A220" i="58"/>
  <c r="G219" i="58"/>
  <c r="F219" i="58"/>
  <c r="E219" i="58"/>
  <c r="D219" i="58"/>
  <c r="C219" i="58"/>
  <c r="B219" i="58"/>
  <c r="A219" i="58"/>
  <c r="G218" i="58"/>
  <c r="F218" i="58"/>
  <c r="E218" i="58"/>
  <c r="D218" i="58"/>
  <c r="C218" i="58"/>
  <c r="B218" i="58"/>
  <c r="A218" i="58"/>
  <c r="G217" i="58"/>
  <c r="F217" i="58"/>
  <c r="E217" i="58"/>
  <c r="D217" i="58"/>
  <c r="C217" i="58"/>
  <c r="B217" i="58"/>
  <c r="A217" i="58"/>
  <c r="G216" i="58"/>
  <c r="F216" i="58"/>
  <c r="E216" i="58"/>
  <c r="D216" i="58"/>
  <c r="C216" i="58"/>
  <c r="B216" i="58"/>
  <c r="A216" i="58"/>
  <c r="G215" i="58"/>
  <c r="F215" i="58"/>
  <c r="E215" i="58"/>
  <c r="D215" i="58"/>
  <c r="C215" i="58"/>
  <c r="B215" i="58"/>
  <c r="A215" i="58"/>
  <c r="G214" i="58"/>
  <c r="F214" i="58"/>
  <c r="E214" i="58"/>
  <c r="D214" i="58"/>
  <c r="C214" i="58"/>
  <c r="B214" i="58"/>
  <c r="A214" i="58"/>
  <c r="G213" i="58"/>
  <c r="F213" i="58"/>
  <c r="E213" i="58"/>
  <c r="D213" i="58"/>
  <c r="C213" i="58"/>
  <c r="B213" i="58"/>
  <c r="A213" i="58"/>
  <c r="G212" i="58"/>
  <c r="F212" i="58"/>
  <c r="E212" i="58"/>
  <c r="D212" i="58"/>
  <c r="C212" i="58"/>
  <c r="B212" i="58"/>
  <c r="A212" i="58"/>
  <c r="G211" i="58"/>
  <c r="F211" i="58"/>
  <c r="E211" i="58"/>
  <c r="D211" i="58"/>
  <c r="C211" i="58"/>
  <c r="B211" i="58"/>
  <c r="A211" i="58"/>
  <c r="G210" i="58"/>
  <c r="F210" i="58"/>
  <c r="E210" i="58"/>
  <c r="D210" i="58"/>
  <c r="C210" i="58"/>
  <c r="B210" i="58"/>
  <c r="A210" i="58"/>
  <c r="G209" i="58"/>
  <c r="F209" i="58"/>
  <c r="E209" i="58"/>
  <c r="D209" i="58"/>
  <c r="C209" i="58"/>
  <c r="B209" i="58"/>
  <c r="A209" i="58"/>
  <c r="G208" i="58"/>
  <c r="F208" i="58"/>
  <c r="E208" i="58"/>
  <c r="D208" i="58"/>
  <c r="C208" i="58"/>
  <c r="B208" i="58"/>
  <c r="A208" i="58"/>
  <c r="G207" i="58"/>
  <c r="F207" i="58"/>
  <c r="E207" i="58"/>
  <c r="D207" i="58"/>
  <c r="C207" i="58"/>
  <c r="B207" i="58"/>
  <c r="A207" i="58"/>
  <c r="G206" i="58"/>
  <c r="F206" i="58"/>
  <c r="E206" i="58"/>
  <c r="D206" i="58"/>
  <c r="C206" i="58"/>
  <c r="B206" i="58"/>
  <c r="A206" i="58"/>
  <c r="G205" i="58"/>
  <c r="F205" i="58"/>
  <c r="E205" i="58"/>
  <c r="D205" i="58"/>
  <c r="C205" i="58"/>
  <c r="B205" i="58"/>
  <c r="A205" i="58"/>
  <c r="G204" i="58"/>
  <c r="F204" i="58"/>
  <c r="E204" i="58"/>
  <c r="D204" i="58"/>
  <c r="C204" i="58"/>
  <c r="B204" i="58"/>
  <c r="A204" i="58"/>
  <c r="G203" i="58"/>
  <c r="F203" i="58"/>
  <c r="E203" i="58"/>
  <c r="D203" i="58"/>
  <c r="C203" i="58"/>
  <c r="B203" i="58"/>
  <c r="A203" i="58"/>
  <c r="G202" i="58"/>
  <c r="F202" i="58"/>
  <c r="E202" i="58"/>
  <c r="D202" i="58"/>
  <c r="C202" i="58"/>
  <c r="B202" i="58"/>
  <c r="A202" i="58"/>
  <c r="G201" i="58"/>
  <c r="F201" i="58"/>
  <c r="E201" i="58"/>
  <c r="D201" i="58"/>
  <c r="C201" i="58"/>
  <c r="B201" i="58"/>
  <c r="A201" i="58"/>
  <c r="G200" i="58"/>
  <c r="F200" i="58"/>
  <c r="E200" i="58"/>
  <c r="D200" i="58"/>
  <c r="C200" i="58"/>
  <c r="B200" i="58"/>
  <c r="A200" i="58"/>
  <c r="G199" i="58"/>
  <c r="F199" i="58"/>
  <c r="E199" i="58"/>
  <c r="D199" i="58"/>
  <c r="C199" i="58"/>
  <c r="B199" i="58"/>
  <c r="A199" i="58"/>
  <c r="G198" i="58"/>
  <c r="F198" i="58"/>
  <c r="E198" i="58"/>
  <c r="D198" i="58"/>
  <c r="C198" i="58"/>
  <c r="B198" i="58"/>
  <c r="A198" i="58"/>
  <c r="G197" i="58"/>
  <c r="F197" i="58"/>
  <c r="E197" i="58"/>
  <c r="D197" i="58"/>
  <c r="C197" i="58"/>
  <c r="B197" i="58"/>
  <c r="A197" i="58"/>
  <c r="G196" i="58"/>
  <c r="F196" i="58"/>
  <c r="E196" i="58"/>
  <c r="D196" i="58"/>
  <c r="C196" i="58"/>
  <c r="B196" i="58"/>
  <c r="A196" i="58"/>
  <c r="G195" i="58"/>
  <c r="F195" i="58"/>
  <c r="E195" i="58"/>
  <c r="D195" i="58"/>
  <c r="C195" i="58"/>
  <c r="B195" i="58"/>
  <c r="A195" i="58"/>
  <c r="G194" i="58"/>
  <c r="F194" i="58"/>
  <c r="E194" i="58"/>
  <c r="D194" i="58"/>
  <c r="C194" i="58"/>
  <c r="B194" i="58"/>
  <c r="A194" i="58"/>
  <c r="G193" i="58"/>
  <c r="F193" i="58"/>
  <c r="E193" i="58"/>
  <c r="D193" i="58"/>
  <c r="C193" i="58"/>
  <c r="B193" i="58"/>
  <c r="A193" i="58"/>
  <c r="G192" i="58"/>
  <c r="F192" i="58"/>
  <c r="E192" i="58"/>
  <c r="D192" i="58"/>
  <c r="C192" i="58"/>
  <c r="B192" i="58"/>
  <c r="A192" i="58"/>
  <c r="G191" i="58"/>
  <c r="F191" i="58"/>
  <c r="E191" i="58"/>
  <c r="D191" i="58"/>
  <c r="C191" i="58"/>
  <c r="B191" i="58"/>
  <c r="A191" i="58"/>
  <c r="G190" i="58"/>
  <c r="F190" i="58"/>
  <c r="E190" i="58"/>
  <c r="D190" i="58"/>
  <c r="C190" i="58"/>
  <c r="B190" i="58"/>
  <c r="A190" i="58"/>
  <c r="G189" i="58"/>
  <c r="F189" i="58"/>
  <c r="E189" i="58"/>
  <c r="D189" i="58"/>
  <c r="C189" i="58"/>
  <c r="B189" i="58"/>
  <c r="A189" i="58"/>
  <c r="G188" i="58"/>
  <c r="F188" i="58"/>
  <c r="E188" i="58"/>
  <c r="D188" i="58"/>
  <c r="C188" i="58"/>
  <c r="B188" i="58"/>
  <c r="A188" i="58"/>
  <c r="G187" i="58"/>
  <c r="F187" i="58"/>
  <c r="E187" i="58"/>
  <c r="D187" i="58"/>
  <c r="C187" i="58"/>
  <c r="B187" i="58"/>
  <c r="A187" i="58"/>
  <c r="G186" i="58"/>
  <c r="F186" i="58"/>
  <c r="E186" i="58"/>
  <c r="D186" i="58"/>
  <c r="C186" i="58"/>
  <c r="B186" i="58"/>
  <c r="A186" i="58"/>
  <c r="G185" i="58"/>
  <c r="F185" i="58"/>
  <c r="E185" i="58"/>
  <c r="D185" i="58"/>
  <c r="C185" i="58"/>
  <c r="B185" i="58"/>
  <c r="A185" i="58"/>
  <c r="G184" i="58"/>
  <c r="F184" i="58"/>
  <c r="E184" i="58"/>
  <c r="D184" i="58"/>
  <c r="C184" i="58"/>
  <c r="B184" i="58"/>
  <c r="A184" i="58"/>
  <c r="G183" i="58"/>
  <c r="F183" i="58"/>
  <c r="E183" i="58"/>
  <c r="D183" i="58"/>
  <c r="C183" i="58"/>
  <c r="B183" i="58"/>
  <c r="A183" i="58"/>
  <c r="G182" i="58"/>
  <c r="F182" i="58"/>
  <c r="E182" i="58"/>
  <c r="D182" i="58"/>
  <c r="C182" i="58"/>
  <c r="B182" i="58"/>
  <c r="A182" i="58"/>
  <c r="G181" i="58"/>
  <c r="F181" i="58"/>
  <c r="E181" i="58"/>
  <c r="D181" i="58"/>
  <c r="C181" i="58"/>
  <c r="B181" i="58"/>
  <c r="A181" i="58"/>
  <c r="G180" i="58"/>
  <c r="F180" i="58"/>
  <c r="E180" i="58"/>
  <c r="D180" i="58"/>
  <c r="C180" i="58"/>
  <c r="B180" i="58"/>
  <c r="A180" i="58"/>
  <c r="G179" i="58"/>
  <c r="F179" i="58"/>
  <c r="E179" i="58"/>
  <c r="D179" i="58"/>
  <c r="C179" i="58"/>
  <c r="B179" i="58"/>
  <c r="A179" i="58"/>
  <c r="G178" i="58"/>
  <c r="F178" i="58"/>
  <c r="E178" i="58"/>
  <c r="D178" i="58"/>
  <c r="C178" i="58"/>
  <c r="B178" i="58"/>
  <c r="A178" i="58"/>
  <c r="G177" i="58"/>
  <c r="F177" i="58"/>
  <c r="E177" i="58"/>
  <c r="D177" i="58"/>
  <c r="C177" i="58"/>
  <c r="B177" i="58"/>
  <c r="A177" i="58"/>
  <c r="G176" i="58"/>
  <c r="F176" i="58"/>
  <c r="E176" i="58"/>
  <c r="D176" i="58"/>
  <c r="C176" i="58"/>
  <c r="B176" i="58"/>
  <c r="A176" i="58"/>
  <c r="G175" i="58"/>
  <c r="F175" i="58"/>
  <c r="E175" i="58"/>
  <c r="D175" i="58"/>
  <c r="C175" i="58"/>
  <c r="B175" i="58"/>
  <c r="A175" i="58"/>
  <c r="G174" i="58"/>
  <c r="F174" i="58"/>
  <c r="E174" i="58"/>
  <c r="D174" i="58"/>
  <c r="C174" i="58"/>
  <c r="B174" i="58"/>
  <c r="A174" i="58"/>
  <c r="G173" i="58"/>
  <c r="F173" i="58"/>
  <c r="E173" i="58"/>
  <c r="D173" i="58"/>
  <c r="C173" i="58"/>
  <c r="B173" i="58"/>
  <c r="A173" i="58"/>
  <c r="G172" i="58"/>
  <c r="F172" i="58"/>
  <c r="E172" i="58"/>
  <c r="D172" i="58"/>
  <c r="C172" i="58"/>
  <c r="B172" i="58"/>
  <c r="A172" i="58"/>
  <c r="G171" i="58"/>
  <c r="F171" i="58"/>
  <c r="E171" i="58"/>
  <c r="D171" i="58"/>
  <c r="C171" i="58"/>
  <c r="B171" i="58"/>
  <c r="A171" i="58"/>
  <c r="G170" i="58"/>
  <c r="F170" i="58"/>
  <c r="E170" i="58"/>
  <c r="D170" i="58"/>
  <c r="C170" i="58"/>
  <c r="B170" i="58"/>
  <c r="A170" i="58"/>
  <c r="G169" i="58"/>
  <c r="F169" i="58"/>
  <c r="E169" i="58"/>
  <c r="D169" i="58"/>
  <c r="C169" i="58"/>
  <c r="B169" i="58"/>
  <c r="A169" i="58"/>
  <c r="G168" i="58"/>
  <c r="F168" i="58"/>
  <c r="E168" i="58"/>
  <c r="D168" i="58"/>
  <c r="C168" i="58"/>
  <c r="B168" i="58"/>
  <c r="A168" i="58"/>
  <c r="G167" i="58"/>
  <c r="F167" i="58"/>
  <c r="E167" i="58"/>
  <c r="D167" i="58"/>
  <c r="C167" i="58"/>
  <c r="B167" i="58"/>
  <c r="A167" i="58"/>
  <c r="G166" i="58"/>
  <c r="F166" i="58"/>
  <c r="E166" i="58"/>
  <c r="D166" i="58"/>
  <c r="C166" i="58"/>
  <c r="B166" i="58"/>
  <c r="A166" i="58"/>
  <c r="G165" i="58"/>
  <c r="F165" i="58"/>
  <c r="E165" i="58"/>
  <c r="D165" i="58"/>
  <c r="C165" i="58"/>
  <c r="B165" i="58"/>
  <c r="A165" i="58"/>
  <c r="G164" i="58"/>
  <c r="F164" i="58"/>
  <c r="E164" i="58"/>
  <c r="D164" i="58"/>
  <c r="C164" i="58"/>
  <c r="B164" i="58"/>
  <c r="A164" i="58"/>
  <c r="G163" i="58"/>
  <c r="F163" i="58"/>
  <c r="E163" i="58"/>
  <c r="D163" i="58"/>
  <c r="C163" i="58"/>
  <c r="B163" i="58"/>
  <c r="A163" i="58"/>
  <c r="G162" i="58"/>
  <c r="F162" i="58"/>
  <c r="E162" i="58"/>
  <c r="D162" i="58"/>
  <c r="C162" i="58"/>
  <c r="B162" i="58"/>
  <c r="A162" i="58"/>
  <c r="G161" i="58"/>
  <c r="F161" i="58"/>
  <c r="E161" i="58"/>
  <c r="D161" i="58"/>
  <c r="C161" i="58"/>
  <c r="B161" i="58"/>
  <c r="A161" i="58"/>
  <c r="G160" i="58"/>
  <c r="F160" i="58"/>
  <c r="E160" i="58"/>
  <c r="D160" i="58"/>
  <c r="C160" i="58"/>
  <c r="B160" i="58"/>
  <c r="A160" i="58"/>
  <c r="G159" i="58"/>
  <c r="F159" i="58"/>
  <c r="E159" i="58"/>
  <c r="D159" i="58"/>
  <c r="C159" i="58"/>
  <c r="B159" i="58"/>
  <c r="A159" i="58"/>
  <c r="G158" i="58"/>
  <c r="F158" i="58"/>
  <c r="E158" i="58"/>
  <c r="D158" i="58"/>
  <c r="C158" i="58"/>
  <c r="B158" i="58"/>
  <c r="A158" i="58"/>
  <c r="G157" i="58"/>
  <c r="F157" i="58"/>
  <c r="E157" i="58"/>
  <c r="D157" i="58"/>
  <c r="C157" i="58"/>
  <c r="B157" i="58"/>
  <c r="A157" i="58"/>
  <c r="G156" i="58"/>
  <c r="F156" i="58"/>
  <c r="E156" i="58"/>
  <c r="D156" i="58"/>
  <c r="C156" i="58"/>
  <c r="B156" i="58"/>
  <c r="A156" i="58"/>
  <c r="G155" i="58"/>
  <c r="F155" i="58"/>
  <c r="E155" i="58"/>
  <c r="D155" i="58"/>
  <c r="C155" i="58"/>
  <c r="B155" i="58"/>
  <c r="A155" i="58"/>
  <c r="G154" i="58"/>
  <c r="F154" i="58"/>
  <c r="E154" i="58"/>
  <c r="D154" i="58"/>
  <c r="C154" i="58"/>
  <c r="B154" i="58"/>
  <c r="A154" i="58"/>
  <c r="G153" i="58"/>
  <c r="F153" i="58"/>
  <c r="E153" i="58"/>
  <c r="D153" i="58"/>
  <c r="C153" i="58"/>
  <c r="B153" i="58"/>
  <c r="A153" i="58"/>
  <c r="G152" i="58"/>
  <c r="F152" i="58"/>
  <c r="E152" i="58"/>
  <c r="D152" i="58"/>
  <c r="C152" i="58"/>
  <c r="B152" i="58"/>
  <c r="A152" i="58"/>
  <c r="G151" i="58"/>
  <c r="F151" i="58"/>
  <c r="E151" i="58"/>
  <c r="D151" i="58"/>
  <c r="C151" i="58"/>
  <c r="B151" i="58"/>
  <c r="A151" i="58"/>
  <c r="G150" i="58"/>
  <c r="F150" i="58"/>
  <c r="E150" i="58"/>
  <c r="D150" i="58"/>
  <c r="C150" i="58"/>
  <c r="B150" i="58"/>
  <c r="A150" i="58"/>
  <c r="G149" i="58"/>
  <c r="F149" i="58"/>
  <c r="E149" i="58"/>
  <c r="D149" i="58"/>
  <c r="C149" i="58"/>
  <c r="B149" i="58"/>
  <c r="A149" i="58"/>
  <c r="G148" i="58"/>
  <c r="F148" i="58"/>
  <c r="E148" i="58"/>
  <c r="D148" i="58"/>
  <c r="C148" i="58"/>
  <c r="B148" i="58"/>
  <c r="A148" i="58"/>
  <c r="G147" i="58"/>
  <c r="F147" i="58"/>
  <c r="E147" i="58"/>
  <c r="D147" i="58"/>
  <c r="C147" i="58"/>
  <c r="B147" i="58"/>
  <c r="A147" i="58"/>
  <c r="G146" i="58"/>
  <c r="F146" i="58"/>
  <c r="E146" i="58"/>
  <c r="D146" i="58"/>
  <c r="C146" i="58"/>
  <c r="B146" i="58"/>
  <c r="A146" i="58"/>
  <c r="G145" i="58"/>
  <c r="F145" i="58"/>
  <c r="E145" i="58"/>
  <c r="D145" i="58"/>
  <c r="C145" i="58"/>
  <c r="B145" i="58"/>
  <c r="A145" i="58"/>
  <c r="G144" i="58"/>
  <c r="F144" i="58"/>
  <c r="E144" i="58"/>
  <c r="D144" i="58"/>
  <c r="C144" i="58"/>
  <c r="B144" i="58"/>
  <c r="A144" i="58"/>
  <c r="G143" i="58"/>
  <c r="F143" i="58"/>
  <c r="E143" i="58"/>
  <c r="D143" i="58"/>
  <c r="C143" i="58"/>
  <c r="B143" i="58"/>
  <c r="A143" i="58"/>
  <c r="G142" i="58"/>
  <c r="F142" i="58"/>
  <c r="E142" i="58"/>
  <c r="D142" i="58"/>
  <c r="C142" i="58"/>
  <c r="B142" i="58"/>
  <c r="A142" i="58"/>
  <c r="G141" i="58"/>
  <c r="F141" i="58"/>
  <c r="E141" i="58"/>
  <c r="D141" i="58"/>
  <c r="C141" i="58"/>
  <c r="B141" i="58"/>
  <c r="A141" i="58"/>
  <c r="G140" i="58"/>
  <c r="F140" i="58"/>
  <c r="E140" i="58"/>
  <c r="D140" i="58"/>
  <c r="C140" i="58"/>
  <c r="B140" i="58"/>
  <c r="A140" i="58"/>
  <c r="G139" i="58"/>
  <c r="F139" i="58"/>
  <c r="E139" i="58"/>
  <c r="D139" i="58"/>
  <c r="C139" i="58"/>
  <c r="B139" i="58"/>
  <c r="A139" i="58"/>
  <c r="G138" i="58"/>
  <c r="F138" i="58"/>
  <c r="E138" i="58"/>
  <c r="D138" i="58"/>
  <c r="C138" i="58"/>
  <c r="B138" i="58"/>
  <c r="A138" i="58"/>
  <c r="G137" i="58"/>
  <c r="F137" i="58"/>
  <c r="E137" i="58"/>
  <c r="D137" i="58"/>
  <c r="C137" i="58"/>
  <c r="B137" i="58"/>
  <c r="A137" i="58"/>
  <c r="G136" i="58"/>
  <c r="F136" i="58"/>
  <c r="E136" i="58"/>
  <c r="D136" i="58"/>
  <c r="C136" i="58"/>
  <c r="B136" i="58"/>
  <c r="A136" i="58"/>
  <c r="G135" i="58"/>
  <c r="F135" i="58"/>
  <c r="E135" i="58"/>
  <c r="D135" i="58"/>
  <c r="C135" i="58"/>
  <c r="B135" i="58"/>
  <c r="A135" i="58"/>
  <c r="G134" i="58"/>
  <c r="F134" i="58"/>
  <c r="E134" i="58"/>
  <c r="D134" i="58"/>
  <c r="C134" i="58"/>
  <c r="B134" i="58"/>
  <c r="A134" i="58"/>
  <c r="G133" i="58"/>
  <c r="F133" i="58"/>
  <c r="E133" i="58"/>
  <c r="D133" i="58"/>
  <c r="C133" i="58"/>
  <c r="B133" i="58"/>
  <c r="A133" i="58"/>
  <c r="G132" i="58"/>
  <c r="F132" i="58"/>
  <c r="E132" i="58"/>
  <c r="D132" i="58"/>
  <c r="C132" i="58"/>
  <c r="B132" i="58"/>
  <c r="A132" i="58"/>
  <c r="G131" i="58"/>
  <c r="F131" i="58"/>
  <c r="E131" i="58"/>
  <c r="D131" i="58"/>
  <c r="C131" i="58"/>
  <c r="B131" i="58"/>
  <c r="A131" i="58"/>
  <c r="G130" i="58"/>
  <c r="F130" i="58"/>
  <c r="E130" i="58"/>
  <c r="D130" i="58"/>
  <c r="C130" i="58"/>
  <c r="B130" i="58"/>
  <c r="A130" i="58"/>
  <c r="G129" i="58"/>
  <c r="F129" i="58"/>
  <c r="E129" i="58"/>
  <c r="D129" i="58"/>
  <c r="C129" i="58"/>
  <c r="B129" i="58"/>
  <c r="A129" i="58"/>
  <c r="G128" i="58"/>
  <c r="F128" i="58"/>
  <c r="E128" i="58"/>
  <c r="D128" i="58"/>
  <c r="C128" i="58"/>
  <c r="B128" i="58"/>
  <c r="A128" i="58"/>
  <c r="G127" i="58"/>
  <c r="F127" i="58"/>
  <c r="E127" i="58"/>
  <c r="D127" i="58"/>
  <c r="C127" i="58"/>
  <c r="B127" i="58"/>
  <c r="A127" i="58"/>
  <c r="G126" i="58"/>
  <c r="F126" i="58"/>
  <c r="E126" i="58"/>
  <c r="D126" i="58"/>
  <c r="C126" i="58"/>
  <c r="B126" i="58"/>
  <c r="A126" i="58"/>
  <c r="G125" i="58"/>
  <c r="F125" i="58"/>
  <c r="E125" i="58"/>
  <c r="D125" i="58"/>
  <c r="C125" i="58"/>
  <c r="B125" i="58"/>
  <c r="A125" i="58"/>
  <c r="G124" i="58"/>
  <c r="F124" i="58"/>
  <c r="E124" i="58"/>
  <c r="D124" i="58"/>
  <c r="C124" i="58"/>
  <c r="B124" i="58"/>
  <c r="A124" i="58"/>
  <c r="G123" i="58"/>
  <c r="F123" i="58"/>
  <c r="E123" i="58"/>
  <c r="D123" i="58"/>
  <c r="C123" i="58"/>
  <c r="B123" i="58"/>
  <c r="A123" i="58"/>
  <c r="G122" i="58"/>
  <c r="F122" i="58"/>
  <c r="E122" i="58"/>
  <c r="D122" i="58"/>
  <c r="C122" i="58"/>
  <c r="B122" i="58"/>
  <c r="A122" i="58"/>
  <c r="G121" i="58"/>
  <c r="F121" i="58"/>
  <c r="E121" i="58"/>
  <c r="D121" i="58"/>
  <c r="C121" i="58"/>
  <c r="B121" i="58"/>
  <c r="A121" i="58"/>
  <c r="G120" i="58"/>
  <c r="F120" i="58"/>
  <c r="E120" i="58"/>
  <c r="D120" i="58"/>
  <c r="C120" i="58"/>
  <c r="B120" i="58"/>
  <c r="A120" i="58"/>
  <c r="G119" i="58"/>
  <c r="F119" i="58"/>
  <c r="E119" i="58"/>
  <c r="D119" i="58"/>
  <c r="C119" i="58"/>
  <c r="B119" i="58"/>
  <c r="A119" i="58"/>
  <c r="G118" i="58"/>
  <c r="F118" i="58"/>
  <c r="E118" i="58"/>
  <c r="D118" i="58"/>
  <c r="C118" i="58"/>
  <c r="B118" i="58"/>
  <c r="A118" i="58"/>
  <c r="G117" i="58"/>
  <c r="F117" i="58"/>
  <c r="E117" i="58"/>
  <c r="D117" i="58"/>
  <c r="C117" i="58"/>
  <c r="B117" i="58"/>
  <c r="A117" i="58"/>
  <c r="G116" i="58"/>
  <c r="F116" i="58"/>
  <c r="E116" i="58"/>
  <c r="D116" i="58"/>
  <c r="C116" i="58"/>
  <c r="B116" i="58"/>
  <c r="A116" i="58"/>
  <c r="G115" i="58"/>
  <c r="F115" i="58"/>
  <c r="E115" i="58"/>
  <c r="D115" i="58"/>
  <c r="C115" i="58"/>
  <c r="B115" i="58"/>
  <c r="A115" i="58"/>
  <c r="G114" i="58"/>
  <c r="F114" i="58"/>
  <c r="E114" i="58"/>
  <c r="D114" i="58"/>
  <c r="C114" i="58"/>
  <c r="B114" i="58"/>
  <c r="A114" i="58"/>
  <c r="G113" i="58"/>
  <c r="F113" i="58"/>
  <c r="E113" i="58"/>
  <c r="D113" i="58"/>
  <c r="C113" i="58"/>
  <c r="B113" i="58"/>
  <c r="A113" i="58"/>
  <c r="G112" i="58"/>
  <c r="F112" i="58"/>
  <c r="E112" i="58"/>
  <c r="D112" i="58"/>
  <c r="C112" i="58"/>
  <c r="B112" i="58"/>
  <c r="A112" i="58"/>
  <c r="G111" i="58"/>
  <c r="F111" i="58"/>
  <c r="E111" i="58"/>
  <c r="D111" i="58"/>
  <c r="C111" i="58"/>
  <c r="B111" i="58"/>
  <c r="A111" i="58"/>
  <c r="G110" i="58"/>
  <c r="F110" i="58"/>
  <c r="E110" i="58"/>
  <c r="D110" i="58"/>
  <c r="C110" i="58"/>
  <c r="B110" i="58"/>
  <c r="A110" i="58"/>
  <c r="G109" i="58"/>
  <c r="F109" i="58"/>
  <c r="E109" i="58"/>
  <c r="D109" i="58"/>
  <c r="C109" i="58"/>
  <c r="B109" i="58"/>
  <c r="A109" i="58"/>
  <c r="G108" i="58"/>
  <c r="F108" i="58"/>
  <c r="E108" i="58"/>
  <c r="D108" i="58"/>
  <c r="C108" i="58"/>
  <c r="B108" i="58"/>
  <c r="A108" i="58"/>
  <c r="G107" i="58"/>
  <c r="F107" i="58"/>
  <c r="E107" i="58"/>
  <c r="D107" i="58"/>
  <c r="C107" i="58"/>
  <c r="B107" i="58"/>
  <c r="A107" i="58"/>
  <c r="G106" i="58"/>
  <c r="F106" i="58"/>
  <c r="E106" i="58"/>
  <c r="D106" i="58"/>
  <c r="C106" i="58"/>
  <c r="B106" i="58"/>
  <c r="A106" i="58"/>
  <c r="G105" i="58"/>
  <c r="F105" i="58"/>
  <c r="E105" i="58"/>
  <c r="D105" i="58"/>
  <c r="C105" i="58"/>
  <c r="B105" i="58"/>
  <c r="A105" i="58"/>
  <c r="G104" i="58"/>
  <c r="F104" i="58"/>
  <c r="E104" i="58"/>
  <c r="D104" i="58"/>
  <c r="C104" i="58"/>
  <c r="B104" i="58"/>
  <c r="A104" i="58"/>
  <c r="G103" i="58"/>
  <c r="F103" i="58"/>
  <c r="E103" i="58"/>
  <c r="D103" i="58"/>
  <c r="C103" i="58"/>
  <c r="B103" i="58"/>
  <c r="A103" i="58"/>
  <c r="G102" i="58"/>
  <c r="F102" i="58"/>
  <c r="E102" i="58"/>
  <c r="D102" i="58"/>
  <c r="C102" i="58"/>
  <c r="B102" i="58"/>
  <c r="A102" i="58"/>
  <c r="G101" i="58"/>
  <c r="F101" i="58"/>
  <c r="E101" i="58"/>
  <c r="D101" i="58"/>
  <c r="C101" i="58"/>
  <c r="B101" i="58"/>
  <c r="A101" i="58"/>
  <c r="G100" i="58"/>
  <c r="F100" i="58"/>
  <c r="E100" i="58"/>
  <c r="D100" i="58"/>
  <c r="C100" i="58"/>
  <c r="B100" i="58"/>
  <c r="A100" i="58"/>
  <c r="G99" i="58"/>
  <c r="F99" i="58"/>
  <c r="E99" i="58"/>
  <c r="D99" i="58"/>
  <c r="C99" i="58"/>
  <c r="B99" i="58"/>
  <c r="A99" i="58"/>
  <c r="G98" i="58"/>
  <c r="F98" i="58"/>
  <c r="E98" i="58"/>
  <c r="D98" i="58"/>
  <c r="C98" i="58"/>
  <c r="B98" i="58"/>
  <c r="A98" i="58"/>
  <c r="G97" i="58"/>
  <c r="F97" i="58"/>
  <c r="E97" i="58"/>
  <c r="D97" i="58"/>
  <c r="C97" i="58"/>
  <c r="B97" i="58"/>
  <c r="A97" i="58"/>
  <c r="G96" i="58"/>
  <c r="F96" i="58"/>
  <c r="E96" i="58"/>
  <c r="D96" i="58"/>
  <c r="C96" i="58"/>
  <c r="B96" i="58"/>
  <c r="A96" i="58"/>
  <c r="G95" i="58"/>
  <c r="F95" i="58"/>
  <c r="E95" i="58"/>
  <c r="D95" i="58"/>
  <c r="C95" i="58"/>
  <c r="B95" i="58"/>
  <c r="A95" i="58"/>
  <c r="G94" i="58"/>
  <c r="F94" i="58"/>
  <c r="E94" i="58"/>
  <c r="D94" i="58"/>
  <c r="C94" i="58"/>
  <c r="B94" i="58"/>
  <c r="A94" i="58"/>
  <c r="G93" i="58"/>
  <c r="F93" i="58"/>
  <c r="E93" i="58"/>
  <c r="D93" i="58"/>
  <c r="C93" i="58"/>
  <c r="B93" i="58"/>
  <c r="A93" i="58"/>
  <c r="G92" i="58"/>
  <c r="F92" i="58"/>
  <c r="E92" i="58"/>
  <c r="D92" i="58"/>
  <c r="C92" i="58"/>
  <c r="B92" i="58"/>
  <c r="A92" i="58"/>
  <c r="G91" i="58"/>
  <c r="F91" i="58"/>
  <c r="E91" i="58"/>
  <c r="D91" i="58"/>
  <c r="C91" i="58"/>
  <c r="B91" i="58"/>
  <c r="A91" i="58"/>
  <c r="G90" i="58"/>
  <c r="F90" i="58"/>
  <c r="E90" i="58"/>
  <c r="D90" i="58"/>
  <c r="C90" i="58"/>
  <c r="B90" i="58"/>
  <c r="A90" i="58"/>
  <c r="G89" i="58"/>
  <c r="F89" i="58"/>
  <c r="E89" i="58"/>
  <c r="D89" i="58"/>
  <c r="C89" i="58"/>
  <c r="B89" i="58"/>
  <c r="A89" i="58"/>
  <c r="G88" i="58"/>
  <c r="F88" i="58"/>
  <c r="E88" i="58"/>
  <c r="D88" i="58"/>
  <c r="C88" i="58"/>
  <c r="B88" i="58"/>
  <c r="A88" i="58"/>
  <c r="G87" i="58"/>
  <c r="F87" i="58"/>
  <c r="E87" i="58"/>
  <c r="D87" i="58"/>
  <c r="C87" i="58"/>
  <c r="B87" i="58"/>
  <c r="A87" i="58"/>
  <c r="G86" i="58"/>
  <c r="F86" i="58"/>
  <c r="E86" i="58"/>
  <c r="D86" i="58"/>
  <c r="C86" i="58"/>
  <c r="B86" i="58"/>
  <c r="A86" i="58"/>
  <c r="G85" i="58"/>
  <c r="F85" i="58"/>
  <c r="E85" i="58"/>
  <c r="D85" i="58"/>
  <c r="C85" i="58"/>
  <c r="B85" i="58"/>
  <c r="A85" i="58"/>
  <c r="G84" i="58"/>
  <c r="F84" i="58"/>
  <c r="E84" i="58"/>
  <c r="D84" i="58"/>
  <c r="C84" i="58"/>
  <c r="B84" i="58"/>
  <c r="A84" i="58"/>
  <c r="G83" i="58"/>
  <c r="F83" i="58"/>
  <c r="E83" i="58"/>
  <c r="D83" i="58"/>
  <c r="C83" i="58"/>
  <c r="B83" i="58"/>
  <c r="A83" i="58"/>
  <c r="G82" i="58"/>
  <c r="F82" i="58"/>
  <c r="E82" i="58"/>
  <c r="D82" i="58"/>
  <c r="C82" i="58"/>
  <c r="B82" i="58"/>
  <c r="A82" i="58"/>
  <c r="G81" i="58"/>
  <c r="F81" i="58"/>
  <c r="E81" i="58"/>
  <c r="D81" i="58"/>
  <c r="C81" i="58"/>
  <c r="B81" i="58"/>
  <c r="A81" i="58"/>
  <c r="G80" i="58"/>
  <c r="F80" i="58"/>
  <c r="E80" i="58"/>
  <c r="D80" i="58"/>
  <c r="C80" i="58"/>
  <c r="B80" i="58"/>
  <c r="A80" i="58"/>
  <c r="G79" i="58"/>
  <c r="F79" i="58"/>
  <c r="E79" i="58"/>
  <c r="D79" i="58"/>
  <c r="C79" i="58"/>
  <c r="B79" i="58"/>
  <c r="A79" i="58"/>
  <c r="G78" i="58"/>
  <c r="F78" i="58"/>
  <c r="E78" i="58"/>
  <c r="D78" i="58"/>
  <c r="C78" i="58"/>
  <c r="B78" i="58"/>
  <c r="A78" i="58"/>
  <c r="G77" i="58"/>
  <c r="F77" i="58"/>
  <c r="E77" i="58"/>
  <c r="D77" i="58"/>
  <c r="C77" i="58"/>
  <c r="B77" i="58"/>
  <c r="A77" i="58"/>
  <c r="G76" i="58"/>
  <c r="F76" i="58"/>
  <c r="E76" i="58"/>
  <c r="D76" i="58"/>
  <c r="C76" i="58"/>
  <c r="B76" i="58"/>
  <c r="A76" i="58"/>
  <c r="G75" i="58"/>
  <c r="F75" i="58"/>
  <c r="E75" i="58"/>
  <c r="D75" i="58"/>
  <c r="C75" i="58"/>
  <c r="B75" i="58"/>
  <c r="A75" i="58"/>
  <c r="G74" i="58"/>
  <c r="F74" i="58"/>
  <c r="E74" i="58"/>
  <c r="D74" i="58"/>
  <c r="C74" i="58"/>
  <c r="B74" i="58"/>
  <c r="A74" i="58"/>
  <c r="G73" i="58"/>
  <c r="F73" i="58"/>
  <c r="E73" i="58"/>
  <c r="D73" i="58"/>
  <c r="C73" i="58"/>
  <c r="B73" i="58"/>
  <c r="A73" i="58"/>
  <c r="G72" i="58"/>
  <c r="F72" i="58"/>
  <c r="E72" i="58"/>
  <c r="D72" i="58"/>
  <c r="C72" i="58"/>
  <c r="B72" i="58"/>
  <c r="A72" i="58"/>
  <c r="G71" i="58"/>
  <c r="F71" i="58"/>
  <c r="E71" i="58"/>
  <c r="D71" i="58"/>
  <c r="C71" i="58"/>
  <c r="B71" i="58"/>
  <c r="A71" i="58"/>
  <c r="G70" i="58"/>
  <c r="F70" i="58"/>
  <c r="E70" i="58"/>
  <c r="D70" i="58"/>
  <c r="C70" i="58"/>
  <c r="B70" i="58"/>
  <c r="A70" i="58"/>
  <c r="G69" i="58"/>
  <c r="F69" i="58"/>
  <c r="E69" i="58"/>
  <c r="D69" i="58"/>
  <c r="C69" i="58"/>
  <c r="B69" i="58"/>
  <c r="A69" i="58"/>
  <c r="G68" i="58"/>
  <c r="F68" i="58"/>
  <c r="E68" i="58"/>
  <c r="D68" i="58"/>
  <c r="C68" i="58"/>
  <c r="B68" i="58"/>
  <c r="A68" i="58"/>
  <c r="G67" i="58"/>
  <c r="F67" i="58"/>
  <c r="E67" i="58"/>
  <c r="D67" i="58"/>
  <c r="C67" i="58"/>
  <c r="B67" i="58"/>
  <c r="A67" i="58"/>
  <c r="G66" i="58"/>
  <c r="F66" i="58"/>
  <c r="E66" i="58"/>
  <c r="D66" i="58"/>
  <c r="C66" i="58"/>
  <c r="B66" i="58"/>
  <c r="A66" i="58"/>
  <c r="G65" i="58"/>
  <c r="F65" i="58"/>
  <c r="E65" i="58"/>
  <c r="D65" i="58"/>
  <c r="C65" i="58"/>
  <c r="B65" i="58"/>
  <c r="A65" i="58"/>
  <c r="G64" i="58"/>
  <c r="F64" i="58"/>
  <c r="E64" i="58"/>
  <c r="D64" i="58"/>
  <c r="C64" i="58"/>
  <c r="B64" i="58"/>
  <c r="A64" i="58"/>
  <c r="G63" i="58"/>
  <c r="F63" i="58"/>
  <c r="E63" i="58"/>
  <c r="D63" i="58"/>
  <c r="C63" i="58"/>
  <c r="B63" i="58"/>
  <c r="A63" i="58"/>
  <c r="G62" i="58"/>
  <c r="F62" i="58"/>
  <c r="E62" i="58"/>
  <c r="D62" i="58"/>
  <c r="C62" i="58"/>
  <c r="B62" i="58"/>
  <c r="A62" i="58"/>
  <c r="G61" i="58"/>
  <c r="F61" i="58"/>
  <c r="E61" i="58"/>
  <c r="D61" i="58"/>
  <c r="C61" i="58"/>
  <c r="B61" i="58"/>
  <c r="A61" i="58"/>
  <c r="G60" i="58"/>
  <c r="F60" i="58"/>
  <c r="E60" i="58"/>
  <c r="D60" i="58"/>
  <c r="C60" i="58"/>
  <c r="B60" i="58"/>
  <c r="A60" i="58"/>
  <c r="G59" i="58"/>
  <c r="F59" i="58"/>
  <c r="E59" i="58"/>
  <c r="D59" i="58"/>
  <c r="C59" i="58"/>
  <c r="B59" i="58"/>
  <c r="A59" i="58"/>
  <c r="G58" i="58"/>
  <c r="F58" i="58"/>
  <c r="E58" i="58"/>
  <c r="D58" i="58"/>
  <c r="C58" i="58"/>
  <c r="B58" i="58"/>
  <c r="A58" i="58"/>
  <c r="G57" i="58"/>
  <c r="F57" i="58"/>
  <c r="E57" i="58"/>
  <c r="D57" i="58"/>
  <c r="C57" i="58"/>
  <c r="B57" i="58"/>
  <c r="A57" i="58"/>
  <c r="G56" i="58"/>
  <c r="F56" i="58"/>
  <c r="E56" i="58"/>
  <c r="D56" i="58"/>
  <c r="C56" i="58"/>
  <c r="B56" i="58"/>
  <c r="A56" i="58"/>
  <c r="G55" i="58"/>
  <c r="F55" i="58"/>
  <c r="E55" i="58"/>
  <c r="D55" i="58"/>
  <c r="C55" i="58"/>
  <c r="B55" i="58"/>
  <c r="A55" i="58"/>
  <c r="G54" i="58"/>
  <c r="F54" i="58"/>
  <c r="E54" i="58"/>
  <c r="D54" i="58"/>
  <c r="C54" i="58"/>
  <c r="B54" i="58"/>
  <c r="A54" i="58"/>
  <c r="G53" i="58"/>
  <c r="F53" i="58"/>
  <c r="E53" i="58"/>
  <c r="D53" i="58"/>
  <c r="C53" i="58"/>
  <c r="B53" i="58"/>
  <c r="A53" i="58"/>
  <c r="G52" i="58"/>
  <c r="F52" i="58"/>
  <c r="E52" i="58"/>
  <c r="D52" i="58"/>
  <c r="C52" i="58"/>
  <c r="B52" i="58"/>
  <c r="A52" i="58"/>
  <c r="G51" i="58"/>
  <c r="F51" i="58"/>
  <c r="E51" i="58"/>
  <c r="D51" i="58"/>
  <c r="C51" i="58"/>
  <c r="B51" i="58"/>
  <c r="A51" i="58"/>
  <c r="G50" i="58"/>
  <c r="F50" i="58"/>
  <c r="E50" i="58"/>
  <c r="D50" i="58"/>
  <c r="C50" i="58"/>
  <c r="B50" i="58"/>
  <c r="A50" i="58"/>
  <c r="G49" i="58"/>
  <c r="F49" i="58"/>
  <c r="E49" i="58"/>
  <c r="D49" i="58"/>
  <c r="C49" i="58"/>
  <c r="B49" i="58"/>
  <c r="A49" i="58"/>
  <c r="G48" i="58"/>
  <c r="F48" i="58"/>
  <c r="E48" i="58"/>
  <c r="D48" i="58"/>
  <c r="C48" i="58"/>
  <c r="B48" i="58"/>
  <c r="A48" i="58"/>
  <c r="G47" i="58"/>
  <c r="F47" i="58"/>
  <c r="E47" i="58"/>
  <c r="D47" i="58"/>
  <c r="C47" i="58"/>
  <c r="B47" i="58"/>
  <c r="A47" i="58"/>
  <c r="G46" i="58"/>
  <c r="F46" i="58"/>
  <c r="E46" i="58"/>
  <c r="D46" i="58"/>
  <c r="C46" i="58"/>
  <c r="B46" i="58"/>
  <c r="A46" i="58"/>
  <c r="G45" i="58"/>
  <c r="F45" i="58"/>
  <c r="E45" i="58"/>
  <c r="D45" i="58"/>
  <c r="C45" i="58"/>
  <c r="B45" i="58"/>
  <c r="A45" i="58"/>
  <c r="G44" i="58"/>
  <c r="F44" i="58"/>
  <c r="E44" i="58"/>
  <c r="D44" i="58"/>
  <c r="C44" i="58"/>
  <c r="B44" i="58"/>
  <c r="A44" i="58"/>
  <c r="G43" i="58"/>
  <c r="F43" i="58"/>
  <c r="E43" i="58"/>
  <c r="D43" i="58"/>
  <c r="C43" i="58"/>
  <c r="B43" i="58"/>
  <c r="A43" i="58"/>
  <c r="G42" i="58"/>
  <c r="F42" i="58"/>
  <c r="E42" i="58"/>
  <c r="D42" i="58"/>
  <c r="C42" i="58"/>
  <c r="B42" i="58"/>
  <c r="A42" i="58"/>
  <c r="G41" i="58"/>
  <c r="F41" i="58"/>
  <c r="E41" i="58"/>
  <c r="D41" i="58"/>
  <c r="C41" i="58"/>
  <c r="B41" i="58"/>
  <c r="A41" i="58"/>
  <c r="G40" i="58"/>
  <c r="F40" i="58"/>
  <c r="E40" i="58"/>
  <c r="D40" i="58"/>
  <c r="C40" i="58"/>
  <c r="B40" i="58"/>
  <c r="A40" i="58"/>
  <c r="G39" i="58"/>
  <c r="F39" i="58"/>
  <c r="E39" i="58"/>
  <c r="D39" i="58"/>
  <c r="C39" i="58"/>
  <c r="B39" i="58"/>
  <c r="A39" i="58"/>
  <c r="G38" i="58"/>
  <c r="F38" i="58"/>
  <c r="E38" i="58"/>
  <c r="D38" i="58"/>
  <c r="C38" i="58"/>
  <c r="B38" i="58"/>
  <c r="A38" i="58"/>
  <c r="G37" i="58"/>
  <c r="F37" i="58"/>
  <c r="E37" i="58"/>
  <c r="D37" i="58"/>
  <c r="C37" i="58"/>
  <c r="B37" i="58"/>
  <c r="A37" i="58"/>
  <c r="G36" i="58"/>
  <c r="F36" i="58"/>
  <c r="E36" i="58"/>
  <c r="D36" i="58"/>
  <c r="C36" i="58"/>
  <c r="B36" i="58"/>
  <c r="A36" i="58"/>
  <c r="G35" i="58"/>
  <c r="F35" i="58"/>
  <c r="E35" i="58"/>
  <c r="D35" i="58"/>
  <c r="C35" i="58"/>
  <c r="B35" i="58"/>
  <c r="A35" i="58"/>
  <c r="G34" i="58"/>
  <c r="F34" i="58"/>
  <c r="E34" i="58"/>
  <c r="D34" i="58"/>
  <c r="C34" i="58"/>
  <c r="B34" i="58"/>
  <c r="A34" i="58"/>
  <c r="G33" i="58"/>
  <c r="F33" i="58"/>
  <c r="E33" i="58"/>
  <c r="D33" i="58"/>
  <c r="C33" i="58"/>
  <c r="B33" i="58"/>
  <c r="A33" i="58"/>
  <c r="G32" i="58"/>
  <c r="F32" i="58"/>
  <c r="E32" i="58"/>
  <c r="D32" i="58"/>
  <c r="C32" i="58"/>
  <c r="B32" i="58"/>
  <c r="A32" i="58"/>
  <c r="G31" i="58"/>
  <c r="F31" i="58"/>
  <c r="E31" i="58"/>
  <c r="D31" i="58"/>
  <c r="C31" i="58"/>
  <c r="B31" i="58"/>
  <c r="A31" i="58"/>
  <c r="G30" i="58"/>
  <c r="F30" i="58"/>
  <c r="E30" i="58"/>
  <c r="D30" i="58"/>
  <c r="C30" i="58"/>
  <c r="B30" i="58"/>
  <c r="A30" i="58"/>
  <c r="G29" i="58"/>
  <c r="F29" i="58"/>
  <c r="E29" i="58"/>
  <c r="D29" i="58"/>
  <c r="C29" i="58"/>
  <c r="B29" i="58"/>
  <c r="A29" i="58"/>
  <c r="G28" i="58"/>
  <c r="F28" i="58"/>
  <c r="E28" i="58"/>
  <c r="D28" i="58"/>
  <c r="C28" i="58"/>
  <c r="B28" i="58"/>
  <c r="A28" i="58"/>
  <c r="G27" i="58"/>
  <c r="F27" i="58"/>
  <c r="E27" i="58"/>
  <c r="D27" i="58"/>
  <c r="C27" i="58"/>
  <c r="B27" i="58"/>
  <c r="A27" i="58"/>
  <c r="G26" i="58"/>
  <c r="F26" i="58"/>
  <c r="E26" i="58"/>
  <c r="D26" i="58"/>
  <c r="C26" i="58"/>
  <c r="B26" i="58"/>
  <c r="A26" i="58"/>
  <c r="G25" i="58"/>
  <c r="F25" i="58"/>
  <c r="E25" i="58"/>
  <c r="D25" i="58"/>
  <c r="C25" i="58"/>
  <c r="B25" i="58"/>
  <c r="A25" i="58"/>
  <c r="G24" i="58"/>
  <c r="F24" i="58"/>
  <c r="E24" i="58"/>
  <c r="D24" i="58"/>
  <c r="C24" i="58"/>
  <c r="B24" i="58"/>
  <c r="A24" i="58"/>
  <c r="G23" i="58"/>
  <c r="F23" i="58"/>
  <c r="E23" i="58"/>
  <c r="D23" i="58"/>
  <c r="C23" i="58"/>
  <c r="B23" i="58"/>
  <c r="A23" i="58"/>
  <c r="G22" i="58"/>
  <c r="F22" i="58"/>
  <c r="E22" i="58"/>
  <c r="D22" i="58"/>
  <c r="C22" i="58"/>
  <c r="B22" i="58"/>
  <c r="A22" i="58"/>
  <c r="G21" i="58"/>
  <c r="F21" i="58"/>
  <c r="E21" i="58"/>
  <c r="D21" i="58"/>
  <c r="C21" i="58"/>
  <c r="B21" i="58"/>
  <c r="A21" i="58"/>
  <c r="G20" i="58"/>
  <c r="F20" i="58"/>
  <c r="E20" i="58"/>
  <c r="D20" i="58"/>
  <c r="C20" i="58"/>
  <c r="B20" i="58"/>
  <c r="A20" i="58"/>
  <c r="G19" i="58"/>
  <c r="F19" i="58"/>
  <c r="E19" i="58"/>
  <c r="D19" i="58"/>
  <c r="C19" i="58"/>
  <c r="B19" i="58"/>
  <c r="A19" i="58"/>
  <c r="G18" i="58"/>
  <c r="F18" i="58"/>
  <c r="E18" i="58"/>
  <c r="D18" i="58"/>
  <c r="C18" i="58"/>
  <c r="B18" i="58"/>
  <c r="A18" i="58"/>
  <c r="G17" i="58"/>
  <c r="F17" i="58"/>
  <c r="E17" i="58"/>
  <c r="D17" i="58"/>
  <c r="C17" i="58"/>
  <c r="B17" i="58"/>
  <c r="A17" i="58"/>
  <c r="G16" i="58"/>
  <c r="F16" i="58"/>
  <c r="E16" i="58"/>
  <c r="D16" i="58"/>
  <c r="C16" i="58"/>
  <c r="B16" i="58"/>
  <c r="A16" i="58"/>
  <c r="G15" i="58"/>
  <c r="F15" i="58"/>
  <c r="E15" i="58"/>
  <c r="D15" i="58"/>
  <c r="C15" i="58"/>
  <c r="B15" i="58"/>
  <c r="A15" i="58"/>
  <c r="G14" i="58"/>
  <c r="F14" i="58"/>
  <c r="E14" i="58"/>
  <c r="D14" i="58"/>
  <c r="C14" i="58"/>
  <c r="B14" i="58"/>
  <c r="A14" i="58"/>
  <c r="G13" i="58"/>
  <c r="F13" i="58"/>
  <c r="E13" i="58"/>
  <c r="D13" i="58"/>
  <c r="C13" i="58"/>
  <c r="B13" i="58"/>
  <c r="A13" i="58"/>
  <c r="G12" i="58"/>
  <c r="F12" i="58"/>
  <c r="E12" i="58"/>
  <c r="D12" i="58"/>
  <c r="C12" i="58"/>
  <c r="B12" i="58"/>
  <c r="A12" i="58"/>
  <c r="G11" i="58"/>
  <c r="F11" i="58"/>
  <c r="E11" i="58"/>
  <c r="D11" i="58"/>
  <c r="C11" i="58"/>
  <c r="B11" i="58"/>
  <c r="A11" i="58"/>
  <c r="G10" i="58"/>
  <c r="F10" i="58"/>
  <c r="E10" i="58"/>
  <c r="D10" i="58"/>
  <c r="C10" i="58"/>
  <c r="B10" i="58"/>
  <c r="A10" i="58"/>
  <c r="G9" i="58"/>
  <c r="F9" i="58"/>
  <c r="E9" i="58"/>
  <c r="D9" i="58"/>
  <c r="C9" i="58"/>
  <c r="B9" i="58"/>
  <c r="A9" i="58"/>
  <c r="G8" i="58"/>
  <c r="F8" i="58"/>
  <c r="E8" i="58"/>
  <c r="D8" i="58"/>
  <c r="C8" i="58"/>
  <c r="B8" i="58"/>
  <c r="A8" i="58"/>
  <c r="G7" i="58"/>
  <c r="F7" i="58"/>
  <c r="E7" i="58"/>
  <c r="D7" i="58"/>
  <c r="C7" i="58"/>
  <c r="B7" i="58"/>
  <c r="A7" i="58"/>
  <c r="G6" i="58"/>
  <c r="F6" i="58"/>
  <c r="E6" i="58"/>
  <c r="D6" i="58"/>
  <c r="C6" i="58"/>
  <c r="B6" i="58"/>
  <c r="A6" i="58"/>
  <c r="G5" i="58"/>
  <c r="F5" i="58"/>
  <c r="E5" i="58"/>
  <c r="D5" i="58"/>
  <c r="C5" i="58"/>
  <c r="B5" i="58"/>
  <c r="A5" i="58"/>
  <c r="G4" i="58"/>
  <c r="F4" i="58"/>
  <c r="E4" i="58"/>
  <c r="D4" i="58"/>
  <c r="C4" i="58"/>
  <c r="B4" i="58"/>
  <c r="A4" i="58"/>
  <c r="G3" i="58"/>
  <c r="F3" i="58"/>
  <c r="E3" i="58"/>
  <c r="D3" i="58"/>
  <c r="C3" i="58"/>
  <c r="B3" i="58"/>
  <c r="A3" i="58"/>
  <c r="U2" i="58"/>
  <c r="K2" i="58"/>
  <c r="J2" i="58"/>
  <c r="I2" i="58"/>
  <c r="H2" i="58"/>
  <c r="G2" i="58"/>
  <c r="F2" i="58"/>
  <c r="E2" i="58"/>
  <c r="D2" i="58"/>
  <c r="C2" i="58"/>
  <c r="B2" i="58"/>
  <c r="A2" i="58"/>
  <c r="U1" i="58"/>
  <c r="K1" i="58"/>
  <c r="J1" i="58"/>
  <c r="I1" i="58"/>
  <c r="G1" i="58"/>
  <c r="F1" i="58"/>
  <c r="E1" i="58"/>
  <c r="D1" i="58"/>
  <c r="C1" i="58"/>
  <c r="B1" i="58"/>
  <c r="G497" i="37"/>
  <c r="G497" i="41" s="1"/>
  <c r="F497" i="37"/>
  <c r="F497" i="41" s="1"/>
  <c r="E497" i="37"/>
  <c r="E497" i="41" s="1"/>
  <c r="D497" i="37"/>
  <c r="D497" i="41" s="1"/>
  <c r="C497" i="37"/>
  <c r="C497" i="41" s="1"/>
  <c r="B497" i="37"/>
  <c r="B497" i="41" s="1"/>
  <c r="A497" i="37"/>
  <c r="A497" i="41" s="1"/>
  <c r="G496" i="37"/>
  <c r="G496" i="41" s="1"/>
  <c r="F496" i="37"/>
  <c r="F496" i="41" s="1"/>
  <c r="E496" i="37"/>
  <c r="E496" i="41" s="1"/>
  <c r="D496" i="37"/>
  <c r="D496" i="41" s="1"/>
  <c r="C496" i="37"/>
  <c r="C496" i="41" s="1"/>
  <c r="B496" i="37"/>
  <c r="B496" i="41" s="1"/>
  <c r="A496" i="37"/>
  <c r="A496" i="41" s="1"/>
  <c r="G495" i="37"/>
  <c r="G495" i="41" s="1"/>
  <c r="F495" i="37"/>
  <c r="F495" i="41" s="1"/>
  <c r="E495" i="37"/>
  <c r="E495" i="41" s="1"/>
  <c r="D495" i="37"/>
  <c r="D495" i="41" s="1"/>
  <c r="C495" i="37"/>
  <c r="C495" i="41" s="1"/>
  <c r="B495" i="37"/>
  <c r="B495" i="41" s="1"/>
  <c r="A495" i="37"/>
  <c r="A495" i="41" s="1"/>
  <c r="G494" i="37"/>
  <c r="G494" i="41" s="1"/>
  <c r="F494" i="37"/>
  <c r="F494" i="41" s="1"/>
  <c r="E494" i="37"/>
  <c r="E494" i="41" s="1"/>
  <c r="D494" i="37"/>
  <c r="D494" i="41" s="1"/>
  <c r="C494" i="37"/>
  <c r="C494" i="41" s="1"/>
  <c r="B494" i="37"/>
  <c r="B494" i="41" s="1"/>
  <c r="A494" i="37"/>
  <c r="G493" i="37"/>
  <c r="G493" i="41" s="1"/>
  <c r="F493" i="37"/>
  <c r="F493" i="41" s="1"/>
  <c r="E493" i="37"/>
  <c r="E493" i="41" s="1"/>
  <c r="D493" i="37"/>
  <c r="D493" i="41" s="1"/>
  <c r="C493" i="37"/>
  <c r="C493" i="41" s="1"/>
  <c r="B493" i="37"/>
  <c r="B493" i="41" s="1"/>
  <c r="A493" i="37"/>
  <c r="A493" i="41" s="1"/>
  <c r="G492" i="37"/>
  <c r="G492" i="41" s="1"/>
  <c r="F492" i="37"/>
  <c r="F492" i="41" s="1"/>
  <c r="E492" i="37"/>
  <c r="E492" i="41" s="1"/>
  <c r="D492" i="37"/>
  <c r="D492" i="41" s="1"/>
  <c r="C492" i="37"/>
  <c r="C492" i="41" s="1"/>
  <c r="B492" i="37"/>
  <c r="B492" i="41" s="1"/>
  <c r="A492" i="37"/>
  <c r="A492" i="41" s="1"/>
  <c r="G491" i="37"/>
  <c r="G491" i="41" s="1"/>
  <c r="F491" i="37"/>
  <c r="F491" i="41" s="1"/>
  <c r="E491" i="37"/>
  <c r="E491" i="41" s="1"/>
  <c r="D491" i="37"/>
  <c r="D491" i="41" s="1"/>
  <c r="C491" i="37"/>
  <c r="C491" i="41" s="1"/>
  <c r="B491" i="37"/>
  <c r="B491" i="41" s="1"/>
  <c r="A491" i="37"/>
  <c r="A491" i="41" s="1"/>
  <c r="G490" i="37"/>
  <c r="G490" i="41" s="1"/>
  <c r="F490" i="37"/>
  <c r="F490" i="41" s="1"/>
  <c r="E490" i="37"/>
  <c r="E490" i="41" s="1"/>
  <c r="D490" i="37"/>
  <c r="D490" i="41" s="1"/>
  <c r="C490" i="37"/>
  <c r="C490" i="41" s="1"/>
  <c r="B490" i="37"/>
  <c r="B490" i="41" s="1"/>
  <c r="A490" i="37"/>
  <c r="A490" i="41" s="1"/>
  <c r="G489" i="37"/>
  <c r="G489" i="41" s="1"/>
  <c r="F489" i="37"/>
  <c r="F489" i="41" s="1"/>
  <c r="E489" i="37"/>
  <c r="E489" i="41" s="1"/>
  <c r="D489" i="37"/>
  <c r="D489" i="41" s="1"/>
  <c r="C489" i="37"/>
  <c r="C489" i="41" s="1"/>
  <c r="B489" i="37"/>
  <c r="B489" i="41" s="1"/>
  <c r="A489" i="37"/>
  <c r="A489" i="41" s="1"/>
  <c r="G488" i="37"/>
  <c r="G488" i="41" s="1"/>
  <c r="F488" i="37"/>
  <c r="F488" i="41" s="1"/>
  <c r="E488" i="37"/>
  <c r="E488" i="41" s="1"/>
  <c r="D488" i="37"/>
  <c r="D488" i="41" s="1"/>
  <c r="C488" i="37"/>
  <c r="C488" i="41" s="1"/>
  <c r="B488" i="37"/>
  <c r="B488" i="41" s="1"/>
  <c r="A488" i="37"/>
  <c r="A488" i="41" s="1"/>
  <c r="G487" i="37"/>
  <c r="G487" i="41" s="1"/>
  <c r="F487" i="37"/>
  <c r="F487" i="41" s="1"/>
  <c r="E487" i="37"/>
  <c r="E487" i="41" s="1"/>
  <c r="D487" i="37"/>
  <c r="D487" i="41" s="1"/>
  <c r="C487" i="37"/>
  <c r="C487" i="41" s="1"/>
  <c r="B487" i="37"/>
  <c r="B487" i="41" s="1"/>
  <c r="A487" i="37"/>
  <c r="A487" i="41" s="1"/>
  <c r="G486" i="37"/>
  <c r="G486" i="41" s="1"/>
  <c r="F486" i="37"/>
  <c r="F486" i="41" s="1"/>
  <c r="E486" i="37"/>
  <c r="E486" i="41" s="1"/>
  <c r="D486" i="37"/>
  <c r="D486" i="41" s="1"/>
  <c r="C486" i="37"/>
  <c r="C486" i="41" s="1"/>
  <c r="B486" i="37"/>
  <c r="B486" i="41" s="1"/>
  <c r="A486" i="37"/>
  <c r="A486" i="41" s="1"/>
  <c r="G485" i="37"/>
  <c r="G485" i="41" s="1"/>
  <c r="F485" i="37"/>
  <c r="F485" i="41" s="1"/>
  <c r="E485" i="37"/>
  <c r="E485" i="41" s="1"/>
  <c r="D485" i="37"/>
  <c r="D485" i="41" s="1"/>
  <c r="C485" i="37"/>
  <c r="C485" i="41" s="1"/>
  <c r="B485" i="37"/>
  <c r="B485" i="41" s="1"/>
  <c r="A485" i="37"/>
  <c r="A485" i="41" s="1"/>
  <c r="G484" i="37"/>
  <c r="G484" i="41" s="1"/>
  <c r="F484" i="37"/>
  <c r="F484" i="41" s="1"/>
  <c r="E484" i="37"/>
  <c r="E484" i="41" s="1"/>
  <c r="D484" i="37"/>
  <c r="D484" i="41" s="1"/>
  <c r="C484" i="37"/>
  <c r="C484" i="41" s="1"/>
  <c r="B484" i="37"/>
  <c r="B484" i="41" s="1"/>
  <c r="A484" i="37"/>
  <c r="A484" i="41" s="1"/>
  <c r="G483" i="37"/>
  <c r="G483" i="41" s="1"/>
  <c r="F483" i="37"/>
  <c r="F483" i="41" s="1"/>
  <c r="E483" i="37"/>
  <c r="E483" i="41" s="1"/>
  <c r="D483" i="37"/>
  <c r="D483" i="41" s="1"/>
  <c r="C483" i="37"/>
  <c r="C483" i="41" s="1"/>
  <c r="B483" i="37"/>
  <c r="B483" i="41" s="1"/>
  <c r="A483" i="37"/>
  <c r="A483" i="41" s="1"/>
  <c r="G482" i="37"/>
  <c r="G482" i="41" s="1"/>
  <c r="F482" i="37"/>
  <c r="F482" i="41" s="1"/>
  <c r="E482" i="37"/>
  <c r="E482" i="41" s="1"/>
  <c r="D482" i="37"/>
  <c r="D482" i="41" s="1"/>
  <c r="C482" i="37"/>
  <c r="C482" i="41" s="1"/>
  <c r="B482" i="37"/>
  <c r="B482" i="41" s="1"/>
  <c r="A482" i="37"/>
  <c r="A482" i="41" s="1"/>
  <c r="G481" i="37"/>
  <c r="G481" i="41" s="1"/>
  <c r="F481" i="37"/>
  <c r="F481" i="41" s="1"/>
  <c r="E481" i="37"/>
  <c r="E481" i="41" s="1"/>
  <c r="D481" i="37"/>
  <c r="D481" i="41" s="1"/>
  <c r="C481" i="37"/>
  <c r="C481" i="41" s="1"/>
  <c r="B481" i="37"/>
  <c r="B481" i="41" s="1"/>
  <c r="A481" i="37"/>
  <c r="A481" i="41" s="1"/>
  <c r="G480" i="37"/>
  <c r="G480" i="41" s="1"/>
  <c r="F480" i="37"/>
  <c r="F480" i="41" s="1"/>
  <c r="E480" i="37"/>
  <c r="E480" i="41" s="1"/>
  <c r="D480" i="37"/>
  <c r="D480" i="41" s="1"/>
  <c r="C480" i="37"/>
  <c r="C480" i="41" s="1"/>
  <c r="B480" i="37"/>
  <c r="B480" i="41" s="1"/>
  <c r="A480" i="37"/>
  <c r="A480" i="41" s="1"/>
  <c r="G479" i="37"/>
  <c r="G479" i="41" s="1"/>
  <c r="F479" i="37"/>
  <c r="F479" i="41" s="1"/>
  <c r="E479" i="37"/>
  <c r="E479" i="41" s="1"/>
  <c r="D479" i="37"/>
  <c r="D479" i="41" s="1"/>
  <c r="C479" i="37"/>
  <c r="C479" i="41" s="1"/>
  <c r="B479" i="37"/>
  <c r="B479" i="41" s="1"/>
  <c r="A479" i="37"/>
  <c r="A479" i="41" s="1"/>
  <c r="G478" i="37"/>
  <c r="G478" i="41" s="1"/>
  <c r="F478" i="37"/>
  <c r="F478" i="41" s="1"/>
  <c r="E478" i="37"/>
  <c r="E478" i="41" s="1"/>
  <c r="D478" i="37"/>
  <c r="D478" i="41" s="1"/>
  <c r="C478" i="37"/>
  <c r="C478" i="41" s="1"/>
  <c r="B478" i="37"/>
  <c r="B478" i="41" s="1"/>
  <c r="A478" i="37"/>
  <c r="A478" i="41" s="1"/>
  <c r="G477" i="37"/>
  <c r="G477" i="41" s="1"/>
  <c r="F477" i="37"/>
  <c r="F477" i="41" s="1"/>
  <c r="E477" i="37"/>
  <c r="E477" i="41" s="1"/>
  <c r="D477" i="37"/>
  <c r="D477" i="41" s="1"/>
  <c r="C477" i="37"/>
  <c r="C477" i="41" s="1"/>
  <c r="B477" i="37"/>
  <c r="B477" i="41" s="1"/>
  <c r="A477" i="37"/>
  <c r="A477" i="41" s="1"/>
  <c r="G476" i="37"/>
  <c r="G476" i="41" s="1"/>
  <c r="F476" i="37"/>
  <c r="F476" i="41" s="1"/>
  <c r="E476" i="37"/>
  <c r="E476" i="41" s="1"/>
  <c r="D476" i="37"/>
  <c r="D476" i="41" s="1"/>
  <c r="C476" i="37"/>
  <c r="C476" i="41" s="1"/>
  <c r="B476" i="37"/>
  <c r="B476" i="41" s="1"/>
  <c r="A476" i="37"/>
  <c r="A476" i="41" s="1"/>
  <c r="G475" i="37"/>
  <c r="G475" i="41" s="1"/>
  <c r="F475" i="37"/>
  <c r="F475" i="41" s="1"/>
  <c r="E475" i="37"/>
  <c r="E475" i="41" s="1"/>
  <c r="D475" i="37"/>
  <c r="D475" i="41" s="1"/>
  <c r="C475" i="37"/>
  <c r="C475" i="41" s="1"/>
  <c r="B475" i="37"/>
  <c r="B475" i="41" s="1"/>
  <c r="A475" i="37"/>
  <c r="A475" i="41" s="1"/>
  <c r="G474" i="37"/>
  <c r="G474" i="41" s="1"/>
  <c r="F474" i="37"/>
  <c r="F474" i="41" s="1"/>
  <c r="E474" i="37"/>
  <c r="E474" i="41" s="1"/>
  <c r="D474" i="37"/>
  <c r="D474" i="41" s="1"/>
  <c r="C474" i="37"/>
  <c r="C474" i="41" s="1"/>
  <c r="B474" i="37"/>
  <c r="B474" i="41" s="1"/>
  <c r="A474" i="37"/>
  <c r="A474" i="41" s="1"/>
  <c r="G473" i="37"/>
  <c r="G473" i="41" s="1"/>
  <c r="F473" i="37"/>
  <c r="F473" i="41" s="1"/>
  <c r="E473" i="37"/>
  <c r="E473" i="41" s="1"/>
  <c r="D473" i="37"/>
  <c r="D473" i="41" s="1"/>
  <c r="C473" i="37"/>
  <c r="C473" i="41" s="1"/>
  <c r="B473" i="37"/>
  <c r="B473" i="41" s="1"/>
  <c r="A473" i="37"/>
  <c r="A473" i="41" s="1"/>
  <c r="G472" i="37"/>
  <c r="G472" i="41" s="1"/>
  <c r="F472" i="37"/>
  <c r="F472" i="41" s="1"/>
  <c r="E472" i="37"/>
  <c r="E472" i="41" s="1"/>
  <c r="D472" i="37"/>
  <c r="D472" i="41" s="1"/>
  <c r="C472" i="37"/>
  <c r="C472" i="41" s="1"/>
  <c r="B472" i="37"/>
  <c r="B472" i="41" s="1"/>
  <c r="A472" i="37"/>
  <c r="A472" i="41" s="1"/>
  <c r="G471" i="37"/>
  <c r="G471" i="41" s="1"/>
  <c r="F471" i="37"/>
  <c r="F471" i="41" s="1"/>
  <c r="E471" i="37"/>
  <c r="E471" i="41" s="1"/>
  <c r="D471" i="37"/>
  <c r="D471" i="41" s="1"/>
  <c r="C471" i="37"/>
  <c r="C471" i="41" s="1"/>
  <c r="B471" i="37"/>
  <c r="B471" i="41" s="1"/>
  <c r="A471" i="37"/>
  <c r="A471" i="41" s="1"/>
  <c r="G470" i="37"/>
  <c r="G470" i="41" s="1"/>
  <c r="F470" i="37"/>
  <c r="F470" i="41" s="1"/>
  <c r="E470" i="37"/>
  <c r="E470" i="41" s="1"/>
  <c r="D470" i="37"/>
  <c r="D470" i="41" s="1"/>
  <c r="C470" i="37"/>
  <c r="C470" i="41" s="1"/>
  <c r="B470" i="37"/>
  <c r="B470" i="41" s="1"/>
  <c r="A470" i="37"/>
  <c r="A470" i="41" s="1"/>
  <c r="G469" i="37"/>
  <c r="G469" i="41" s="1"/>
  <c r="F469" i="37"/>
  <c r="F469" i="41" s="1"/>
  <c r="E469" i="37"/>
  <c r="E469" i="41" s="1"/>
  <c r="D469" i="37"/>
  <c r="D469" i="41" s="1"/>
  <c r="C469" i="37"/>
  <c r="C469" i="41" s="1"/>
  <c r="B469" i="37"/>
  <c r="B469" i="41" s="1"/>
  <c r="A469" i="37"/>
  <c r="A469" i="41" s="1"/>
  <c r="G468" i="37"/>
  <c r="G468" i="41" s="1"/>
  <c r="F468" i="37"/>
  <c r="F468" i="41" s="1"/>
  <c r="E468" i="37"/>
  <c r="E468" i="41" s="1"/>
  <c r="D468" i="37"/>
  <c r="D468" i="41" s="1"/>
  <c r="C468" i="37"/>
  <c r="C468" i="41" s="1"/>
  <c r="B468" i="37"/>
  <c r="B468" i="41" s="1"/>
  <c r="A468" i="37"/>
  <c r="A468" i="41" s="1"/>
  <c r="G467" i="37"/>
  <c r="G467" i="41" s="1"/>
  <c r="F467" i="37"/>
  <c r="F467" i="41" s="1"/>
  <c r="E467" i="37"/>
  <c r="E467" i="41" s="1"/>
  <c r="D467" i="37"/>
  <c r="D467" i="41" s="1"/>
  <c r="C467" i="37"/>
  <c r="C467" i="41" s="1"/>
  <c r="B467" i="37"/>
  <c r="B467" i="41" s="1"/>
  <c r="A467" i="37"/>
  <c r="A467" i="41" s="1"/>
  <c r="G466" i="37"/>
  <c r="G466" i="41" s="1"/>
  <c r="F466" i="37"/>
  <c r="F466" i="41" s="1"/>
  <c r="E466" i="37"/>
  <c r="E466" i="41" s="1"/>
  <c r="D466" i="37"/>
  <c r="D466" i="41" s="1"/>
  <c r="C466" i="37"/>
  <c r="C466" i="41" s="1"/>
  <c r="B466" i="37"/>
  <c r="B466" i="41" s="1"/>
  <c r="A466" i="37"/>
  <c r="A466" i="41" s="1"/>
  <c r="G465" i="37"/>
  <c r="G465" i="41" s="1"/>
  <c r="F465" i="37"/>
  <c r="F465" i="41" s="1"/>
  <c r="E465" i="37"/>
  <c r="E465" i="41" s="1"/>
  <c r="D465" i="37"/>
  <c r="D465" i="41" s="1"/>
  <c r="C465" i="37"/>
  <c r="C465" i="41" s="1"/>
  <c r="B465" i="37"/>
  <c r="B465" i="41" s="1"/>
  <c r="A465" i="37"/>
  <c r="A465" i="41" s="1"/>
  <c r="G464" i="37"/>
  <c r="G464" i="41" s="1"/>
  <c r="F464" i="37"/>
  <c r="F464" i="41" s="1"/>
  <c r="E464" i="37"/>
  <c r="E464" i="41" s="1"/>
  <c r="D464" i="37"/>
  <c r="D464" i="41" s="1"/>
  <c r="C464" i="37"/>
  <c r="C464" i="41" s="1"/>
  <c r="B464" i="37"/>
  <c r="B464" i="41" s="1"/>
  <c r="A464" i="37"/>
  <c r="A464" i="41" s="1"/>
  <c r="G463" i="37"/>
  <c r="G463" i="41" s="1"/>
  <c r="F463" i="37"/>
  <c r="F463" i="41" s="1"/>
  <c r="E463" i="37"/>
  <c r="E463" i="41" s="1"/>
  <c r="D463" i="37"/>
  <c r="D463" i="41" s="1"/>
  <c r="C463" i="37"/>
  <c r="C463" i="41" s="1"/>
  <c r="B463" i="37"/>
  <c r="B463" i="41" s="1"/>
  <c r="A463" i="37"/>
  <c r="A463" i="41" s="1"/>
  <c r="G462" i="37"/>
  <c r="G462" i="41" s="1"/>
  <c r="F462" i="37"/>
  <c r="F462" i="41" s="1"/>
  <c r="E462" i="37"/>
  <c r="E462" i="41" s="1"/>
  <c r="D462" i="37"/>
  <c r="D462" i="41" s="1"/>
  <c r="C462" i="37"/>
  <c r="C462" i="41" s="1"/>
  <c r="B462" i="37"/>
  <c r="B462" i="41" s="1"/>
  <c r="A462" i="37"/>
  <c r="A462" i="41" s="1"/>
  <c r="G461" i="37"/>
  <c r="G461" i="41" s="1"/>
  <c r="F461" i="37"/>
  <c r="F461" i="41" s="1"/>
  <c r="E461" i="37"/>
  <c r="E461" i="41" s="1"/>
  <c r="D461" i="37"/>
  <c r="D461" i="41" s="1"/>
  <c r="C461" i="37"/>
  <c r="C461" i="41" s="1"/>
  <c r="B461" i="37"/>
  <c r="B461" i="41" s="1"/>
  <c r="A461" i="37"/>
  <c r="A461" i="41" s="1"/>
  <c r="G460" i="37"/>
  <c r="G460" i="41" s="1"/>
  <c r="F460" i="37"/>
  <c r="F460" i="41" s="1"/>
  <c r="E460" i="37"/>
  <c r="E460" i="41" s="1"/>
  <c r="D460" i="37"/>
  <c r="D460" i="41" s="1"/>
  <c r="C460" i="37"/>
  <c r="C460" i="41" s="1"/>
  <c r="B460" i="37"/>
  <c r="B460" i="41" s="1"/>
  <c r="A460" i="37"/>
  <c r="A460" i="41" s="1"/>
  <c r="G459" i="37"/>
  <c r="G459" i="41" s="1"/>
  <c r="F459" i="37"/>
  <c r="F459" i="41" s="1"/>
  <c r="E459" i="37"/>
  <c r="E459" i="41" s="1"/>
  <c r="D459" i="37"/>
  <c r="D459" i="41" s="1"/>
  <c r="C459" i="37"/>
  <c r="C459" i="41" s="1"/>
  <c r="B459" i="37"/>
  <c r="B459" i="41" s="1"/>
  <c r="A459" i="37"/>
  <c r="A459" i="41" s="1"/>
  <c r="G458" i="37"/>
  <c r="G458" i="41" s="1"/>
  <c r="F458" i="37"/>
  <c r="F458" i="41" s="1"/>
  <c r="E458" i="37"/>
  <c r="E458" i="41" s="1"/>
  <c r="D458" i="37"/>
  <c r="D458" i="41" s="1"/>
  <c r="C458" i="37"/>
  <c r="C458" i="41" s="1"/>
  <c r="B458" i="37"/>
  <c r="B458" i="41" s="1"/>
  <c r="A458" i="37"/>
  <c r="A458" i="41" s="1"/>
  <c r="G457" i="37"/>
  <c r="G457" i="41" s="1"/>
  <c r="F457" i="37"/>
  <c r="F457" i="41" s="1"/>
  <c r="E457" i="37"/>
  <c r="E457" i="41" s="1"/>
  <c r="D457" i="37"/>
  <c r="D457" i="41" s="1"/>
  <c r="C457" i="37"/>
  <c r="C457" i="41" s="1"/>
  <c r="B457" i="37"/>
  <c r="B457" i="41" s="1"/>
  <c r="A457" i="37"/>
  <c r="A457" i="41" s="1"/>
  <c r="G456" i="37"/>
  <c r="G456" i="41" s="1"/>
  <c r="F456" i="37"/>
  <c r="F456" i="41" s="1"/>
  <c r="E456" i="37"/>
  <c r="E456" i="41" s="1"/>
  <c r="D456" i="37"/>
  <c r="D456" i="41" s="1"/>
  <c r="C456" i="37"/>
  <c r="C456" i="41" s="1"/>
  <c r="B456" i="37"/>
  <c r="B456" i="41" s="1"/>
  <c r="A456" i="37"/>
  <c r="A456" i="41" s="1"/>
  <c r="G455" i="37"/>
  <c r="G455" i="41" s="1"/>
  <c r="F455" i="37"/>
  <c r="F455" i="41" s="1"/>
  <c r="E455" i="37"/>
  <c r="E455" i="41" s="1"/>
  <c r="D455" i="37"/>
  <c r="D455" i="41" s="1"/>
  <c r="C455" i="37"/>
  <c r="C455" i="41" s="1"/>
  <c r="B455" i="37"/>
  <c r="B455" i="41" s="1"/>
  <c r="A455" i="37"/>
  <c r="A455" i="41" s="1"/>
  <c r="G454" i="37"/>
  <c r="G454" i="41" s="1"/>
  <c r="F454" i="37"/>
  <c r="F454" i="41" s="1"/>
  <c r="E454" i="37"/>
  <c r="E454" i="41" s="1"/>
  <c r="D454" i="37"/>
  <c r="D454" i="41" s="1"/>
  <c r="C454" i="37"/>
  <c r="C454" i="41" s="1"/>
  <c r="B454" i="37"/>
  <c r="B454" i="41" s="1"/>
  <c r="A454" i="37"/>
  <c r="A454" i="41" s="1"/>
  <c r="G453" i="37"/>
  <c r="G453" i="41" s="1"/>
  <c r="F453" i="37"/>
  <c r="F453" i="41" s="1"/>
  <c r="E453" i="37"/>
  <c r="E453" i="41" s="1"/>
  <c r="D453" i="37"/>
  <c r="D453" i="41" s="1"/>
  <c r="C453" i="37"/>
  <c r="C453" i="41" s="1"/>
  <c r="B453" i="37"/>
  <c r="B453" i="41" s="1"/>
  <c r="A453" i="37"/>
  <c r="A453" i="41" s="1"/>
  <c r="G452" i="37"/>
  <c r="G452" i="41" s="1"/>
  <c r="F452" i="37"/>
  <c r="F452" i="41" s="1"/>
  <c r="E452" i="37"/>
  <c r="E452" i="41" s="1"/>
  <c r="D452" i="37"/>
  <c r="D452" i="41" s="1"/>
  <c r="C452" i="37"/>
  <c r="C452" i="41" s="1"/>
  <c r="B452" i="37"/>
  <c r="B452" i="41" s="1"/>
  <c r="A452" i="37"/>
  <c r="A452" i="41" s="1"/>
  <c r="G451" i="37"/>
  <c r="G451" i="41" s="1"/>
  <c r="F451" i="37"/>
  <c r="F451" i="41" s="1"/>
  <c r="E451" i="37"/>
  <c r="E451" i="41" s="1"/>
  <c r="D451" i="37"/>
  <c r="D451" i="41" s="1"/>
  <c r="C451" i="37"/>
  <c r="C451" i="41" s="1"/>
  <c r="B451" i="37"/>
  <c r="B451" i="41" s="1"/>
  <c r="A451" i="37"/>
  <c r="A451" i="41" s="1"/>
  <c r="G450" i="37"/>
  <c r="G450" i="41" s="1"/>
  <c r="F450" i="37"/>
  <c r="F450" i="41" s="1"/>
  <c r="E450" i="37"/>
  <c r="E450" i="41" s="1"/>
  <c r="D450" i="37"/>
  <c r="D450" i="41" s="1"/>
  <c r="C450" i="37"/>
  <c r="C450" i="41" s="1"/>
  <c r="B450" i="37"/>
  <c r="B450" i="41" s="1"/>
  <c r="A450" i="37"/>
  <c r="A450" i="41" s="1"/>
  <c r="G449" i="37"/>
  <c r="G449" i="41" s="1"/>
  <c r="F449" i="37"/>
  <c r="F449" i="41" s="1"/>
  <c r="E449" i="37"/>
  <c r="E449" i="41" s="1"/>
  <c r="D449" i="37"/>
  <c r="D449" i="41" s="1"/>
  <c r="C449" i="37"/>
  <c r="C449" i="41" s="1"/>
  <c r="B449" i="37"/>
  <c r="B449" i="41" s="1"/>
  <c r="A449" i="37"/>
  <c r="A449" i="41" s="1"/>
  <c r="G448" i="37"/>
  <c r="G448" i="41" s="1"/>
  <c r="F448" i="37"/>
  <c r="F448" i="41" s="1"/>
  <c r="E448" i="37"/>
  <c r="E448" i="41" s="1"/>
  <c r="D448" i="37"/>
  <c r="D448" i="41" s="1"/>
  <c r="C448" i="37"/>
  <c r="C448" i="41" s="1"/>
  <c r="B448" i="37"/>
  <c r="B448" i="41" s="1"/>
  <c r="A448" i="37"/>
  <c r="A448" i="41" s="1"/>
  <c r="G447" i="37"/>
  <c r="G447" i="41" s="1"/>
  <c r="F447" i="37"/>
  <c r="F447" i="41" s="1"/>
  <c r="E447" i="37"/>
  <c r="E447" i="41" s="1"/>
  <c r="D447" i="37"/>
  <c r="D447" i="41" s="1"/>
  <c r="C447" i="37"/>
  <c r="C447" i="41" s="1"/>
  <c r="B447" i="37"/>
  <c r="B447" i="41" s="1"/>
  <c r="A447" i="37"/>
  <c r="A447" i="41" s="1"/>
  <c r="G446" i="37"/>
  <c r="G446" i="41" s="1"/>
  <c r="F446" i="37"/>
  <c r="F446" i="41" s="1"/>
  <c r="E446" i="37"/>
  <c r="E446" i="41" s="1"/>
  <c r="D446" i="37"/>
  <c r="D446" i="41" s="1"/>
  <c r="C446" i="37"/>
  <c r="C446" i="41" s="1"/>
  <c r="B446" i="37"/>
  <c r="B446" i="41" s="1"/>
  <c r="A446" i="37"/>
  <c r="A446" i="41" s="1"/>
  <c r="G445" i="37"/>
  <c r="G445" i="41" s="1"/>
  <c r="F445" i="37"/>
  <c r="F445" i="41" s="1"/>
  <c r="E445" i="37"/>
  <c r="E445" i="41" s="1"/>
  <c r="D445" i="37"/>
  <c r="D445" i="41" s="1"/>
  <c r="C445" i="37"/>
  <c r="C445" i="41" s="1"/>
  <c r="B445" i="37"/>
  <c r="B445" i="41" s="1"/>
  <c r="A445" i="37"/>
  <c r="A445" i="41" s="1"/>
  <c r="G444" i="37"/>
  <c r="G444" i="41" s="1"/>
  <c r="F444" i="37"/>
  <c r="F444" i="41" s="1"/>
  <c r="E444" i="37"/>
  <c r="E444" i="41" s="1"/>
  <c r="D444" i="37"/>
  <c r="D444" i="41" s="1"/>
  <c r="C444" i="37"/>
  <c r="C444" i="41" s="1"/>
  <c r="B444" i="37"/>
  <c r="B444" i="41" s="1"/>
  <c r="A444" i="37"/>
  <c r="A444" i="41" s="1"/>
  <c r="G443" i="37"/>
  <c r="G443" i="41" s="1"/>
  <c r="F443" i="37"/>
  <c r="F443" i="41" s="1"/>
  <c r="E443" i="37"/>
  <c r="E443" i="41" s="1"/>
  <c r="D443" i="37"/>
  <c r="D443" i="41" s="1"/>
  <c r="C443" i="37"/>
  <c r="C443" i="41" s="1"/>
  <c r="B443" i="37"/>
  <c r="B443" i="41" s="1"/>
  <c r="A443" i="37"/>
  <c r="A443" i="41" s="1"/>
  <c r="G442" i="37"/>
  <c r="G442" i="41" s="1"/>
  <c r="F442" i="37"/>
  <c r="F442" i="41" s="1"/>
  <c r="E442" i="37"/>
  <c r="E442" i="41" s="1"/>
  <c r="D442" i="37"/>
  <c r="D442" i="41" s="1"/>
  <c r="C442" i="37"/>
  <c r="C442" i="41" s="1"/>
  <c r="B442" i="37"/>
  <c r="B442" i="41" s="1"/>
  <c r="A442" i="37"/>
  <c r="A442" i="41" s="1"/>
  <c r="G441" i="37"/>
  <c r="G441" i="41" s="1"/>
  <c r="F441" i="37"/>
  <c r="F441" i="41" s="1"/>
  <c r="E441" i="37"/>
  <c r="E441" i="41" s="1"/>
  <c r="D441" i="37"/>
  <c r="D441" i="41" s="1"/>
  <c r="C441" i="37"/>
  <c r="C441" i="41" s="1"/>
  <c r="B441" i="37"/>
  <c r="B441" i="41" s="1"/>
  <c r="A441" i="37"/>
  <c r="A441" i="41" s="1"/>
  <c r="G440" i="37"/>
  <c r="G440" i="41" s="1"/>
  <c r="F440" i="37"/>
  <c r="F440" i="41" s="1"/>
  <c r="E440" i="37"/>
  <c r="E440" i="41" s="1"/>
  <c r="D440" i="37"/>
  <c r="D440" i="41" s="1"/>
  <c r="C440" i="37"/>
  <c r="C440" i="41" s="1"/>
  <c r="B440" i="37"/>
  <c r="B440" i="41" s="1"/>
  <c r="A440" i="37"/>
  <c r="A440" i="41" s="1"/>
  <c r="G439" i="37"/>
  <c r="G439" i="41" s="1"/>
  <c r="F439" i="37"/>
  <c r="F439" i="41" s="1"/>
  <c r="E439" i="37"/>
  <c r="E439" i="41" s="1"/>
  <c r="D439" i="37"/>
  <c r="D439" i="41" s="1"/>
  <c r="C439" i="37"/>
  <c r="C439" i="41" s="1"/>
  <c r="B439" i="37"/>
  <c r="B439" i="41" s="1"/>
  <c r="A439" i="37"/>
  <c r="A439" i="41" s="1"/>
  <c r="G438" i="37"/>
  <c r="G438" i="41" s="1"/>
  <c r="F438" i="37"/>
  <c r="F438" i="41" s="1"/>
  <c r="E438" i="37"/>
  <c r="E438" i="41" s="1"/>
  <c r="D438" i="37"/>
  <c r="D438" i="41" s="1"/>
  <c r="C438" i="37"/>
  <c r="C438" i="41" s="1"/>
  <c r="B438" i="37"/>
  <c r="B438" i="41" s="1"/>
  <c r="A438" i="37"/>
  <c r="A438" i="41" s="1"/>
  <c r="G437" i="37"/>
  <c r="G437" i="41" s="1"/>
  <c r="F437" i="37"/>
  <c r="F437" i="41" s="1"/>
  <c r="E437" i="37"/>
  <c r="E437" i="41" s="1"/>
  <c r="D437" i="37"/>
  <c r="C437" i="37"/>
  <c r="C437" i="41" s="1"/>
  <c r="B437" i="37"/>
  <c r="B437" i="41" s="1"/>
  <c r="A437" i="37"/>
  <c r="A437" i="41" s="1"/>
  <c r="G436" i="37"/>
  <c r="G436" i="41" s="1"/>
  <c r="F436" i="37"/>
  <c r="F436" i="41" s="1"/>
  <c r="E436" i="37"/>
  <c r="E436" i="41" s="1"/>
  <c r="D436" i="37"/>
  <c r="D436" i="41" s="1"/>
  <c r="C436" i="37"/>
  <c r="C436" i="41" s="1"/>
  <c r="B436" i="37"/>
  <c r="B436" i="41" s="1"/>
  <c r="A436" i="37"/>
  <c r="G435" i="37"/>
  <c r="G435" i="41" s="1"/>
  <c r="F435" i="37"/>
  <c r="F435" i="41" s="1"/>
  <c r="E435" i="37"/>
  <c r="E435" i="41" s="1"/>
  <c r="D435" i="37"/>
  <c r="D435" i="41" s="1"/>
  <c r="C435" i="37"/>
  <c r="C435" i="41" s="1"/>
  <c r="B435" i="37"/>
  <c r="B435" i="41" s="1"/>
  <c r="A435" i="37"/>
  <c r="A435" i="41" s="1"/>
  <c r="G434" i="37"/>
  <c r="G434" i="41" s="1"/>
  <c r="F434" i="37"/>
  <c r="F434" i="41" s="1"/>
  <c r="E434" i="37"/>
  <c r="E434" i="41" s="1"/>
  <c r="D434" i="37"/>
  <c r="D434" i="41" s="1"/>
  <c r="C434" i="37"/>
  <c r="C434" i="41" s="1"/>
  <c r="B434" i="37"/>
  <c r="B434" i="41" s="1"/>
  <c r="A434" i="37"/>
  <c r="A434" i="41" s="1"/>
  <c r="G433" i="37"/>
  <c r="G433" i="41" s="1"/>
  <c r="F433" i="37"/>
  <c r="F433" i="41" s="1"/>
  <c r="E433" i="37"/>
  <c r="E433" i="41" s="1"/>
  <c r="D433" i="37"/>
  <c r="D433" i="41" s="1"/>
  <c r="C433" i="37"/>
  <c r="C433" i="41" s="1"/>
  <c r="B433" i="37"/>
  <c r="B433" i="41" s="1"/>
  <c r="A433" i="37"/>
  <c r="A433" i="41" s="1"/>
  <c r="G432" i="37"/>
  <c r="G432" i="41" s="1"/>
  <c r="F432" i="37"/>
  <c r="F432" i="41" s="1"/>
  <c r="E432" i="37"/>
  <c r="E432" i="41" s="1"/>
  <c r="D432" i="37"/>
  <c r="D432" i="41" s="1"/>
  <c r="C432" i="37"/>
  <c r="C432" i="41" s="1"/>
  <c r="B432" i="37"/>
  <c r="B432" i="41" s="1"/>
  <c r="A432" i="37"/>
  <c r="A432" i="41" s="1"/>
  <c r="G431" i="37"/>
  <c r="G431" i="41" s="1"/>
  <c r="F431" i="37"/>
  <c r="F431" i="41" s="1"/>
  <c r="E431" i="37"/>
  <c r="E431" i="41" s="1"/>
  <c r="D431" i="37"/>
  <c r="C431" i="37"/>
  <c r="C431" i="41" s="1"/>
  <c r="B431" i="37"/>
  <c r="B431" i="41" s="1"/>
  <c r="A431" i="37"/>
  <c r="A431" i="41" s="1"/>
  <c r="G430" i="37"/>
  <c r="G430" i="41" s="1"/>
  <c r="F430" i="37"/>
  <c r="F430" i="41" s="1"/>
  <c r="E430" i="37"/>
  <c r="E430" i="41" s="1"/>
  <c r="D430" i="37"/>
  <c r="D430" i="41" s="1"/>
  <c r="C430" i="37"/>
  <c r="C430" i="41" s="1"/>
  <c r="B430" i="37"/>
  <c r="B430" i="41" s="1"/>
  <c r="A430" i="37"/>
  <c r="G429" i="37"/>
  <c r="G429" i="41" s="1"/>
  <c r="F429" i="37"/>
  <c r="F429" i="41" s="1"/>
  <c r="E429" i="37"/>
  <c r="E429" i="41" s="1"/>
  <c r="D429" i="37"/>
  <c r="D429" i="41" s="1"/>
  <c r="C429" i="37"/>
  <c r="C429" i="41" s="1"/>
  <c r="B429" i="37"/>
  <c r="B429" i="41" s="1"/>
  <c r="A429" i="37"/>
  <c r="G428" i="37"/>
  <c r="G428" i="41" s="1"/>
  <c r="F428" i="37"/>
  <c r="F428" i="41" s="1"/>
  <c r="E428" i="37"/>
  <c r="E428" i="41" s="1"/>
  <c r="D428" i="37"/>
  <c r="D428" i="41" s="1"/>
  <c r="C428" i="37"/>
  <c r="C428" i="41" s="1"/>
  <c r="B428" i="37"/>
  <c r="B428" i="41" s="1"/>
  <c r="A428" i="37"/>
  <c r="A428" i="41" s="1"/>
  <c r="G427" i="37"/>
  <c r="G427" i="41" s="1"/>
  <c r="F427" i="37"/>
  <c r="F427" i="41" s="1"/>
  <c r="E427" i="37"/>
  <c r="E427" i="41" s="1"/>
  <c r="D427" i="37"/>
  <c r="D427" i="41" s="1"/>
  <c r="C427" i="37"/>
  <c r="C427" i="41" s="1"/>
  <c r="B427" i="37"/>
  <c r="B427" i="41" s="1"/>
  <c r="A427" i="37"/>
  <c r="A427" i="41" s="1"/>
  <c r="G426" i="37"/>
  <c r="G426" i="41" s="1"/>
  <c r="F426" i="37"/>
  <c r="F426" i="41" s="1"/>
  <c r="E426" i="37"/>
  <c r="E426" i="41" s="1"/>
  <c r="D426" i="37"/>
  <c r="D426" i="41" s="1"/>
  <c r="C426" i="37"/>
  <c r="C426" i="41" s="1"/>
  <c r="B426" i="37"/>
  <c r="B426" i="41" s="1"/>
  <c r="A426" i="37"/>
  <c r="A426" i="41" s="1"/>
  <c r="G425" i="37"/>
  <c r="G425" i="41" s="1"/>
  <c r="F425" i="37"/>
  <c r="F425" i="41" s="1"/>
  <c r="E425" i="37"/>
  <c r="E425" i="41" s="1"/>
  <c r="D425" i="37"/>
  <c r="D425" i="41" s="1"/>
  <c r="C425" i="37"/>
  <c r="C425" i="41" s="1"/>
  <c r="B425" i="37"/>
  <c r="B425" i="41" s="1"/>
  <c r="A425" i="37"/>
  <c r="A425" i="41" s="1"/>
  <c r="G424" i="37"/>
  <c r="G424" i="41" s="1"/>
  <c r="F424" i="37"/>
  <c r="F424" i="41" s="1"/>
  <c r="E424" i="37"/>
  <c r="E424" i="41" s="1"/>
  <c r="D424" i="37"/>
  <c r="D424" i="41" s="1"/>
  <c r="C424" i="37"/>
  <c r="C424" i="41" s="1"/>
  <c r="B424" i="37"/>
  <c r="B424" i="41" s="1"/>
  <c r="A424" i="37"/>
  <c r="A424" i="41" s="1"/>
  <c r="G423" i="37"/>
  <c r="G423" i="41" s="1"/>
  <c r="F423" i="37"/>
  <c r="F423" i="41" s="1"/>
  <c r="E423" i="37"/>
  <c r="E423" i="41" s="1"/>
  <c r="D423" i="37"/>
  <c r="D423" i="41" s="1"/>
  <c r="C423" i="37"/>
  <c r="C423" i="41" s="1"/>
  <c r="B423" i="37"/>
  <c r="B423" i="41" s="1"/>
  <c r="A423" i="37"/>
  <c r="A423" i="41" s="1"/>
  <c r="G422" i="37"/>
  <c r="G422" i="41" s="1"/>
  <c r="F422" i="37"/>
  <c r="F422" i="41" s="1"/>
  <c r="E422" i="37"/>
  <c r="E422" i="41" s="1"/>
  <c r="D422" i="37"/>
  <c r="D422" i="41" s="1"/>
  <c r="C422" i="37"/>
  <c r="C422" i="41" s="1"/>
  <c r="B422" i="37"/>
  <c r="B422" i="41" s="1"/>
  <c r="A422" i="37"/>
  <c r="A422" i="41" s="1"/>
  <c r="G421" i="37"/>
  <c r="G421" i="41" s="1"/>
  <c r="F421" i="37"/>
  <c r="F421" i="41" s="1"/>
  <c r="E421" i="37"/>
  <c r="E421" i="41" s="1"/>
  <c r="D421" i="37"/>
  <c r="D421" i="41" s="1"/>
  <c r="C421" i="37"/>
  <c r="C421" i="41" s="1"/>
  <c r="B421" i="37"/>
  <c r="B421" i="41" s="1"/>
  <c r="A421" i="37"/>
  <c r="A421" i="41" s="1"/>
  <c r="G420" i="37"/>
  <c r="G420" i="41" s="1"/>
  <c r="F420" i="37"/>
  <c r="F420" i="41" s="1"/>
  <c r="E420" i="37"/>
  <c r="E420" i="41" s="1"/>
  <c r="D420" i="37"/>
  <c r="D420" i="41" s="1"/>
  <c r="C420" i="37"/>
  <c r="C420" i="41" s="1"/>
  <c r="B420" i="37"/>
  <c r="B420" i="41" s="1"/>
  <c r="A420" i="37"/>
  <c r="A420" i="41" s="1"/>
  <c r="G419" i="37"/>
  <c r="G419" i="41" s="1"/>
  <c r="F419" i="37"/>
  <c r="F419" i="41" s="1"/>
  <c r="E419" i="37"/>
  <c r="E419" i="41" s="1"/>
  <c r="D419" i="37"/>
  <c r="D419" i="41" s="1"/>
  <c r="C419" i="37"/>
  <c r="C419" i="41" s="1"/>
  <c r="B419" i="37"/>
  <c r="B419" i="41" s="1"/>
  <c r="A419" i="37"/>
  <c r="A419" i="41" s="1"/>
  <c r="G418" i="37"/>
  <c r="G418" i="41" s="1"/>
  <c r="F418" i="37"/>
  <c r="F418" i="41" s="1"/>
  <c r="E418" i="37"/>
  <c r="E418" i="41" s="1"/>
  <c r="D418" i="37"/>
  <c r="D418" i="41" s="1"/>
  <c r="C418" i="37"/>
  <c r="C418" i="41" s="1"/>
  <c r="B418" i="37"/>
  <c r="B418" i="41" s="1"/>
  <c r="A418" i="37"/>
  <c r="A418" i="41" s="1"/>
  <c r="G417" i="37"/>
  <c r="G417" i="41" s="1"/>
  <c r="F417" i="37"/>
  <c r="F417" i="41" s="1"/>
  <c r="E417" i="37"/>
  <c r="E417" i="41" s="1"/>
  <c r="D417" i="37"/>
  <c r="D417" i="41" s="1"/>
  <c r="C417" i="37"/>
  <c r="C417" i="41" s="1"/>
  <c r="B417" i="37"/>
  <c r="B417" i="41" s="1"/>
  <c r="A417" i="37"/>
  <c r="A417" i="41" s="1"/>
  <c r="G416" i="37"/>
  <c r="G416" i="41" s="1"/>
  <c r="F416" i="37"/>
  <c r="F416" i="41" s="1"/>
  <c r="E416" i="37"/>
  <c r="E416" i="41" s="1"/>
  <c r="D416" i="37"/>
  <c r="D416" i="41" s="1"/>
  <c r="C416" i="37"/>
  <c r="C416" i="41" s="1"/>
  <c r="B416" i="37"/>
  <c r="B416" i="41" s="1"/>
  <c r="A416" i="37"/>
  <c r="A416" i="41" s="1"/>
  <c r="G415" i="37"/>
  <c r="G415" i="41" s="1"/>
  <c r="F415" i="37"/>
  <c r="F415" i="41" s="1"/>
  <c r="E415" i="37"/>
  <c r="E415" i="41" s="1"/>
  <c r="D415" i="37"/>
  <c r="D415" i="41" s="1"/>
  <c r="C415" i="37"/>
  <c r="C415" i="41" s="1"/>
  <c r="B415" i="37"/>
  <c r="B415" i="41" s="1"/>
  <c r="A415" i="37"/>
  <c r="A415" i="41" s="1"/>
  <c r="G414" i="37"/>
  <c r="G414" i="41" s="1"/>
  <c r="F414" i="37"/>
  <c r="F414" i="41" s="1"/>
  <c r="E414" i="37"/>
  <c r="E414" i="41" s="1"/>
  <c r="D414" i="37"/>
  <c r="D414" i="41" s="1"/>
  <c r="C414" i="37"/>
  <c r="C414" i="41" s="1"/>
  <c r="B414" i="37"/>
  <c r="B414" i="41" s="1"/>
  <c r="A414" i="37"/>
  <c r="A414" i="41" s="1"/>
  <c r="G413" i="37"/>
  <c r="G413" i="41" s="1"/>
  <c r="F413" i="37"/>
  <c r="F413" i="41" s="1"/>
  <c r="E413" i="37"/>
  <c r="E413" i="41" s="1"/>
  <c r="D413" i="37"/>
  <c r="D413" i="41" s="1"/>
  <c r="C413" i="37"/>
  <c r="C413" i="41" s="1"/>
  <c r="B413" i="37"/>
  <c r="B413" i="41" s="1"/>
  <c r="A413" i="37"/>
  <c r="A413" i="41" s="1"/>
  <c r="G412" i="37"/>
  <c r="G412" i="41" s="1"/>
  <c r="F412" i="37"/>
  <c r="F412" i="41" s="1"/>
  <c r="E412" i="37"/>
  <c r="E412" i="41" s="1"/>
  <c r="D412" i="37"/>
  <c r="D412" i="41" s="1"/>
  <c r="C412" i="37"/>
  <c r="C412" i="41" s="1"/>
  <c r="B412" i="37"/>
  <c r="B412" i="41" s="1"/>
  <c r="A412" i="37"/>
  <c r="A412" i="41" s="1"/>
  <c r="G411" i="37"/>
  <c r="G411" i="41" s="1"/>
  <c r="F411" i="37"/>
  <c r="F411" i="41" s="1"/>
  <c r="E411" i="37"/>
  <c r="E411" i="41" s="1"/>
  <c r="D411" i="37"/>
  <c r="D411" i="41" s="1"/>
  <c r="C411" i="37"/>
  <c r="C411" i="41" s="1"/>
  <c r="B411" i="37"/>
  <c r="B411" i="41" s="1"/>
  <c r="A411" i="37"/>
  <c r="A411" i="41" s="1"/>
  <c r="G410" i="37"/>
  <c r="G410" i="41" s="1"/>
  <c r="F410" i="37"/>
  <c r="F410" i="41" s="1"/>
  <c r="E410" i="37"/>
  <c r="E410" i="41" s="1"/>
  <c r="D410" i="37"/>
  <c r="D410" i="41" s="1"/>
  <c r="C410" i="37"/>
  <c r="C410" i="41" s="1"/>
  <c r="B410" i="37"/>
  <c r="B410" i="41" s="1"/>
  <c r="A410" i="37"/>
  <c r="A410" i="41" s="1"/>
  <c r="G409" i="37"/>
  <c r="G409" i="41" s="1"/>
  <c r="F409" i="37"/>
  <c r="F409" i="41" s="1"/>
  <c r="E409" i="37"/>
  <c r="E409" i="41" s="1"/>
  <c r="D409" i="37"/>
  <c r="D409" i="41" s="1"/>
  <c r="C409" i="37"/>
  <c r="C409" i="41" s="1"/>
  <c r="B409" i="37"/>
  <c r="B409" i="41" s="1"/>
  <c r="A409" i="37"/>
  <c r="A409" i="41" s="1"/>
  <c r="G408" i="37"/>
  <c r="G408" i="41" s="1"/>
  <c r="F408" i="37"/>
  <c r="F408" i="41" s="1"/>
  <c r="E408" i="37"/>
  <c r="E408" i="41" s="1"/>
  <c r="D408" i="37"/>
  <c r="D408" i="41" s="1"/>
  <c r="C408" i="37"/>
  <c r="C408" i="41" s="1"/>
  <c r="B408" i="37"/>
  <c r="B408" i="41" s="1"/>
  <c r="A408" i="37"/>
  <c r="A408" i="41" s="1"/>
  <c r="G407" i="37"/>
  <c r="G407" i="41" s="1"/>
  <c r="F407" i="37"/>
  <c r="F407" i="41" s="1"/>
  <c r="E407" i="37"/>
  <c r="E407" i="41" s="1"/>
  <c r="D407" i="37"/>
  <c r="D407" i="41" s="1"/>
  <c r="C407" i="37"/>
  <c r="C407" i="41" s="1"/>
  <c r="B407" i="37"/>
  <c r="B407" i="41" s="1"/>
  <c r="A407" i="37"/>
  <c r="A407" i="41" s="1"/>
  <c r="G406" i="37"/>
  <c r="G406" i="41" s="1"/>
  <c r="F406" i="37"/>
  <c r="F406" i="41" s="1"/>
  <c r="E406" i="37"/>
  <c r="E406" i="41" s="1"/>
  <c r="D406" i="37"/>
  <c r="D406" i="41" s="1"/>
  <c r="C406" i="37"/>
  <c r="C406" i="41" s="1"/>
  <c r="B406" i="37"/>
  <c r="B406" i="41" s="1"/>
  <c r="A406" i="37"/>
  <c r="A406" i="41" s="1"/>
  <c r="G405" i="37"/>
  <c r="G405" i="41" s="1"/>
  <c r="F405" i="37"/>
  <c r="F405" i="41" s="1"/>
  <c r="E405" i="37"/>
  <c r="E405" i="41" s="1"/>
  <c r="D405" i="37"/>
  <c r="D405" i="41" s="1"/>
  <c r="C405" i="37"/>
  <c r="C405" i="41" s="1"/>
  <c r="B405" i="37"/>
  <c r="B405" i="41" s="1"/>
  <c r="A405" i="37"/>
  <c r="A405" i="41" s="1"/>
  <c r="G404" i="37"/>
  <c r="G404" i="41" s="1"/>
  <c r="F404" i="37"/>
  <c r="F404" i="41" s="1"/>
  <c r="E404" i="37"/>
  <c r="E404" i="41" s="1"/>
  <c r="D404" i="37"/>
  <c r="D404" i="41" s="1"/>
  <c r="C404" i="37"/>
  <c r="C404" i="41" s="1"/>
  <c r="B404" i="37"/>
  <c r="B404" i="41" s="1"/>
  <c r="A404" i="37"/>
  <c r="A404" i="41" s="1"/>
  <c r="G403" i="37"/>
  <c r="G403" i="41" s="1"/>
  <c r="F403" i="37"/>
  <c r="F403" i="41" s="1"/>
  <c r="E403" i="37"/>
  <c r="E403" i="41" s="1"/>
  <c r="D403" i="37"/>
  <c r="D403" i="41" s="1"/>
  <c r="C403" i="37"/>
  <c r="C403" i="41" s="1"/>
  <c r="B403" i="37"/>
  <c r="B403" i="41" s="1"/>
  <c r="A403" i="37"/>
  <c r="A403" i="41" s="1"/>
  <c r="G402" i="37"/>
  <c r="G402" i="41" s="1"/>
  <c r="F402" i="37"/>
  <c r="F402" i="41" s="1"/>
  <c r="E402" i="37"/>
  <c r="E402" i="41" s="1"/>
  <c r="D402" i="37"/>
  <c r="D402" i="41" s="1"/>
  <c r="C402" i="37"/>
  <c r="C402" i="41" s="1"/>
  <c r="B402" i="37"/>
  <c r="B402" i="41" s="1"/>
  <c r="A402" i="37"/>
  <c r="A402" i="41" s="1"/>
  <c r="G401" i="37"/>
  <c r="G401" i="41" s="1"/>
  <c r="F401" i="37"/>
  <c r="F401" i="41" s="1"/>
  <c r="E401" i="37"/>
  <c r="E401" i="41" s="1"/>
  <c r="D401" i="37"/>
  <c r="D401" i="41" s="1"/>
  <c r="C401" i="37"/>
  <c r="C401" i="41" s="1"/>
  <c r="B401" i="37"/>
  <c r="B401" i="41" s="1"/>
  <c r="A401" i="37"/>
  <c r="A401" i="41" s="1"/>
  <c r="G400" i="37"/>
  <c r="G400" i="41" s="1"/>
  <c r="F400" i="37"/>
  <c r="F400" i="41" s="1"/>
  <c r="E400" i="37"/>
  <c r="E400" i="41" s="1"/>
  <c r="D400" i="37"/>
  <c r="D400" i="41" s="1"/>
  <c r="C400" i="37"/>
  <c r="C400" i="41" s="1"/>
  <c r="B400" i="37"/>
  <c r="B400" i="41" s="1"/>
  <c r="A400" i="37"/>
  <c r="A400" i="41" s="1"/>
  <c r="G399" i="37"/>
  <c r="G399" i="41" s="1"/>
  <c r="F399" i="37"/>
  <c r="F399" i="41" s="1"/>
  <c r="E399" i="37"/>
  <c r="E399" i="41" s="1"/>
  <c r="D399" i="37"/>
  <c r="D399" i="41" s="1"/>
  <c r="C399" i="37"/>
  <c r="C399" i="41" s="1"/>
  <c r="B399" i="37"/>
  <c r="B399" i="41" s="1"/>
  <c r="A399" i="37"/>
  <c r="A399" i="41" s="1"/>
  <c r="G398" i="37"/>
  <c r="G398" i="41" s="1"/>
  <c r="F398" i="37"/>
  <c r="F398" i="41" s="1"/>
  <c r="E398" i="37"/>
  <c r="E398" i="41" s="1"/>
  <c r="D398" i="37"/>
  <c r="D398" i="41" s="1"/>
  <c r="C398" i="37"/>
  <c r="C398" i="41" s="1"/>
  <c r="B398" i="37"/>
  <c r="B398" i="41" s="1"/>
  <c r="A398" i="37"/>
  <c r="A398" i="41" s="1"/>
  <c r="G397" i="37"/>
  <c r="G397" i="41" s="1"/>
  <c r="F397" i="37"/>
  <c r="F397" i="41" s="1"/>
  <c r="E397" i="37"/>
  <c r="E397" i="41" s="1"/>
  <c r="D397" i="37"/>
  <c r="D397" i="41" s="1"/>
  <c r="C397" i="37"/>
  <c r="C397" i="41" s="1"/>
  <c r="B397" i="37"/>
  <c r="B397" i="41" s="1"/>
  <c r="A397" i="37"/>
  <c r="A397" i="41" s="1"/>
  <c r="G396" i="37"/>
  <c r="G396" i="41" s="1"/>
  <c r="F396" i="37"/>
  <c r="F396" i="41" s="1"/>
  <c r="E396" i="37"/>
  <c r="E396" i="41" s="1"/>
  <c r="D396" i="37"/>
  <c r="D396" i="41" s="1"/>
  <c r="C396" i="37"/>
  <c r="C396" i="41" s="1"/>
  <c r="B396" i="37"/>
  <c r="B396" i="41" s="1"/>
  <c r="A396" i="37"/>
  <c r="A396" i="41" s="1"/>
  <c r="G395" i="37"/>
  <c r="G395" i="41" s="1"/>
  <c r="F395" i="37"/>
  <c r="F395" i="41" s="1"/>
  <c r="E395" i="37"/>
  <c r="E395" i="41" s="1"/>
  <c r="D395" i="37"/>
  <c r="D395" i="41" s="1"/>
  <c r="C395" i="37"/>
  <c r="C395" i="41" s="1"/>
  <c r="B395" i="37"/>
  <c r="B395" i="41" s="1"/>
  <c r="A395" i="37"/>
  <c r="A395" i="41" s="1"/>
  <c r="G394" i="37"/>
  <c r="G394" i="41" s="1"/>
  <c r="F394" i="37"/>
  <c r="F394" i="41" s="1"/>
  <c r="E394" i="37"/>
  <c r="E394" i="41" s="1"/>
  <c r="D394" i="37"/>
  <c r="D394" i="41" s="1"/>
  <c r="C394" i="37"/>
  <c r="C394" i="41" s="1"/>
  <c r="B394" i="37"/>
  <c r="B394" i="41" s="1"/>
  <c r="A394" i="37"/>
  <c r="A394" i="41" s="1"/>
  <c r="G393" i="37"/>
  <c r="G393" i="41" s="1"/>
  <c r="F393" i="37"/>
  <c r="F393" i="41" s="1"/>
  <c r="E393" i="37"/>
  <c r="E393" i="41" s="1"/>
  <c r="D393" i="37"/>
  <c r="D393" i="41" s="1"/>
  <c r="C393" i="37"/>
  <c r="C393" i="41" s="1"/>
  <c r="B393" i="37"/>
  <c r="B393" i="41" s="1"/>
  <c r="A393" i="37"/>
  <c r="A393" i="41" s="1"/>
  <c r="G392" i="37"/>
  <c r="G392" i="41" s="1"/>
  <c r="F392" i="37"/>
  <c r="F392" i="41" s="1"/>
  <c r="E392" i="37"/>
  <c r="E392" i="41" s="1"/>
  <c r="D392" i="37"/>
  <c r="D392" i="41" s="1"/>
  <c r="C392" i="37"/>
  <c r="C392" i="41" s="1"/>
  <c r="B392" i="37"/>
  <c r="B392" i="41" s="1"/>
  <c r="A392" i="37"/>
  <c r="A392" i="41" s="1"/>
  <c r="G391" i="37"/>
  <c r="G391" i="41" s="1"/>
  <c r="F391" i="37"/>
  <c r="F391" i="41" s="1"/>
  <c r="E391" i="37"/>
  <c r="E391" i="41" s="1"/>
  <c r="D391" i="37"/>
  <c r="D391" i="41" s="1"/>
  <c r="C391" i="37"/>
  <c r="C391" i="41" s="1"/>
  <c r="B391" i="37"/>
  <c r="B391" i="41" s="1"/>
  <c r="A391" i="37"/>
  <c r="A391" i="41" s="1"/>
  <c r="G390" i="37"/>
  <c r="G390" i="41" s="1"/>
  <c r="F390" i="37"/>
  <c r="F390" i="41" s="1"/>
  <c r="E390" i="37"/>
  <c r="E390" i="41" s="1"/>
  <c r="D390" i="37"/>
  <c r="D390" i="41" s="1"/>
  <c r="C390" i="37"/>
  <c r="C390" i="41" s="1"/>
  <c r="B390" i="37"/>
  <c r="B390" i="41" s="1"/>
  <c r="A390" i="37"/>
  <c r="A390" i="41" s="1"/>
  <c r="G389" i="37"/>
  <c r="G389" i="41" s="1"/>
  <c r="F389" i="37"/>
  <c r="F389" i="41" s="1"/>
  <c r="E389" i="37"/>
  <c r="E389" i="41" s="1"/>
  <c r="D389" i="37"/>
  <c r="D389" i="41" s="1"/>
  <c r="C389" i="37"/>
  <c r="C389" i="41" s="1"/>
  <c r="B389" i="37"/>
  <c r="B389" i="41" s="1"/>
  <c r="A389" i="37"/>
  <c r="A389" i="41" s="1"/>
  <c r="G388" i="37"/>
  <c r="G388" i="41" s="1"/>
  <c r="F388" i="37"/>
  <c r="F388" i="41" s="1"/>
  <c r="E388" i="37"/>
  <c r="E388" i="41" s="1"/>
  <c r="D388" i="37"/>
  <c r="D388" i="41" s="1"/>
  <c r="C388" i="37"/>
  <c r="C388" i="41" s="1"/>
  <c r="B388" i="37"/>
  <c r="B388" i="41" s="1"/>
  <c r="A388" i="37"/>
  <c r="A388" i="41" s="1"/>
  <c r="G387" i="37"/>
  <c r="G387" i="41" s="1"/>
  <c r="F387" i="37"/>
  <c r="F387" i="41" s="1"/>
  <c r="E387" i="37"/>
  <c r="E387" i="41" s="1"/>
  <c r="D387" i="37"/>
  <c r="D387" i="41" s="1"/>
  <c r="C387" i="37"/>
  <c r="C387" i="41" s="1"/>
  <c r="B387" i="37"/>
  <c r="B387" i="41" s="1"/>
  <c r="A387" i="37"/>
  <c r="A387" i="41" s="1"/>
  <c r="G386" i="37"/>
  <c r="G386" i="41" s="1"/>
  <c r="F386" i="37"/>
  <c r="F386" i="41" s="1"/>
  <c r="E386" i="37"/>
  <c r="E386" i="41" s="1"/>
  <c r="D386" i="37"/>
  <c r="D386" i="41" s="1"/>
  <c r="C386" i="37"/>
  <c r="C386" i="41" s="1"/>
  <c r="B386" i="37"/>
  <c r="B386" i="41" s="1"/>
  <c r="A386" i="37"/>
  <c r="A386" i="41" s="1"/>
  <c r="G385" i="37"/>
  <c r="G385" i="41" s="1"/>
  <c r="F385" i="37"/>
  <c r="F385" i="41" s="1"/>
  <c r="E385" i="37"/>
  <c r="E385" i="41" s="1"/>
  <c r="D385" i="37"/>
  <c r="D385" i="41" s="1"/>
  <c r="C385" i="37"/>
  <c r="C385" i="41" s="1"/>
  <c r="B385" i="37"/>
  <c r="B385" i="41" s="1"/>
  <c r="A385" i="37"/>
  <c r="A385" i="41" s="1"/>
  <c r="G384" i="37"/>
  <c r="G384" i="41" s="1"/>
  <c r="F384" i="37"/>
  <c r="F384" i="41" s="1"/>
  <c r="E384" i="37"/>
  <c r="E384" i="41" s="1"/>
  <c r="D384" i="37"/>
  <c r="D384" i="41" s="1"/>
  <c r="C384" i="37"/>
  <c r="C384" i="41" s="1"/>
  <c r="B384" i="37"/>
  <c r="B384" i="41" s="1"/>
  <c r="A384" i="37"/>
  <c r="A384" i="41" s="1"/>
  <c r="G383" i="37"/>
  <c r="G383" i="41" s="1"/>
  <c r="F383" i="37"/>
  <c r="F383" i="41" s="1"/>
  <c r="E383" i="37"/>
  <c r="E383" i="41" s="1"/>
  <c r="D383" i="37"/>
  <c r="D383" i="41" s="1"/>
  <c r="C383" i="37"/>
  <c r="C383" i="41" s="1"/>
  <c r="B383" i="37"/>
  <c r="B383" i="41" s="1"/>
  <c r="A383" i="37"/>
  <c r="A383" i="41" s="1"/>
  <c r="G382" i="37"/>
  <c r="G382" i="41" s="1"/>
  <c r="F382" i="37"/>
  <c r="F382" i="41" s="1"/>
  <c r="E382" i="37"/>
  <c r="E382" i="41" s="1"/>
  <c r="D382" i="37"/>
  <c r="D382" i="41" s="1"/>
  <c r="C382" i="37"/>
  <c r="C382" i="41" s="1"/>
  <c r="B382" i="37"/>
  <c r="B382" i="41" s="1"/>
  <c r="A382" i="37"/>
  <c r="A382" i="41" s="1"/>
  <c r="G381" i="37"/>
  <c r="G381" i="41" s="1"/>
  <c r="F381" i="37"/>
  <c r="F381" i="41" s="1"/>
  <c r="E381" i="37"/>
  <c r="E381" i="41" s="1"/>
  <c r="D381" i="37"/>
  <c r="D381" i="41" s="1"/>
  <c r="C381" i="37"/>
  <c r="C381" i="41" s="1"/>
  <c r="B381" i="37"/>
  <c r="B381" i="41" s="1"/>
  <c r="A381" i="37"/>
  <c r="A381" i="41" s="1"/>
  <c r="G380" i="37"/>
  <c r="G380" i="41" s="1"/>
  <c r="F380" i="37"/>
  <c r="F380" i="41" s="1"/>
  <c r="E380" i="37"/>
  <c r="E380" i="41" s="1"/>
  <c r="D380" i="37"/>
  <c r="D380" i="41" s="1"/>
  <c r="C380" i="37"/>
  <c r="C380" i="41" s="1"/>
  <c r="B380" i="37"/>
  <c r="B380" i="41" s="1"/>
  <c r="A380" i="37"/>
  <c r="A380" i="41" s="1"/>
  <c r="G379" i="37"/>
  <c r="G379" i="41" s="1"/>
  <c r="F379" i="37"/>
  <c r="F379" i="41" s="1"/>
  <c r="E379" i="37"/>
  <c r="E379" i="41" s="1"/>
  <c r="D379" i="37"/>
  <c r="D379" i="41" s="1"/>
  <c r="C379" i="37"/>
  <c r="C379" i="41" s="1"/>
  <c r="B379" i="37"/>
  <c r="B379" i="41" s="1"/>
  <c r="A379" i="37"/>
  <c r="A379" i="41" s="1"/>
  <c r="G378" i="37"/>
  <c r="G378" i="41" s="1"/>
  <c r="F378" i="37"/>
  <c r="F378" i="41" s="1"/>
  <c r="E378" i="37"/>
  <c r="E378" i="41" s="1"/>
  <c r="D378" i="37"/>
  <c r="D378" i="41" s="1"/>
  <c r="C378" i="37"/>
  <c r="C378" i="41" s="1"/>
  <c r="B378" i="37"/>
  <c r="B378" i="41" s="1"/>
  <c r="A378" i="37"/>
  <c r="A378" i="41" s="1"/>
  <c r="G377" i="37"/>
  <c r="G377" i="41" s="1"/>
  <c r="F377" i="37"/>
  <c r="F377" i="41" s="1"/>
  <c r="E377" i="37"/>
  <c r="E377" i="41" s="1"/>
  <c r="D377" i="37"/>
  <c r="D377" i="41" s="1"/>
  <c r="C377" i="37"/>
  <c r="C377" i="41" s="1"/>
  <c r="B377" i="37"/>
  <c r="B377" i="41" s="1"/>
  <c r="A377" i="37"/>
  <c r="A377" i="41" s="1"/>
  <c r="G376" i="37"/>
  <c r="G376" i="41" s="1"/>
  <c r="F376" i="37"/>
  <c r="F376" i="41" s="1"/>
  <c r="E376" i="37"/>
  <c r="E376" i="41" s="1"/>
  <c r="D376" i="37"/>
  <c r="D376" i="41" s="1"/>
  <c r="C376" i="37"/>
  <c r="C376" i="41" s="1"/>
  <c r="B376" i="37"/>
  <c r="B376" i="41" s="1"/>
  <c r="A376" i="37"/>
  <c r="A376" i="41" s="1"/>
  <c r="G375" i="37"/>
  <c r="G375" i="41" s="1"/>
  <c r="F375" i="37"/>
  <c r="F375" i="41" s="1"/>
  <c r="E375" i="37"/>
  <c r="E375" i="41" s="1"/>
  <c r="D375" i="37"/>
  <c r="D375" i="41" s="1"/>
  <c r="C375" i="37"/>
  <c r="C375" i="41" s="1"/>
  <c r="B375" i="37"/>
  <c r="B375" i="41" s="1"/>
  <c r="A375" i="37"/>
  <c r="A375" i="41" s="1"/>
  <c r="G374" i="37"/>
  <c r="G374" i="41" s="1"/>
  <c r="F374" i="37"/>
  <c r="F374" i="41" s="1"/>
  <c r="E374" i="37"/>
  <c r="E374" i="41" s="1"/>
  <c r="D374" i="37"/>
  <c r="D374" i="41" s="1"/>
  <c r="C374" i="37"/>
  <c r="C374" i="41" s="1"/>
  <c r="B374" i="37"/>
  <c r="B374" i="41" s="1"/>
  <c r="A374" i="37"/>
  <c r="A374" i="41" s="1"/>
  <c r="G373" i="37"/>
  <c r="G373" i="41" s="1"/>
  <c r="F373" i="37"/>
  <c r="F373" i="41" s="1"/>
  <c r="E373" i="37"/>
  <c r="E373" i="41" s="1"/>
  <c r="D373" i="37"/>
  <c r="D373" i="41" s="1"/>
  <c r="C373" i="37"/>
  <c r="C373" i="41" s="1"/>
  <c r="B373" i="37"/>
  <c r="B373" i="41" s="1"/>
  <c r="A373" i="37"/>
  <c r="A373" i="41" s="1"/>
  <c r="G372" i="37"/>
  <c r="G372" i="41" s="1"/>
  <c r="F372" i="37"/>
  <c r="F372" i="41" s="1"/>
  <c r="E372" i="37"/>
  <c r="E372" i="41" s="1"/>
  <c r="D372" i="37"/>
  <c r="D372" i="41" s="1"/>
  <c r="C372" i="37"/>
  <c r="C372" i="41" s="1"/>
  <c r="B372" i="37"/>
  <c r="B372" i="41" s="1"/>
  <c r="A372" i="37"/>
  <c r="A372" i="41" s="1"/>
  <c r="G371" i="37"/>
  <c r="G371" i="41" s="1"/>
  <c r="F371" i="37"/>
  <c r="F371" i="41" s="1"/>
  <c r="E371" i="37"/>
  <c r="E371" i="41" s="1"/>
  <c r="D371" i="37"/>
  <c r="D371" i="41" s="1"/>
  <c r="C371" i="37"/>
  <c r="C371" i="41" s="1"/>
  <c r="B371" i="37"/>
  <c r="B371" i="41" s="1"/>
  <c r="A371" i="37"/>
  <c r="A371" i="41" s="1"/>
  <c r="G370" i="37"/>
  <c r="G370" i="41" s="1"/>
  <c r="F370" i="37"/>
  <c r="F370" i="41" s="1"/>
  <c r="E370" i="37"/>
  <c r="E370" i="41" s="1"/>
  <c r="D370" i="37"/>
  <c r="D370" i="41" s="1"/>
  <c r="C370" i="37"/>
  <c r="C370" i="41" s="1"/>
  <c r="B370" i="37"/>
  <c r="B370" i="41" s="1"/>
  <c r="A370" i="37"/>
  <c r="A370" i="41" s="1"/>
  <c r="G369" i="37"/>
  <c r="G369" i="41" s="1"/>
  <c r="F369" i="37"/>
  <c r="F369" i="41" s="1"/>
  <c r="E369" i="37"/>
  <c r="E369" i="41" s="1"/>
  <c r="D369" i="37"/>
  <c r="D369" i="41" s="1"/>
  <c r="C369" i="37"/>
  <c r="C369" i="41" s="1"/>
  <c r="B369" i="37"/>
  <c r="B369" i="41" s="1"/>
  <c r="A369" i="37"/>
  <c r="A369" i="41" s="1"/>
  <c r="G368" i="37"/>
  <c r="G368" i="41" s="1"/>
  <c r="F368" i="37"/>
  <c r="F368" i="41" s="1"/>
  <c r="E368" i="37"/>
  <c r="E368" i="41" s="1"/>
  <c r="D368" i="37"/>
  <c r="D368" i="41" s="1"/>
  <c r="C368" i="37"/>
  <c r="C368" i="41" s="1"/>
  <c r="B368" i="37"/>
  <c r="B368" i="41" s="1"/>
  <c r="A368" i="37"/>
  <c r="A368" i="41" s="1"/>
  <c r="G367" i="37"/>
  <c r="G367" i="41" s="1"/>
  <c r="F367" i="37"/>
  <c r="F367" i="41" s="1"/>
  <c r="E367" i="37"/>
  <c r="E367" i="41" s="1"/>
  <c r="D367" i="37"/>
  <c r="D367" i="41" s="1"/>
  <c r="C367" i="37"/>
  <c r="C367" i="41" s="1"/>
  <c r="B367" i="37"/>
  <c r="B367" i="41" s="1"/>
  <c r="A367" i="37"/>
  <c r="A367" i="41" s="1"/>
  <c r="G366" i="37"/>
  <c r="G366" i="41" s="1"/>
  <c r="F366" i="37"/>
  <c r="F366" i="41" s="1"/>
  <c r="E366" i="37"/>
  <c r="E366" i="41" s="1"/>
  <c r="D366" i="37"/>
  <c r="D366" i="41" s="1"/>
  <c r="C366" i="37"/>
  <c r="C366" i="41" s="1"/>
  <c r="B366" i="37"/>
  <c r="B366" i="41" s="1"/>
  <c r="A366" i="37"/>
  <c r="A366" i="41" s="1"/>
  <c r="G365" i="37"/>
  <c r="G365" i="41" s="1"/>
  <c r="F365" i="37"/>
  <c r="F365" i="41" s="1"/>
  <c r="E365" i="37"/>
  <c r="E365" i="41" s="1"/>
  <c r="D365" i="37"/>
  <c r="D365" i="41" s="1"/>
  <c r="C365" i="37"/>
  <c r="C365" i="41" s="1"/>
  <c r="B365" i="37"/>
  <c r="B365" i="41" s="1"/>
  <c r="A365" i="37"/>
  <c r="A365" i="41" s="1"/>
  <c r="G364" i="37"/>
  <c r="G364" i="41" s="1"/>
  <c r="F364" i="37"/>
  <c r="F364" i="41" s="1"/>
  <c r="E364" i="37"/>
  <c r="E364" i="41" s="1"/>
  <c r="D364" i="37"/>
  <c r="D364" i="41" s="1"/>
  <c r="C364" i="37"/>
  <c r="C364" i="41" s="1"/>
  <c r="B364" i="37"/>
  <c r="B364" i="41" s="1"/>
  <c r="A364" i="37"/>
  <c r="A364" i="41" s="1"/>
  <c r="G363" i="37"/>
  <c r="G363" i="41" s="1"/>
  <c r="F363" i="37"/>
  <c r="F363" i="41" s="1"/>
  <c r="E363" i="37"/>
  <c r="E363" i="41" s="1"/>
  <c r="D363" i="37"/>
  <c r="D363" i="41" s="1"/>
  <c r="C363" i="37"/>
  <c r="C363" i="41" s="1"/>
  <c r="B363" i="37"/>
  <c r="B363" i="41" s="1"/>
  <c r="A363" i="37"/>
  <c r="A363" i="41" s="1"/>
  <c r="G362" i="37"/>
  <c r="G362" i="41" s="1"/>
  <c r="F362" i="37"/>
  <c r="F362" i="41" s="1"/>
  <c r="E362" i="37"/>
  <c r="E362" i="41" s="1"/>
  <c r="D362" i="37"/>
  <c r="D362" i="41" s="1"/>
  <c r="C362" i="37"/>
  <c r="C362" i="41" s="1"/>
  <c r="B362" i="37"/>
  <c r="B362" i="41" s="1"/>
  <c r="A362" i="37"/>
  <c r="A362" i="41" s="1"/>
  <c r="G361" i="37"/>
  <c r="G361" i="41" s="1"/>
  <c r="F361" i="37"/>
  <c r="F361" i="41" s="1"/>
  <c r="E361" i="37"/>
  <c r="E361" i="41" s="1"/>
  <c r="D361" i="37"/>
  <c r="D361" i="41" s="1"/>
  <c r="C361" i="37"/>
  <c r="C361" i="41" s="1"/>
  <c r="B361" i="37"/>
  <c r="B361" i="41" s="1"/>
  <c r="A361" i="37"/>
  <c r="A361" i="41" s="1"/>
  <c r="G360" i="37"/>
  <c r="G360" i="41" s="1"/>
  <c r="F360" i="37"/>
  <c r="F360" i="41" s="1"/>
  <c r="E360" i="37"/>
  <c r="E360" i="41" s="1"/>
  <c r="D360" i="37"/>
  <c r="D360" i="41" s="1"/>
  <c r="C360" i="37"/>
  <c r="C360" i="41" s="1"/>
  <c r="B360" i="37"/>
  <c r="B360" i="41" s="1"/>
  <c r="A360" i="37"/>
  <c r="A360" i="41" s="1"/>
  <c r="G359" i="37"/>
  <c r="G359" i="41" s="1"/>
  <c r="F359" i="37"/>
  <c r="F359" i="41" s="1"/>
  <c r="E359" i="37"/>
  <c r="E359" i="41" s="1"/>
  <c r="D359" i="37"/>
  <c r="D359" i="41" s="1"/>
  <c r="C359" i="37"/>
  <c r="C359" i="41" s="1"/>
  <c r="B359" i="37"/>
  <c r="B359" i="41" s="1"/>
  <c r="A359" i="37"/>
  <c r="A359" i="41" s="1"/>
  <c r="G358" i="37"/>
  <c r="G358" i="41" s="1"/>
  <c r="F358" i="37"/>
  <c r="F358" i="41" s="1"/>
  <c r="E358" i="37"/>
  <c r="E358" i="41" s="1"/>
  <c r="D358" i="37"/>
  <c r="D358" i="41" s="1"/>
  <c r="C358" i="37"/>
  <c r="C358" i="41" s="1"/>
  <c r="B358" i="37"/>
  <c r="B358" i="41" s="1"/>
  <c r="A358" i="37"/>
  <c r="A358" i="41" s="1"/>
  <c r="G357" i="37"/>
  <c r="G357" i="41" s="1"/>
  <c r="F357" i="37"/>
  <c r="F357" i="41" s="1"/>
  <c r="E357" i="37"/>
  <c r="E357" i="41" s="1"/>
  <c r="D357" i="37"/>
  <c r="D357" i="41" s="1"/>
  <c r="C357" i="37"/>
  <c r="C357" i="41" s="1"/>
  <c r="B357" i="37"/>
  <c r="B357" i="41" s="1"/>
  <c r="A357" i="37"/>
  <c r="A357" i="41" s="1"/>
  <c r="G356" i="37"/>
  <c r="G356" i="41" s="1"/>
  <c r="F356" i="37"/>
  <c r="F356" i="41" s="1"/>
  <c r="E356" i="37"/>
  <c r="E356" i="41" s="1"/>
  <c r="D356" i="37"/>
  <c r="D356" i="41" s="1"/>
  <c r="C356" i="37"/>
  <c r="C356" i="41" s="1"/>
  <c r="B356" i="37"/>
  <c r="B356" i="41" s="1"/>
  <c r="A356" i="37"/>
  <c r="A356" i="41" s="1"/>
  <c r="G355" i="37"/>
  <c r="G355" i="41" s="1"/>
  <c r="F355" i="37"/>
  <c r="F355" i="41" s="1"/>
  <c r="E355" i="37"/>
  <c r="E355" i="41" s="1"/>
  <c r="D355" i="37"/>
  <c r="D355" i="41" s="1"/>
  <c r="C355" i="37"/>
  <c r="C355" i="41" s="1"/>
  <c r="B355" i="37"/>
  <c r="B355" i="41" s="1"/>
  <c r="A355" i="37"/>
  <c r="A355" i="41" s="1"/>
  <c r="G354" i="37"/>
  <c r="G354" i="41" s="1"/>
  <c r="F354" i="37"/>
  <c r="F354" i="41" s="1"/>
  <c r="E354" i="37"/>
  <c r="E354" i="41" s="1"/>
  <c r="D354" i="37"/>
  <c r="D354" i="41" s="1"/>
  <c r="C354" i="37"/>
  <c r="C354" i="41" s="1"/>
  <c r="B354" i="37"/>
  <c r="B354" i="41" s="1"/>
  <c r="A354" i="37"/>
  <c r="A354" i="41" s="1"/>
  <c r="G353" i="37"/>
  <c r="G353" i="41" s="1"/>
  <c r="F353" i="37"/>
  <c r="F353" i="41" s="1"/>
  <c r="E353" i="37"/>
  <c r="E353" i="41" s="1"/>
  <c r="D353" i="37"/>
  <c r="D353" i="41" s="1"/>
  <c r="C353" i="37"/>
  <c r="C353" i="41" s="1"/>
  <c r="B353" i="37"/>
  <c r="B353" i="41" s="1"/>
  <c r="A353" i="37"/>
  <c r="A353" i="41" s="1"/>
  <c r="G352" i="37"/>
  <c r="G352" i="41" s="1"/>
  <c r="F352" i="37"/>
  <c r="F352" i="41" s="1"/>
  <c r="E352" i="37"/>
  <c r="E352" i="41" s="1"/>
  <c r="D352" i="37"/>
  <c r="D352" i="41" s="1"/>
  <c r="C352" i="37"/>
  <c r="C352" i="41" s="1"/>
  <c r="B352" i="37"/>
  <c r="B352" i="41" s="1"/>
  <c r="A352" i="37"/>
  <c r="A352" i="41" s="1"/>
  <c r="G351" i="37"/>
  <c r="G351" i="41" s="1"/>
  <c r="F351" i="37"/>
  <c r="F351" i="41" s="1"/>
  <c r="E351" i="37"/>
  <c r="E351" i="41" s="1"/>
  <c r="D351" i="37"/>
  <c r="D351" i="41" s="1"/>
  <c r="C351" i="37"/>
  <c r="C351" i="41" s="1"/>
  <c r="B351" i="37"/>
  <c r="B351" i="41" s="1"/>
  <c r="A351" i="37"/>
  <c r="A351" i="41" s="1"/>
  <c r="G350" i="37"/>
  <c r="G350" i="41" s="1"/>
  <c r="F350" i="37"/>
  <c r="F350" i="41" s="1"/>
  <c r="E350" i="37"/>
  <c r="E350" i="41" s="1"/>
  <c r="D350" i="37"/>
  <c r="D350" i="41" s="1"/>
  <c r="C350" i="37"/>
  <c r="C350" i="41" s="1"/>
  <c r="B350" i="37"/>
  <c r="B350" i="41" s="1"/>
  <c r="A350" i="37"/>
  <c r="A350" i="41" s="1"/>
  <c r="G349" i="37"/>
  <c r="G349" i="41" s="1"/>
  <c r="F349" i="37"/>
  <c r="F349" i="41" s="1"/>
  <c r="E349" i="37"/>
  <c r="E349" i="41" s="1"/>
  <c r="D349" i="37"/>
  <c r="D349" i="41" s="1"/>
  <c r="C349" i="37"/>
  <c r="C349" i="41" s="1"/>
  <c r="B349" i="37"/>
  <c r="B349" i="41" s="1"/>
  <c r="A349" i="37"/>
  <c r="A349" i="41" s="1"/>
  <c r="G348" i="37"/>
  <c r="G348" i="41" s="1"/>
  <c r="F348" i="37"/>
  <c r="F348" i="41" s="1"/>
  <c r="E348" i="37"/>
  <c r="E348" i="41" s="1"/>
  <c r="D348" i="37"/>
  <c r="D348" i="41" s="1"/>
  <c r="C348" i="37"/>
  <c r="C348" i="41" s="1"/>
  <c r="B348" i="37"/>
  <c r="B348" i="41" s="1"/>
  <c r="A348" i="37"/>
  <c r="A348" i="41" s="1"/>
  <c r="G347" i="37"/>
  <c r="G347" i="41" s="1"/>
  <c r="F347" i="37"/>
  <c r="F347" i="41" s="1"/>
  <c r="E347" i="37"/>
  <c r="E347" i="41" s="1"/>
  <c r="D347" i="37"/>
  <c r="D347" i="41" s="1"/>
  <c r="C347" i="37"/>
  <c r="C347" i="41" s="1"/>
  <c r="B347" i="37"/>
  <c r="B347" i="41" s="1"/>
  <c r="A347" i="37"/>
  <c r="A347" i="41" s="1"/>
  <c r="G346" i="37"/>
  <c r="G346" i="41" s="1"/>
  <c r="F346" i="37"/>
  <c r="F346" i="41" s="1"/>
  <c r="E346" i="37"/>
  <c r="E346" i="41" s="1"/>
  <c r="D346" i="37"/>
  <c r="D346" i="41" s="1"/>
  <c r="C346" i="37"/>
  <c r="C346" i="41" s="1"/>
  <c r="B346" i="37"/>
  <c r="B346" i="41" s="1"/>
  <c r="A346" i="37"/>
  <c r="A346" i="41" s="1"/>
  <c r="G345" i="37"/>
  <c r="G345" i="41" s="1"/>
  <c r="F345" i="37"/>
  <c r="F345" i="41" s="1"/>
  <c r="E345" i="37"/>
  <c r="E345" i="41" s="1"/>
  <c r="D345" i="37"/>
  <c r="D345" i="41" s="1"/>
  <c r="C345" i="37"/>
  <c r="C345" i="41" s="1"/>
  <c r="B345" i="37"/>
  <c r="B345" i="41" s="1"/>
  <c r="A345" i="37"/>
  <c r="A345" i="41" s="1"/>
  <c r="G344" i="37"/>
  <c r="G344" i="41" s="1"/>
  <c r="F344" i="37"/>
  <c r="F344" i="41" s="1"/>
  <c r="E344" i="37"/>
  <c r="E344" i="41" s="1"/>
  <c r="D344" i="37"/>
  <c r="D344" i="41" s="1"/>
  <c r="C344" i="37"/>
  <c r="C344" i="41" s="1"/>
  <c r="B344" i="37"/>
  <c r="B344" i="41" s="1"/>
  <c r="A344" i="37"/>
  <c r="A344" i="41" s="1"/>
  <c r="G343" i="37"/>
  <c r="G343" i="41" s="1"/>
  <c r="F343" i="37"/>
  <c r="F343" i="41" s="1"/>
  <c r="E343" i="37"/>
  <c r="E343" i="41" s="1"/>
  <c r="D343" i="37"/>
  <c r="D343" i="41" s="1"/>
  <c r="C343" i="37"/>
  <c r="C343" i="41" s="1"/>
  <c r="B343" i="37"/>
  <c r="B343" i="41" s="1"/>
  <c r="A343" i="37"/>
  <c r="A343" i="41" s="1"/>
  <c r="G342" i="37"/>
  <c r="G342" i="41" s="1"/>
  <c r="F342" i="37"/>
  <c r="F342" i="41" s="1"/>
  <c r="E342" i="37"/>
  <c r="E342" i="41" s="1"/>
  <c r="D342" i="37"/>
  <c r="D342" i="41" s="1"/>
  <c r="C342" i="37"/>
  <c r="C342" i="41" s="1"/>
  <c r="B342" i="37"/>
  <c r="B342" i="41" s="1"/>
  <c r="A342" i="37"/>
  <c r="A342" i="41" s="1"/>
  <c r="G341" i="37"/>
  <c r="G341" i="41" s="1"/>
  <c r="F341" i="37"/>
  <c r="F341" i="41" s="1"/>
  <c r="E341" i="37"/>
  <c r="E341" i="41" s="1"/>
  <c r="D341" i="37"/>
  <c r="D341" i="41" s="1"/>
  <c r="C341" i="37"/>
  <c r="C341" i="41" s="1"/>
  <c r="B341" i="37"/>
  <c r="B341" i="41" s="1"/>
  <c r="A341" i="37"/>
  <c r="A341" i="41" s="1"/>
  <c r="G340" i="37"/>
  <c r="G340" i="41" s="1"/>
  <c r="F340" i="37"/>
  <c r="F340" i="41" s="1"/>
  <c r="E340" i="37"/>
  <c r="E340" i="41" s="1"/>
  <c r="D340" i="37"/>
  <c r="D340" i="41" s="1"/>
  <c r="C340" i="37"/>
  <c r="C340" i="41" s="1"/>
  <c r="B340" i="37"/>
  <c r="B340" i="41" s="1"/>
  <c r="A340" i="37"/>
  <c r="A340" i="41" s="1"/>
  <c r="G339" i="37"/>
  <c r="G339" i="41" s="1"/>
  <c r="F339" i="37"/>
  <c r="F339" i="41" s="1"/>
  <c r="E339" i="37"/>
  <c r="E339" i="41" s="1"/>
  <c r="D339" i="37"/>
  <c r="D339" i="41" s="1"/>
  <c r="C339" i="37"/>
  <c r="C339" i="41" s="1"/>
  <c r="B339" i="37"/>
  <c r="B339" i="41" s="1"/>
  <c r="A339" i="37"/>
  <c r="A339" i="41" s="1"/>
  <c r="G338" i="37"/>
  <c r="G338" i="41" s="1"/>
  <c r="F338" i="37"/>
  <c r="F338" i="41" s="1"/>
  <c r="E338" i="37"/>
  <c r="E338" i="41" s="1"/>
  <c r="D338" i="37"/>
  <c r="D338" i="41" s="1"/>
  <c r="C338" i="37"/>
  <c r="C338" i="41" s="1"/>
  <c r="B338" i="37"/>
  <c r="B338" i="41" s="1"/>
  <c r="A338" i="37"/>
  <c r="A338" i="41" s="1"/>
  <c r="G337" i="37"/>
  <c r="G337" i="41" s="1"/>
  <c r="F337" i="37"/>
  <c r="F337" i="41" s="1"/>
  <c r="E337" i="37"/>
  <c r="E337" i="41" s="1"/>
  <c r="D337" i="37"/>
  <c r="D337" i="41" s="1"/>
  <c r="C337" i="37"/>
  <c r="C337" i="41" s="1"/>
  <c r="B337" i="37"/>
  <c r="B337" i="41" s="1"/>
  <c r="A337" i="37"/>
  <c r="A337" i="41" s="1"/>
  <c r="G336" i="37"/>
  <c r="G336" i="41" s="1"/>
  <c r="F336" i="37"/>
  <c r="F336" i="41" s="1"/>
  <c r="E336" i="37"/>
  <c r="E336" i="41" s="1"/>
  <c r="D336" i="37"/>
  <c r="D336" i="41" s="1"/>
  <c r="C336" i="37"/>
  <c r="C336" i="41" s="1"/>
  <c r="B336" i="37"/>
  <c r="B336" i="41" s="1"/>
  <c r="A336" i="37"/>
  <c r="A336" i="41" s="1"/>
  <c r="G335" i="37"/>
  <c r="G335" i="41" s="1"/>
  <c r="F335" i="37"/>
  <c r="F335" i="41" s="1"/>
  <c r="E335" i="37"/>
  <c r="E335" i="41" s="1"/>
  <c r="D335" i="37"/>
  <c r="D335" i="41" s="1"/>
  <c r="C335" i="37"/>
  <c r="C335" i="41" s="1"/>
  <c r="B335" i="37"/>
  <c r="B335" i="41" s="1"/>
  <c r="A335" i="37"/>
  <c r="A335" i="41" s="1"/>
  <c r="G334" i="37"/>
  <c r="G334" i="41" s="1"/>
  <c r="F334" i="37"/>
  <c r="F334" i="41" s="1"/>
  <c r="E334" i="37"/>
  <c r="E334" i="41" s="1"/>
  <c r="D334" i="37"/>
  <c r="D334" i="41" s="1"/>
  <c r="C334" i="37"/>
  <c r="C334" i="41" s="1"/>
  <c r="B334" i="37"/>
  <c r="B334" i="41" s="1"/>
  <c r="A334" i="37"/>
  <c r="A334" i="41" s="1"/>
  <c r="G333" i="37"/>
  <c r="G333" i="41" s="1"/>
  <c r="F333" i="37"/>
  <c r="F333" i="41" s="1"/>
  <c r="E333" i="37"/>
  <c r="E333" i="41" s="1"/>
  <c r="D333" i="37"/>
  <c r="D333" i="41" s="1"/>
  <c r="C333" i="37"/>
  <c r="C333" i="41" s="1"/>
  <c r="B333" i="37"/>
  <c r="B333" i="41" s="1"/>
  <c r="A333" i="37"/>
  <c r="A333" i="41" s="1"/>
  <c r="G332" i="37"/>
  <c r="G332" i="41" s="1"/>
  <c r="F332" i="37"/>
  <c r="F332" i="41" s="1"/>
  <c r="E332" i="37"/>
  <c r="E332" i="41" s="1"/>
  <c r="D332" i="37"/>
  <c r="D332" i="41" s="1"/>
  <c r="C332" i="37"/>
  <c r="C332" i="41" s="1"/>
  <c r="B332" i="37"/>
  <c r="B332" i="41" s="1"/>
  <c r="A332" i="37"/>
  <c r="A332" i="41" s="1"/>
  <c r="G331" i="37"/>
  <c r="G331" i="41" s="1"/>
  <c r="F331" i="37"/>
  <c r="F331" i="41" s="1"/>
  <c r="E331" i="37"/>
  <c r="E331" i="41" s="1"/>
  <c r="D331" i="37"/>
  <c r="D331" i="41" s="1"/>
  <c r="C331" i="37"/>
  <c r="C331" i="41" s="1"/>
  <c r="B331" i="37"/>
  <c r="B331" i="41" s="1"/>
  <c r="A331" i="37"/>
  <c r="A331" i="41" s="1"/>
  <c r="G330" i="37"/>
  <c r="G330" i="41" s="1"/>
  <c r="F330" i="37"/>
  <c r="F330" i="41" s="1"/>
  <c r="E330" i="37"/>
  <c r="E330" i="41" s="1"/>
  <c r="D330" i="37"/>
  <c r="D330" i="41" s="1"/>
  <c r="C330" i="37"/>
  <c r="C330" i="41" s="1"/>
  <c r="B330" i="37"/>
  <c r="B330" i="41" s="1"/>
  <c r="A330" i="37"/>
  <c r="A330" i="41" s="1"/>
  <c r="G329" i="37"/>
  <c r="G329" i="41" s="1"/>
  <c r="F329" i="37"/>
  <c r="F329" i="41" s="1"/>
  <c r="E329" i="37"/>
  <c r="E329" i="41" s="1"/>
  <c r="D329" i="37"/>
  <c r="D329" i="41" s="1"/>
  <c r="C329" i="37"/>
  <c r="C329" i="41" s="1"/>
  <c r="B329" i="37"/>
  <c r="B329" i="41" s="1"/>
  <c r="A329" i="37"/>
  <c r="A329" i="41" s="1"/>
  <c r="G328" i="37"/>
  <c r="G328" i="41" s="1"/>
  <c r="F328" i="37"/>
  <c r="F328" i="41" s="1"/>
  <c r="E328" i="37"/>
  <c r="E328" i="41" s="1"/>
  <c r="D328" i="37"/>
  <c r="D328" i="41" s="1"/>
  <c r="C328" i="37"/>
  <c r="C328" i="41" s="1"/>
  <c r="B328" i="37"/>
  <c r="B328" i="41" s="1"/>
  <c r="A328" i="37"/>
  <c r="A328" i="41" s="1"/>
  <c r="G327" i="37"/>
  <c r="G327" i="41" s="1"/>
  <c r="F327" i="37"/>
  <c r="F327" i="41" s="1"/>
  <c r="E327" i="37"/>
  <c r="E327" i="41" s="1"/>
  <c r="D327" i="37"/>
  <c r="D327" i="41" s="1"/>
  <c r="C327" i="37"/>
  <c r="C327" i="41" s="1"/>
  <c r="B327" i="37"/>
  <c r="B327" i="41" s="1"/>
  <c r="A327" i="37"/>
  <c r="A327" i="41" s="1"/>
  <c r="G326" i="37"/>
  <c r="G326" i="41" s="1"/>
  <c r="F326" i="37"/>
  <c r="F326" i="41" s="1"/>
  <c r="E326" i="37"/>
  <c r="E326" i="41" s="1"/>
  <c r="D326" i="37"/>
  <c r="D326" i="41" s="1"/>
  <c r="C326" i="37"/>
  <c r="C326" i="41" s="1"/>
  <c r="B326" i="37"/>
  <c r="B326" i="41" s="1"/>
  <c r="A326" i="37"/>
  <c r="A326" i="41" s="1"/>
  <c r="G325" i="37"/>
  <c r="G325" i="41" s="1"/>
  <c r="F325" i="37"/>
  <c r="F325" i="41" s="1"/>
  <c r="E325" i="37"/>
  <c r="E325" i="41" s="1"/>
  <c r="D325" i="37"/>
  <c r="D325" i="41" s="1"/>
  <c r="C325" i="37"/>
  <c r="C325" i="41" s="1"/>
  <c r="B325" i="37"/>
  <c r="B325" i="41" s="1"/>
  <c r="A325" i="37"/>
  <c r="A325" i="41" s="1"/>
  <c r="G324" i="37"/>
  <c r="G324" i="41" s="1"/>
  <c r="F324" i="37"/>
  <c r="F324" i="41" s="1"/>
  <c r="E324" i="37"/>
  <c r="E324" i="41" s="1"/>
  <c r="D324" i="37"/>
  <c r="D324" i="41" s="1"/>
  <c r="C324" i="37"/>
  <c r="C324" i="41" s="1"/>
  <c r="B324" i="37"/>
  <c r="B324" i="41" s="1"/>
  <c r="A324" i="37"/>
  <c r="A324" i="41" s="1"/>
  <c r="G323" i="37"/>
  <c r="G323" i="41" s="1"/>
  <c r="F323" i="37"/>
  <c r="F323" i="41" s="1"/>
  <c r="E323" i="37"/>
  <c r="E323" i="41" s="1"/>
  <c r="D323" i="37"/>
  <c r="D323" i="41" s="1"/>
  <c r="C323" i="37"/>
  <c r="C323" i="41" s="1"/>
  <c r="B323" i="37"/>
  <c r="B323" i="41" s="1"/>
  <c r="A323" i="37"/>
  <c r="A323" i="41" s="1"/>
  <c r="G322" i="37"/>
  <c r="G322" i="41" s="1"/>
  <c r="F322" i="37"/>
  <c r="F322" i="41" s="1"/>
  <c r="E322" i="37"/>
  <c r="E322" i="41" s="1"/>
  <c r="D322" i="37"/>
  <c r="D322" i="41" s="1"/>
  <c r="C322" i="37"/>
  <c r="C322" i="41" s="1"/>
  <c r="B322" i="37"/>
  <c r="B322" i="41" s="1"/>
  <c r="A322" i="37"/>
  <c r="A322" i="41" s="1"/>
  <c r="G321" i="37"/>
  <c r="G321" i="41" s="1"/>
  <c r="F321" i="37"/>
  <c r="F321" i="41" s="1"/>
  <c r="E321" i="37"/>
  <c r="E321" i="41" s="1"/>
  <c r="D321" i="37"/>
  <c r="D321" i="41" s="1"/>
  <c r="C321" i="37"/>
  <c r="C321" i="41" s="1"/>
  <c r="B321" i="37"/>
  <c r="B321" i="41" s="1"/>
  <c r="A321" i="37"/>
  <c r="A321" i="41" s="1"/>
  <c r="G320" i="37"/>
  <c r="G320" i="41" s="1"/>
  <c r="F320" i="37"/>
  <c r="F320" i="41" s="1"/>
  <c r="E320" i="37"/>
  <c r="E320" i="41" s="1"/>
  <c r="D320" i="37"/>
  <c r="D320" i="41" s="1"/>
  <c r="C320" i="37"/>
  <c r="C320" i="41" s="1"/>
  <c r="B320" i="37"/>
  <c r="B320" i="41" s="1"/>
  <c r="A320" i="37"/>
  <c r="A320" i="41" s="1"/>
  <c r="G319" i="37"/>
  <c r="G319" i="41" s="1"/>
  <c r="F319" i="37"/>
  <c r="F319" i="41" s="1"/>
  <c r="E319" i="37"/>
  <c r="E319" i="41" s="1"/>
  <c r="D319" i="37"/>
  <c r="D319" i="41" s="1"/>
  <c r="C319" i="37"/>
  <c r="C319" i="41" s="1"/>
  <c r="B319" i="37"/>
  <c r="B319" i="41" s="1"/>
  <c r="A319" i="37"/>
  <c r="A319" i="41" s="1"/>
  <c r="G318" i="37"/>
  <c r="G318" i="41" s="1"/>
  <c r="F318" i="37"/>
  <c r="F318" i="41" s="1"/>
  <c r="E318" i="37"/>
  <c r="E318" i="41" s="1"/>
  <c r="D318" i="37"/>
  <c r="D318" i="41" s="1"/>
  <c r="C318" i="37"/>
  <c r="C318" i="41" s="1"/>
  <c r="B318" i="37"/>
  <c r="B318" i="41" s="1"/>
  <c r="A318" i="37"/>
  <c r="A318" i="41" s="1"/>
  <c r="G317" i="37"/>
  <c r="G317" i="41" s="1"/>
  <c r="F317" i="37"/>
  <c r="F317" i="41" s="1"/>
  <c r="E317" i="37"/>
  <c r="E317" i="41" s="1"/>
  <c r="D317" i="37"/>
  <c r="D317" i="41" s="1"/>
  <c r="C317" i="37"/>
  <c r="C317" i="41" s="1"/>
  <c r="B317" i="37"/>
  <c r="B317" i="41" s="1"/>
  <c r="A317" i="37"/>
  <c r="A317" i="41" s="1"/>
  <c r="G316" i="37"/>
  <c r="G316" i="41" s="1"/>
  <c r="F316" i="37"/>
  <c r="F316" i="41" s="1"/>
  <c r="E316" i="37"/>
  <c r="E316" i="41" s="1"/>
  <c r="D316" i="37"/>
  <c r="D316" i="41" s="1"/>
  <c r="C316" i="37"/>
  <c r="C316" i="41" s="1"/>
  <c r="B316" i="37"/>
  <c r="B316" i="41" s="1"/>
  <c r="A316" i="37"/>
  <c r="A316" i="41" s="1"/>
  <c r="G315" i="37"/>
  <c r="G315" i="41" s="1"/>
  <c r="F315" i="37"/>
  <c r="F315" i="41" s="1"/>
  <c r="E315" i="37"/>
  <c r="E315" i="41" s="1"/>
  <c r="D315" i="37"/>
  <c r="D315" i="41" s="1"/>
  <c r="C315" i="37"/>
  <c r="C315" i="41" s="1"/>
  <c r="B315" i="37"/>
  <c r="B315" i="41" s="1"/>
  <c r="A315" i="37"/>
  <c r="A315" i="41" s="1"/>
  <c r="G314" i="37"/>
  <c r="G314" i="41" s="1"/>
  <c r="F314" i="37"/>
  <c r="F314" i="41" s="1"/>
  <c r="E314" i="37"/>
  <c r="E314" i="41" s="1"/>
  <c r="D314" i="37"/>
  <c r="D314" i="41" s="1"/>
  <c r="C314" i="37"/>
  <c r="C314" i="41" s="1"/>
  <c r="B314" i="37"/>
  <c r="B314" i="41" s="1"/>
  <c r="A314" i="37"/>
  <c r="A314" i="41" s="1"/>
  <c r="G313" i="37"/>
  <c r="G313" i="41" s="1"/>
  <c r="F313" i="37"/>
  <c r="F313" i="41" s="1"/>
  <c r="E313" i="37"/>
  <c r="E313" i="41" s="1"/>
  <c r="D313" i="37"/>
  <c r="D313" i="41" s="1"/>
  <c r="C313" i="37"/>
  <c r="C313" i="41" s="1"/>
  <c r="B313" i="37"/>
  <c r="B313" i="41" s="1"/>
  <c r="A313" i="37"/>
  <c r="A313" i="41" s="1"/>
  <c r="G312" i="37"/>
  <c r="G312" i="41" s="1"/>
  <c r="F312" i="37"/>
  <c r="F312" i="41" s="1"/>
  <c r="E312" i="37"/>
  <c r="E312" i="41" s="1"/>
  <c r="D312" i="37"/>
  <c r="D312" i="41" s="1"/>
  <c r="C312" i="37"/>
  <c r="C312" i="41" s="1"/>
  <c r="B312" i="37"/>
  <c r="B312" i="41" s="1"/>
  <c r="A312" i="37"/>
  <c r="A312" i="41" s="1"/>
  <c r="G311" i="37"/>
  <c r="G311" i="41" s="1"/>
  <c r="F311" i="37"/>
  <c r="F311" i="41" s="1"/>
  <c r="E311" i="37"/>
  <c r="E311" i="41" s="1"/>
  <c r="D311" i="37"/>
  <c r="D311" i="41" s="1"/>
  <c r="C311" i="37"/>
  <c r="C311" i="41" s="1"/>
  <c r="B311" i="37"/>
  <c r="B311" i="41" s="1"/>
  <c r="A311" i="37"/>
  <c r="A311" i="41" s="1"/>
  <c r="G310" i="37"/>
  <c r="G310" i="41" s="1"/>
  <c r="F310" i="37"/>
  <c r="F310" i="41" s="1"/>
  <c r="E310" i="37"/>
  <c r="E310" i="41" s="1"/>
  <c r="D310" i="37"/>
  <c r="D310" i="41" s="1"/>
  <c r="C310" i="37"/>
  <c r="C310" i="41" s="1"/>
  <c r="B310" i="37"/>
  <c r="B310" i="41" s="1"/>
  <c r="A310" i="37"/>
  <c r="A310" i="41" s="1"/>
  <c r="G309" i="37"/>
  <c r="G309" i="41" s="1"/>
  <c r="F309" i="37"/>
  <c r="F309" i="41" s="1"/>
  <c r="E309" i="37"/>
  <c r="E309" i="41" s="1"/>
  <c r="D309" i="37"/>
  <c r="D309" i="41" s="1"/>
  <c r="C309" i="37"/>
  <c r="C309" i="41" s="1"/>
  <c r="B309" i="37"/>
  <c r="B309" i="41" s="1"/>
  <c r="A309" i="37"/>
  <c r="A309" i="41" s="1"/>
  <c r="G308" i="37"/>
  <c r="G308" i="41" s="1"/>
  <c r="F308" i="37"/>
  <c r="F308" i="41" s="1"/>
  <c r="E308" i="37"/>
  <c r="E308" i="41" s="1"/>
  <c r="D308" i="37"/>
  <c r="D308" i="41" s="1"/>
  <c r="C308" i="37"/>
  <c r="C308" i="41" s="1"/>
  <c r="B308" i="37"/>
  <c r="B308" i="41" s="1"/>
  <c r="A308" i="37"/>
  <c r="A308" i="41" s="1"/>
  <c r="G307" i="37"/>
  <c r="G307" i="41" s="1"/>
  <c r="F307" i="37"/>
  <c r="F307" i="41" s="1"/>
  <c r="E307" i="37"/>
  <c r="E307" i="41" s="1"/>
  <c r="D307" i="37"/>
  <c r="D307" i="41" s="1"/>
  <c r="C307" i="37"/>
  <c r="C307" i="41" s="1"/>
  <c r="B307" i="37"/>
  <c r="B307" i="41" s="1"/>
  <c r="A307" i="37"/>
  <c r="A307" i="41" s="1"/>
  <c r="G306" i="37"/>
  <c r="G306" i="41" s="1"/>
  <c r="F306" i="37"/>
  <c r="F306" i="41" s="1"/>
  <c r="E306" i="37"/>
  <c r="E306" i="41" s="1"/>
  <c r="D306" i="37"/>
  <c r="D306" i="41" s="1"/>
  <c r="C306" i="37"/>
  <c r="C306" i="41" s="1"/>
  <c r="B306" i="37"/>
  <c r="B306" i="41" s="1"/>
  <c r="A306" i="37"/>
  <c r="A306" i="41" s="1"/>
  <c r="G305" i="37"/>
  <c r="G305" i="41" s="1"/>
  <c r="F305" i="37"/>
  <c r="F305" i="41" s="1"/>
  <c r="E305" i="37"/>
  <c r="E305" i="41" s="1"/>
  <c r="D305" i="37"/>
  <c r="D305" i="41" s="1"/>
  <c r="C305" i="37"/>
  <c r="C305" i="41" s="1"/>
  <c r="B305" i="37"/>
  <c r="B305" i="41" s="1"/>
  <c r="A305" i="37"/>
  <c r="A305" i="41" s="1"/>
  <c r="G304" i="37"/>
  <c r="G304" i="41" s="1"/>
  <c r="F304" i="37"/>
  <c r="F304" i="41" s="1"/>
  <c r="E304" i="37"/>
  <c r="E304" i="41" s="1"/>
  <c r="D304" i="37"/>
  <c r="D304" i="41" s="1"/>
  <c r="C304" i="37"/>
  <c r="C304" i="41" s="1"/>
  <c r="B304" i="37"/>
  <c r="B304" i="41" s="1"/>
  <c r="A304" i="37"/>
  <c r="A304" i="41" s="1"/>
  <c r="G303" i="37"/>
  <c r="G303" i="41" s="1"/>
  <c r="F303" i="37"/>
  <c r="F303" i="41" s="1"/>
  <c r="E303" i="37"/>
  <c r="E303" i="41" s="1"/>
  <c r="D303" i="37"/>
  <c r="D303" i="41" s="1"/>
  <c r="C303" i="37"/>
  <c r="C303" i="41" s="1"/>
  <c r="B303" i="37"/>
  <c r="B303" i="41" s="1"/>
  <c r="A303" i="37"/>
  <c r="A303" i="41" s="1"/>
  <c r="G302" i="37"/>
  <c r="G302" i="41" s="1"/>
  <c r="F302" i="37"/>
  <c r="F302" i="41" s="1"/>
  <c r="E302" i="37"/>
  <c r="E302" i="41" s="1"/>
  <c r="D302" i="37"/>
  <c r="D302" i="41" s="1"/>
  <c r="C302" i="37"/>
  <c r="C302" i="41" s="1"/>
  <c r="B302" i="37"/>
  <c r="B302" i="41" s="1"/>
  <c r="A302" i="37"/>
  <c r="A302" i="41" s="1"/>
  <c r="G301" i="37"/>
  <c r="G301" i="41" s="1"/>
  <c r="F301" i="37"/>
  <c r="F301" i="41" s="1"/>
  <c r="E301" i="37"/>
  <c r="E301" i="41" s="1"/>
  <c r="D301" i="37"/>
  <c r="D301" i="41" s="1"/>
  <c r="C301" i="37"/>
  <c r="C301" i="41" s="1"/>
  <c r="B301" i="37"/>
  <c r="B301" i="41" s="1"/>
  <c r="A301" i="37"/>
  <c r="A301" i="41" s="1"/>
  <c r="G300" i="37"/>
  <c r="G300" i="41" s="1"/>
  <c r="F300" i="37"/>
  <c r="F300" i="41" s="1"/>
  <c r="E300" i="37"/>
  <c r="E300" i="41" s="1"/>
  <c r="D300" i="37"/>
  <c r="D300" i="41" s="1"/>
  <c r="C300" i="37"/>
  <c r="C300" i="41" s="1"/>
  <c r="B300" i="37"/>
  <c r="B300" i="41" s="1"/>
  <c r="A300" i="37"/>
  <c r="A300" i="41" s="1"/>
  <c r="G299" i="37"/>
  <c r="G299" i="41" s="1"/>
  <c r="F299" i="37"/>
  <c r="F299" i="41" s="1"/>
  <c r="E299" i="37"/>
  <c r="E299" i="41" s="1"/>
  <c r="D299" i="37"/>
  <c r="D299" i="41" s="1"/>
  <c r="C299" i="37"/>
  <c r="C299" i="41" s="1"/>
  <c r="B299" i="37"/>
  <c r="B299" i="41" s="1"/>
  <c r="A299" i="37"/>
  <c r="A299" i="41" s="1"/>
  <c r="G298" i="37"/>
  <c r="G298" i="41" s="1"/>
  <c r="F298" i="37"/>
  <c r="F298" i="41" s="1"/>
  <c r="E298" i="37"/>
  <c r="E298" i="41" s="1"/>
  <c r="D298" i="37"/>
  <c r="D298" i="41" s="1"/>
  <c r="C298" i="37"/>
  <c r="C298" i="41" s="1"/>
  <c r="B298" i="37"/>
  <c r="B298" i="41" s="1"/>
  <c r="A298" i="37"/>
  <c r="A298" i="41" s="1"/>
  <c r="G297" i="37"/>
  <c r="G297" i="41" s="1"/>
  <c r="F297" i="37"/>
  <c r="F297" i="41" s="1"/>
  <c r="E297" i="37"/>
  <c r="E297" i="41" s="1"/>
  <c r="D297" i="37"/>
  <c r="D297" i="41" s="1"/>
  <c r="C297" i="37"/>
  <c r="C297" i="41" s="1"/>
  <c r="B297" i="37"/>
  <c r="B297" i="41" s="1"/>
  <c r="A297" i="37"/>
  <c r="A297" i="41" s="1"/>
  <c r="G296" i="37"/>
  <c r="G296" i="41" s="1"/>
  <c r="F296" i="37"/>
  <c r="F296" i="41" s="1"/>
  <c r="E296" i="37"/>
  <c r="E296" i="41" s="1"/>
  <c r="D296" i="37"/>
  <c r="D296" i="41" s="1"/>
  <c r="C296" i="37"/>
  <c r="C296" i="41" s="1"/>
  <c r="B296" i="37"/>
  <c r="B296" i="41" s="1"/>
  <c r="A296" i="37"/>
  <c r="A296" i="41" s="1"/>
  <c r="G295" i="37"/>
  <c r="G295" i="41" s="1"/>
  <c r="F295" i="37"/>
  <c r="F295" i="41" s="1"/>
  <c r="E295" i="37"/>
  <c r="E295" i="41" s="1"/>
  <c r="D295" i="37"/>
  <c r="D295" i="41" s="1"/>
  <c r="C295" i="37"/>
  <c r="C295" i="41" s="1"/>
  <c r="B295" i="37"/>
  <c r="B295" i="41" s="1"/>
  <c r="A295" i="37"/>
  <c r="A295" i="41" s="1"/>
  <c r="G294" i="37"/>
  <c r="G294" i="41" s="1"/>
  <c r="F294" i="37"/>
  <c r="F294" i="41" s="1"/>
  <c r="E294" i="37"/>
  <c r="E294" i="41" s="1"/>
  <c r="D294" i="37"/>
  <c r="D294" i="41" s="1"/>
  <c r="C294" i="37"/>
  <c r="C294" i="41" s="1"/>
  <c r="B294" i="37"/>
  <c r="B294" i="41" s="1"/>
  <c r="A294" i="37"/>
  <c r="A294" i="41" s="1"/>
  <c r="G293" i="37"/>
  <c r="G293" i="41" s="1"/>
  <c r="F293" i="37"/>
  <c r="F293" i="41" s="1"/>
  <c r="E293" i="37"/>
  <c r="E293" i="41" s="1"/>
  <c r="D293" i="37"/>
  <c r="D293" i="41" s="1"/>
  <c r="C293" i="37"/>
  <c r="C293" i="41" s="1"/>
  <c r="B293" i="37"/>
  <c r="B293" i="41" s="1"/>
  <c r="A293" i="37"/>
  <c r="A293" i="41" s="1"/>
  <c r="G292" i="37"/>
  <c r="G292" i="41" s="1"/>
  <c r="F292" i="37"/>
  <c r="F292" i="41" s="1"/>
  <c r="E292" i="37"/>
  <c r="E292" i="41" s="1"/>
  <c r="D292" i="37"/>
  <c r="D292" i="41" s="1"/>
  <c r="C292" i="37"/>
  <c r="C292" i="41" s="1"/>
  <c r="B292" i="37"/>
  <c r="B292" i="41" s="1"/>
  <c r="A292" i="37"/>
  <c r="A292" i="41" s="1"/>
  <c r="G291" i="37"/>
  <c r="G291" i="41" s="1"/>
  <c r="F291" i="37"/>
  <c r="F291" i="41" s="1"/>
  <c r="E291" i="37"/>
  <c r="E291" i="41" s="1"/>
  <c r="D291" i="37"/>
  <c r="D291" i="41" s="1"/>
  <c r="C291" i="37"/>
  <c r="C291" i="41" s="1"/>
  <c r="B291" i="37"/>
  <c r="B291" i="41" s="1"/>
  <c r="A291" i="37"/>
  <c r="A291" i="41" s="1"/>
  <c r="G290" i="37"/>
  <c r="G290" i="41" s="1"/>
  <c r="F290" i="37"/>
  <c r="F290" i="41" s="1"/>
  <c r="E290" i="37"/>
  <c r="E290" i="41" s="1"/>
  <c r="D290" i="37"/>
  <c r="D290" i="41" s="1"/>
  <c r="C290" i="37"/>
  <c r="C290" i="41" s="1"/>
  <c r="B290" i="37"/>
  <c r="B290" i="41" s="1"/>
  <c r="A290" i="37"/>
  <c r="A290" i="41" s="1"/>
  <c r="G289" i="37"/>
  <c r="G289" i="41" s="1"/>
  <c r="F289" i="37"/>
  <c r="F289" i="41" s="1"/>
  <c r="E289" i="37"/>
  <c r="E289" i="41" s="1"/>
  <c r="D289" i="37"/>
  <c r="D289" i="41" s="1"/>
  <c r="C289" i="37"/>
  <c r="C289" i="41" s="1"/>
  <c r="B289" i="37"/>
  <c r="B289" i="41" s="1"/>
  <c r="A289" i="37"/>
  <c r="A289" i="41" s="1"/>
  <c r="G288" i="37"/>
  <c r="G288" i="41" s="1"/>
  <c r="F288" i="37"/>
  <c r="F288" i="41" s="1"/>
  <c r="E288" i="37"/>
  <c r="E288" i="41" s="1"/>
  <c r="D288" i="37"/>
  <c r="D288" i="41" s="1"/>
  <c r="C288" i="37"/>
  <c r="C288" i="41" s="1"/>
  <c r="B288" i="37"/>
  <c r="B288" i="41" s="1"/>
  <c r="A288" i="37"/>
  <c r="A288" i="41" s="1"/>
  <c r="G287" i="37"/>
  <c r="G287" i="41" s="1"/>
  <c r="F287" i="37"/>
  <c r="F287" i="41" s="1"/>
  <c r="E287" i="37"/>
  <c r="E287" i="41" s="1"/>
  <c r="D287" i="37"/>
  <c r="D287" i="41" s="1"/>
  <c r="C287" i="37"/>
  <c r="C287" i="41" s="1"/>
  <c r="B287" i="37"/>
  <c r="B287" i="41" s="1"/>
  <c r="A287" i="37"/>
  <c r="A287" i="41" s="1"/>
  <c r="G286" i="37"/>
  <c r="G286" i="41" s="1"/>
  <c r="F286" i="37"/>
  <c r="F286" i="41" s="1"/>
  <c r="E286" i="37"/>
  <c r="E286" i="41" s="1"/>
  <c r="D286" i="37"/>
  <c r="D286" i="41" s="1"/>
  <c r="C286" i="37"/>
  <c r="C286" i="41" s="1"/>
  <c r="B286" i="37"/>
  <c r="B286" i="41" s="1"/>
  <c r="A286" i="37"/>
  <c r="A286" i="41" s="1"/>
  <c r="G285" i="37"/>
  <c r="G285" i="41" s="1"/>
  <c r="F285" i="37"/>
  <c r="F285" i="41" s="1"/>
  <c r="E285" i="37"/>
  <c r="E285" i="41" s="1"/>
  <c r="D285" i="37"/>
  <c r="D285" i="41" s="1"/>
  <c r="C285" i="37"/>
  <c r="C285" i="41" s="1"/>
  <c r="B285" i="37"/>
  <c r="B285" i="41" s="1"/>
  <c r="A285" i="37"/>
  <c r="A285" i="41" s="1"/>
  <c r="G284" i="37"/>
  <c r="G284" i="41" s="1"/>
  <c r="F284" i="37"/>
  <c r="F284" i="41" s="1"/>
  <c r="E284" i="37"/>
  <c r="E284" i="41" s="1"/>
  <c r="D284" i="37"/>
  <c r="D284" i="41" s="1"/>
  <c r="C284" i="37"/>
  <c r="C284" i="41" s="1"/>
  <c r="B284" i="37"/>
  <c r="B284" i="41" s="1"/>
  <c r="A284" i="37"/>
  <c r="A284" i="41" s="1"/>
  <c r="G283" i="37"/>
  <c r="G283" i="41" s="1"/>
  <c r="F283" i="37"/>
  <c r="F283" i="41" s="1"/>
  <c r="E283" i="37"/>
  <c r="E283" i="41" s="1"/>
  <c r="D283" i="37"/>
  <c r="D283" i="41" s="1"/>
  <c r="C283" i="37"/>
  <c r="C283" i="41" s="1"/>
  <c r="B283" i="37"/>
  <c r="B283" i="41" s="1"/>
  <c r="A283" i="37"/>
  <c r="A283" i="41" s="1"/>
  <c r="G282" i="37"/>
  <c r="G282" i="41" s="1"/>
  <c r="F282" i="37"/>
  <c r="F282" i="41" s="1"/>
  <c r="E282" i="37"/>
  <c r="E282" i="41" s="1"/>
  <c r="D282" i="37"/>
  <c r="D282" i="41" s="1"/>
  <c r="C282" i="37"/>
  <c r="C282" i="41" s="1"/>
  <c r="B282" i="37"/>
  <c r="B282" i="41" s="1"/>
  <c r="A282" i="37"/>
  <c r="A282" i="41" s="1"/>
  <c r="G281" i="37"/>
  <c r="G281" i="41" s="1"/>
  <c r="F281" i="37"/>
  <c r="F281" i="41" s="1"/>
  <c r="E281" i="37"/>
  <c r="E281" i="41" s="1"/>
  <c r="D281" i="37"/>
  <c r="D281" i="41" s="1"/>
  <c r="C281" i="37"/>
  <c r="C281" i="41" s="1"/>
  <c r="B281" i="37"/>
  <c r="B281" i="41" s="1"/>
  <c r="A281" i="37"/>
  <c r="A281" i="41" s="1"/>
  <c r="G280" i="37"/>
  <c r="G280" i="41" s="1"/>
  <c r="F280" i="37"/>
  <c r="F280" i="41" s="1"/>
  <c r="E280" i="37"/>
  <c r="E280" i="41" s="1"/>
  <c r="D280" i="37"/>
  <c r="D280" i="41" s="1"/>
  <c r="C280" i="37"/>
  <c r="C280" i="41" s="1"/>
  <c r="B280" i="37"/>
  <c r="B280" i="41" s="1"/>
  <c r="A280" i="37"/>
  <c r="A280" i="41" s="1"/>
  <c r="G279" i="37"/>
  <c r="G279" i="41" s="1"/>
  <c r="F279" i="37"/>
  <c r="F279" i="41" s="1"/>
  <c r="E279" i="37"/>
  <c r="E279" i="41" s="1"/>
  <c r="D279" i="37"/>
  <c r="D279" i="41" s="1"/>
  <c r="C279" i="37"/>
  <c r="C279" i="41" s="1"/>
  <c r="B279" i="37"/>
  <c r="B279" i="41" s="1"/>
  <c r="A279" i="37"/>
  <c r="A279" i="41" s="1"/>
  <c r="G278" i="37"/>
  <c r="G278" i="41" s="1"/>
  <c r="F278" i="37"/>
  <c r="F278" i="41" s="1"/>
  <c r="E278" i="37"/>
  <c r="E278" i="41" s="1"/>
  <c r="D278" i="37"/>
  <c r="D278" i="41" s="1"/>
  <c r="C278" i="37"/>
  <c r="C278" i="41" s="1"/>
  <c r="B278" i="37"/>
  <c r="B278" i="41" s="1"/>
  <c r="A278" i="37"/>
  <c r="A278" i="41" s="1"/>
  <c r="G277" i="37"/>
  <c r="G277" i="41" s="1"/>
  <c r="F277" i="37"/>
  <c r="F277" i="41" s="1"/>
  <c r="E277" i="37"/>
  <c r="E277" i="41" s="1"/>
  <c r="D277" i="37"/>
  <c r="D277" i="41" s="1"/>
  <c r="C277" i="37"/>
  <c r="C277" i="41" s="1"/>
  <c r="B277" i="37"/>
  <c r="B277" i="41" s="1"/>
  <c r="A277" i="37"/>
  <c r="A277" i="41" s="1"/>
  <c r="G276" i="37"/>
  <c r="G276" i="41" s="1"/>
  <c r="F276" i="37"/>
  <c r="F276" i="41" s="1"/>
  <c r="E276" i="37"/>
  <c r="E276" i="41" s="1"/>
  <c r="D276" i="37"/>
  <c r="D276" i="41" s="1"/>
  <c r="C276" i="37"/>
  <c r="C276" i="41" s="1"/>
  <c r="B276" i="37"/>
  <c r="B276" i="41" s="1"/>
  <c r="A276" i="37"/>
  <c r="A276" i="41" s="1"/>
  <c r="G275" i="37"/>
  <c r="G275" i="41" s="1"/>
  <c r="F275" i="37"/>
  <c r="F275" i="41" s="1"/>
  <c r="E275" i="37"/>
  <c r="E275" i="41" s="1"/>
  <c r="D275" i="37"/>
  <c r="D275" i="41" s="1"/>
  <c r="C275" i="37"/>
  <c r="C275" i="41" s="1"/>
  <c r="B275" i="37"/>
  <c r="B275" i="41" s="1"/>
  <c r="A275" i="37"/>
  <c r="A275" i="41" s="1"/>
  <c r="G274" i="37"/>
  <c r="G274" i="41" s="1"/>
  <c r="F274" i="37"/>
  <c r="F274" i="41" s="1"/>
  <c r="E274" i="37"/>
  <c r="E274" i="41" s="1"/>
  <c r="D274" i="37"/>
  <c r="D274" i="41" s="1"/>
  <c r="C274" i="37"/>
  <c r="C274" i="41" s="1"/>
  <c r="B274" i="37"/>
  <c r="B274" i="41" s="1"/>
  <c r="A274" i="37"/>
  <c r="A274" i="41" s="1"/>
  <c r="G273" i="37"/>
  <c r="G273" i="41" s="1"/>
  <c r="F273" i="37"/>
  <c r="F273" i="41" s="1"/>
  <c r="E273" i="37"/>
  <c r="E273" i="41" s="1"/>
  <c r="D273" i="37"/>
  <c r="D273" i="41" s="1"/>
  <c r="C273" i="37"/>
  <c r="C273" i="41" s="1"/>
  <c r="B273" i="37"/>
  <c r="B273" i="41" s="1"/>
  <c r="A273" i="37"/>
  <c r="A273" i="41" s="1"/>
  <c r="G272" i="37"/>
  <c r="G272" i="41" s="1"/>
  <c r="F272" i="37"/>
  <c r="F272" i="41" s="1"/>
  <c r="E272" i="37"/>
  <c r="E272" i="41" s="1"/>
  <c r="D272" i="37"/>
  <c r="D272" i="41" s="1"/>
  <c r="C272" i="37"/>
  <c r="C272" i="41" s="1"/>
  <c r="B272" i="37"/>
  <c r="B272" i="41" s="1"/>
  <c r="A272" i="37"/>
  <c r="A272" i="41" s="1"/>
  <c r="G271" i="37"/>
  <c r="G271" i="41" s="1"/>
  <c r="F271" i="37"/>
  <c r="F271" i="41" s="1"/>
  <c r="E271" i="37"/>
  <c r="E271" i="41" s="1"/>
  <c r="D271" i="37"/>
  <c r="D271" i="41" s="1"/>
  <c r="C271" i="37"/>
  <c r="C271" i="41" s="1"/>
  <c r="B271" i="37"/>
  <c r="B271" i="41" s="1"/>
  <c r="A271" i="37"/>
  <c r="A271" i="41" s="1"/>
  <c r="G270" i="37"/>
  <c r="G270" i="41" s="1"/>
  <c r="F270" i="37"/>
  <c r="F270" i="41" s="1"/>
  <c r="E270" i="37"/>
  <c r="E270" i="41" s="1"/>
  <c r="D270" i="37"/>
  <c r="D270" i="41" s="1"/>
  <c r="C270" i="37"/>
  <c r="C270" i="41" s="1"/>
  <c r="B270" i="37"/>
  <c r="B270" i="41" s="1"/>
  <c r="A270" i="37"/>
  <c r="A270" i="41" s="1"/>
  <c r="G269" i="37"/>
  <c r="G269" i="41" s="1"/>
  <c r="F269" i="37"/>
  <c r="F269" i="41" s="1"/>
  <c r="E269" i="37"/>
  <c r="E269" i="41" s="1"/>
  <c r="D269" i="37"/>
  <c r="D269" i="41" s="1"/>
  <c r="C269" i="37"/>
  <c r="C269" i="41" s="1"/>
  <c r="B269" i="37"/>
  <c r="B269" i="41" s="1"/>
  <c r="A269" i="37"/>
  <c r="A269" i="41" s="1"/>
  <c r="G268" i="37"/>
  <c r="G268" i="41" s="1"/>
  <c r="F268" i="37"/>
  <c r="F268" i="41" s="1"/>
  <c r="E268" i="37"/>
  <c r="E268" i="41" s="1"/>
  <c r="D268" i="37"/>
  <c r="D268" i="41" s="1"/>
  <c r="C268" i="37"/>
  <c r="C268" i="41" s="1"/>
  <c r="B268" i="37"/>
  <c r="B268" i="41" s="1"/>
  <c r="A268" i="37"/>
  <c r="A268" i="41" s="1"/>
  <c r="G267" i="37"/>
  <c r="G267" i="41" s="1"/>
  <c r="F267" i="37"/>
  <c r="F267" i="41" s="1"/>
  <c r="E267" i="37"/>
  <c r="E267" i="41" s="1"/>
  <c r="D267" i="37"/>
  <c r="D267" i="41" s="1"/>
  <c r="C267" i="37"/>
  <c r="C267" i="41" s="1"/>
  <c r="B267" i="37"/>
  <c r="B267" i="41" s="1"/>
  <c r="A267" i="37"/>
  <c r="A267" i="41" s="1"/>
  <c r="G266" i="37"/>
  <c r="G266" i="41" s="1"/>
  <c r="F266" i="37"/>
  <c r="F266" i="41" s="1"/>
  <c r="E266" i="37"/>
  <c r="E266" i="41" s="1"/>
  <c r="D266" i="37"/>
  <c r="D266" i="41" s="1"/>
  <c r="C266" i="37"/>
  <c r="C266" i="41" s="1"/>
  <c r="B266" i="37"/>
  <c r="B266" i="41" s="1"/>
  <c r="A266" i="37"/>
  <c r="A266" i="41" s="1"/>
  <c r="G265" i="37"/>
  <c r="G265" i="41" s="1"/>
  <c r="F265" i="37"/>
  <c r="F265" i="41" s="1"/>
  <c r="E265" i="37"/>
  <c r="E265" i="41" s="1"/>
  <c r="D265" i="37"/>
  <c r="D265" i="41" s="1"/>
  <c r="C265" i="37"/>
  <c r="C265" i="41" s="1"/>
  <c r="B265" i="37"/>
  <c r="B265" i="41" s="1"/>
  <c r="A265" i="37"/>
  <c r="A265" i="41" s="1"/>
  <c r="G264" i="37"/>
  <c r="G264" i="41" s="1"/>
  <c r="F264" i="37"/>
  <c r="F264" i="41" s="1"/>
  <c r="E264" i="37"/>
  <c r="E264" i="41" s="1"/>
  <c r="D264" i="37"/>
  <c r="D264" i="41" s="1"/>
  <c r="C264" i="37"/>
  <c r="C264" i="41" s="1"/>
  <c r="B264" i="37"/>
  <c r="B264" i="41" s="1"/>
  <c r="A264" i="37"/>
  <c r="A264" i="41" s="1"/>
  <c r="G263" i="37"/>
  <c r="G263" i="41" s="1"/>
  <c r="F263" i="37"/>
  <c r="F263" i="41" s="1"/>
  <c r="E263" i="37"/>
  <c r="E263" i="41" s="1"/>
  <c r="D263" i="37"/>
  <c r="D263" i="41" s="1"/>
  <c r="C263" i="37"/>
  <c r="C263" i="41" s="1"/>
  <c r="B263" i="37"/>
  <c r="B263" i="41" s="1"/>
  <c r="A263" i="37"/>
  <c r="A263" i="41" s="1"/>
  <c r="G262" i="37"/>
  <c r="G262" i="41" s="1"/>
  <c r="F262" i="37"/>
  <c r="F262" i="41" s="1"/>
  <c r="E262" i="37"/>
  <c r="E262" i="41" s="1"/>
  <c r="D262" i="37"/>
  <c r="D262" i="41" s="1"/>
  <c r="C262" i="37"/>
  <c r="C262" i="41" s="1"/>
  <c r="B262" i="37"/>
  <c r="B262" i="41" s="1"/>
  <c r="A262" i="37"/>
  <c r="A262" i="41" s="1"/>
  <c r="G261" i="37"/>
  <c r="G261" i="41" s="1"/>
  <c r="F261" i="37"/>
  <c r="F261" i="41" s="1"/>
  <c r="E261" i="37"/>
  <c r="E261" i="41" s="1"/>
  <c r="D261" i="37"/>
  <c r="D261" i="41" s="1"/>
  <c r="C261" i="37"/>
  <c r="C261" i="41" s="1"/>
  <c r="B261" i="37"/>
  <c r="B261" i="41" s="1"/>
  <c r="A261" i="37"/>
  <c r="A261" i="41" s="1"/>
  <c r="G260" i="37"/>
  <c r="G260" i="41" s="1"/>
  <c r="F260" i="37"/>
  <c r="F260" i="41" s="1"/>
  <c r="E260" i="37"/>
  <c r="E260" i="41" s="1"/>
  <c r="D260" i="37"/>
  <c r="D260" i="41" s="1"/>
  <c r="C260" i="37"/>
  <c r="C260" i="41" s="1"/>
  <c r="B260" i="37"/>
  <c r="B260" i="41" s="1"/>
  <c r="A260" i="37"/>
  <c r="A260" i="41" s="1"/>
  <c r="G259" i="37"/>
  <c r="G259" i="41" s="1"/>
  <c r="F259" i="37"/>
  <c r="F259" i="41" s="1"/>
  <c r="E259" i="37"/>
  <c r="E259" i="41" s="1"/>
  <c r="D259" i="37"/>
  <c r="D259" i="41" s="1"/>
  <c r="C259" i="37"/>
  <c r="C259" i="41" s="1"/>
  <c r="B259" i="37"/>
  <c r="B259" i="41" s="1"/>
  <c r="A259" i="37"/>
  <c r="A259" i="41" s="1"/>
  <c r="G258" i="37"/>
  <c r="G258" i="41" s="1"/>
  <c r="F258" i="37"/>
  <c r="F258" i="41" s="1"/>
  <c r="E258" i="37"/>
  <c r="E258" i="41" s="1"/>
  <c r="D258" i="37"/>
  <c r="D258" i="41" s="1"/>
  <c r="C258" i="37"/>
  <c r="C258" i="41" s="1"/>
  <c r="B258" i="37"/>
  <c r="B258" i="41" s="1"/>
  <c r="A258" i="37"/>
  <c r="A258" i="41" s="1"/>
  <c r="G257" i="37"/>
  <c r="G257" i="41" s="1"/>
  <c r="F257" i="37"/>
  <c r="F257" i="41" s="1"/>
  <c r="E257" i="37"/>
  <c r="E257" i="41" s="1"/>
  <c r="D257" i="37"/>
  <c r="D257" i="41" s="1"/>
  <c r="C257" i="37"/>
  <c r="C257" i="41" s="1"/>
  <c r="B257" i="37"/>
  <c r="B257" i="41" s="1"/>
  <c r="A257" i="37"/>
  <c r="A257" i="41" s="1"/>
  <c r="G256" i="37"/>
  <c r="G256" i="41" s="1"/>
  <c r="F256" i="37"/>
  <c r="F256" i="41" s="1"/>
  <c r="E256" i="37"/>
  <c r="E256" i="41" s="1"/>
  <c r="D256" i="37"/>
  <c r="D256" i="41" s="1"/>
  <c r="C256" i="37"/>
  <c r="C256" i="41" s="1"/>
  <c r="B256" i="37"/>
  <c r="B256" i="41" s="1"/>
  <c r="A256" i="37"/>
  <c r="A256" i="41" s="1"/>
  <c r="G255" i="37"/>
  <c r="G255" i="41" s="1"/>
  <c r="F255" i="37"/>
  <c r="F255" i="41" s="1"/>
  <c r="E255" i="37"/>
  <c r="E255" i="41" s="1"/>
  <c r="D255" i="37"/>
  <c r="D255" i="41" s="1"/>
  <c r="C255" i="37"/>
  <c r="C255" i="41" s="1"/>
  <c r="B255" i="37"/>
  <c r="B255" i="41" s="1"/>
  <c r="A255" i="37"/>
  <c r="A255" i="41" s="1"/>
  <c r="G254" i="37"/>
  <c r="G254" i="41" s="1"/>
  <c r="F254" i="37"/>
  <c r="F254" i="41" s="1"/>
  <c r="E254" i="37"/>
  <c r="E254" i="41" s="1"/>
  <c r="D254" i="37"/>
  <c r="D254" i="41" s="1"/>
  <c r="C254" i="37"/>
  <c r="C254" i="41" s="1"/>
  <c r="B254" i="37"/>
  <c r="B254" i="41" s="1"/>
  <c r="A254" i="37"/>
  <c r="A254" i="41" s="1"/>
  <c r="G253" i="37"/>
  <c r="G253" i="41" s="1"/>
  <c r="F253" i="37"/>
  <c r="F253" i="41" s="1"/>
  <c r="E253" i="37"/>
  <c r="E253" i="41" s="1"/>
  <c r="D253" i="37"/>
  <c r="D253" i="41" s="1"/>
  <c r="C253" i="37"/>
  <c r="C253" i="41" s="1"/>
  <c r="B253" i="37"/>
  <c r="B253" i="41" s="1"/>
  <c r="A253" i="37"/>
  <c r="A253" i="41" s="1"/>
  <c r="G252" i="37"/>
  <c r="G252" i="41" s="1"/>
  <c r="F252" i="37"/>
  <c r="F252" i="41" s="1"/>
  <c r="E252" i="37"/>
  <c r="E252" i="41" s="1"/>
  <c r="D252" i="37"/>
  <c r="D252" i="41" s="1"/>
  <c r="C252" i="37"/>
  <c r="C252" i="41" s="1"/>
  <c r="B252" i="37"/>
  <c r="B252" i="41" s="1"/>
  <c r="A252" i="37"/>
  <c r="A252" i="41" s="1"/>
  <c r="G251" i="37"/>
  <c r="G251" i="41" s="1"/>
  <c r="F251" i="37"/>
  <c r="F251" i="41" s="1"/>
  <c r="E251" i="37"/>
  <c r="E251" i="41" s="1"/>
  <c r="D251" i="37"/>
  <c r="D251" i="41" s="1"/>
  <c r="C251" i="37"/>
  <c r="C251" i="41" s="1"/>
  <c r="B251" i="37"/>
  <c r="B251" i="41" s="1"/>
  <c r="A251" i="37"/>
  <c r="A251" i="41" s="1"/>
  <c r="G250" i="37"/>
  <c r="G250" i="41" s="1"/>
  <c r="F250" i="37"/>
  <c r="F250" i="41" s="1"/>
  <c r="E250" i="37"/>
  <c r="E250" i="41" s="1"/>
  <c r="D250" i="37"/>
  <c r="D250" i="41" s="1"/>
  <c r="C250" i="37"/>
  <c r="C250" i="41" s="1"/>
  <c r="B250" i="37"/>
  <c r="B250" i="41" s="1"/>
  <c r="A250" i="37"/>
  <c r="A250" i="41" s="1"/>
  <c r="G249" i="37"/>
  <c r="G249" i="41" s="1"/>
  <c r="F249" i="37"/>
  <c r="F249" i="41" s="1"/>
  <c r="E249" i="37"/>
  <c r="E249" i="41" s="1"/>
  <c r="D249" i="37"/>
  <c r="D249" i="41" s="1"/>
  <c r="C249" i="37"/>
  <c r="C249" i="41" s="1"/>
  <c r="B249" i="37"/>
  <c r="B249" i="41" s="1"/>
  <c r="A249" i="37"/>
  <c r="A249" i="41" s="1"/>
  <c r="G248" i="37"/>
  <c r="G248" i="41" s="1"/>
  <c r="F248" i="37"/>
  <c r="F248" i="41" s="1"/>
  <c r="E248" i="37"/>
  <c r="E248" i="41" s="1"/>
  <c r="D248" i="37"/>
  <c r="D248" i="41" s="1"/>
  <c r="C248" i="37"/>
  <c r="C248" i="41" s="1"/>
  <c r="B248" i="37"/>
  <c r="B248" i="41" s="1"/>
  <c r="A248" i="37"/>
  <c r="A248" i="41" s="1"/>
  <c r="G247" i="37"/>
  <c r="G247" i="41" s="1"/>
  <c r="F247" i="37"/>
  <c r="F247" i="41" s="1"/>
  <c r="E247" i="37"/>
  <c r="E247" i="41" s="1"/>
  <c r="D247" i="37"/>
  <c r="D247" i="41" s="1"/>
  <c r="C247" i="37"/>
  <c r="C247" i="41" s="1"/>
  <c r="B247" i="37"/>
  <c r="B247" i="41" s="1"/>
  <c r="A247" i="37"/>
  <c r="A247" i="41" s="1"/>
  <c r="G246" i="37"/>
  <c r="G246" i="41" s="1"/>
  <c r="F246" i="37"/>
  <c r="F246" i="41" s="1"/>
  <c r="E246" i="37"/>
  <c r="E246" i="41" s="1"/>
  <c r="D246" i="37"/>
  <c r="D246" i="41" s="1"/>
  <c r="C246" i="37"/>
  <c r="C246" i="41" s="1"/>
  <c r="B246" i="37"/>
  <c r="B246" i="41" s="1"/>
  <c r="A246" i="37"/>
  <c r="A246" i="41" s="1"/>
  <c r="G245" i="37"/>
  <c r="G245" i="41" s="1"/>
  <c r="F245" i="37"/>
  <c r="F245" i="41" s="1"/>
  <c r="E245" i="37"/>
  <c r="E245" i="41" s="1"/>
  <c r="D245" i="37"/>
  <c r="D245" i="41" s="1"/>
  <c r="C245" i="37"/>
  <c r="C245" i="41" s="1"/>
  <c r="B245" i="37"/>
  <c r="B245" i="41" s="1"/>
  <c r="A245" i="37"/>
  <c r="A245" i="41" s="1"/>
  <c r="G244" i="37"/>
  <c r="G244" i="41" s="1"/>
  <c r="F244" i="37"/>
  <c r="F244" i="41" s="1"/>
  <c r="E244" i="37"/>
  <c r="E244" i="41" s="1"/>
  <c r="D244" i="37"/>
  <c r="D244" i="41" s="1"/>
  <c r="C244" i="37"/>
  <c r="C244" i="41" s="1"/>
  <c r="B244" i="37"/>
  <c r="B244" i="41" s="1"/>
  <c r="A244" i="37"/>
  <c r="A244" i="41" s="1"/>
  <c r="G243" i="37"/>
  <c r="G243" i="41" s="1"/>
  <c r="F243" i="37"/>
  <c r="F243" i="41" s="1"/>
  <c r="E243" i="37"/>
  <c r="E243" i="41" s="1"/>
  <c r="D243" i="37"/>
  <c r="D243" i="41" s="1"/>
  <c r="C243" i="37"/>
  <c r="C243" i="41" s="1"/>
  <c r="B243" i="37"/>
  <c r="B243" i="41" s="1"/>
  <c r="A243" i="37"/>
  <c r="A243" i="41" s="1"/>
  <c r="G242" i="37"/>
  <c r="G242" i="41" s="1"/>
  <c r="F242" i="37"/>
  <c r="F242" i="41" s="1"/>
  <c r="E242" i="37"/>
  <c r="E242" i="41" s="1"/>
  <c r="D242" i="37"/>
  <c r="D242" i="41" s="1"/>
  <c r="C242" i="37"/>
  <c r="C242" i="41" s="1"/>
  <c r="B242" i="37"/>
  <c r="B242" i="41" s="1"/>
  <c r="A242" i="37"/>
  <c r="A242" i="41" s="1"/>
  <c r="G241" i="37"/>
  <c r="G241" i="41" s="1"/>
  <c r="F241" i="37"/>
  <c r="F241" i="41" s="1"/>
  <c r="E241" i="37"/>
  <c r="E241" i="41" s="1"/>
  <c r="D241" i="37"/>
  <c r="D241" i="41" s="1"/>
  <c r="C241" i="37"/>
  <c r="C241" i="41" s="1"/>
  <c r="B241" i="37"/>
  <c r="B241" i="41" s="1"/>
  <c r="A241" i="37"/>
  <c r="A241" i="41" s="1"/>
  <c r="G240" i="37"/>
  <c r="G240" i="41" s="1"/>
  <c r="F240" i="37"/>
  <c r="F240" i="41" s="1"/>
  <c r="E240" i="37"/>
  <c r="E240" i="41" s="1"/>
  <c r="D240" i="37"/>
  <c r="D240" i="41" s="1"/>
  <c r="C240" i="37"/>
  <c r="C240" i="41" s="1"/>
  <c r="B240" i="37"/>
  <c r="B240" i="41" s="1"/>
  <c r="A240" i="37"/>
  <c r="A240" i="41" s="1"/>
  <c r="G239" i="37"/>
  <c r="G239" i="41" s="1"/>
  <c r="F239" i="37"/>
  <c r="F239" i="41" s="1"/>
  <c r="E239" i="37"/>
  <c r="E239" i="41" s="1"/>
  <c r="D239" i="37"/>
  <c r="D239" i="41" s="1"/>
  <c r="C239" i="37"/>
  <c r="C239" i="41" s="1"/>
  <c r="B239" i="37"/>
  <c r="B239" i="41" s="1"/>
  <c r="A239" i="37"/>
  <c r="A239" i="41" s="1"/>
  <c r="G238" i="37"/>
  <c r="G238" i="41" s="1"/>
  <c r="F238" i="37"/>
  <c r="F238" i="41" s="1"/>
  <c r="E238" i="37"/>
  <c r="E238" i="41" s="1"/>
  <c r="D238" i="37"/>
  <c r="D238" i="41" s="1"/>
  <c r="C238" i="37"/>
  <c r="C238" i="41" s="1"/>
  <c r="B238" i="37"/>
  <c r="B238" i="41" s="1"/>
  <c r="A238" i="37"/>
  <c r="A238" i="41" s="1"/>
  <c r="G237" i="37"/>
  <c r="G237" i="41" s="1"/>
  <c r="F237" i="37"/>
  <c r="F237" i="41" s="1"/>
  <c r="E237" i="37"/>
  <c r="E237" i="41" s="1"/>
  <c r="D237" i="37"/>
  <c r="D237" i="41" s="1"/>
  <c r="C237" i="37"/>
  <c r="C237" i="41" s="1"/>
  <c r="B237" i="37"/>
  <c r="B237" i="41" s="1"/>
  <c r="A237" i="37"/>
  <c r="A237" i="41" s="1"/>
  <c r="G236" i="37"/>
  <c r="G236" i="41" s="1"/>
  <c r="F236" i="37"/>
  <c r="F236" i="41" s="1"/>
  <c r="E236" i="37"/>
  <c r="E236" i="41" s="1"/>
  <c r="D236" i="37"/>
  <c r="D236" i="41" s="1"/>
  <c r="C236" i="37"/>
  <c r="C236" i="41" s="1"/>
  <c r="B236" i="37"/>
  <c r="B236" i="41" s="1"/>
  <c r="A236" i="37"/>
  <c r="A236" i="41" s="1"/>
  <c r="G235" i="37"/>
  <c r="G235" i="41" s="1"/>
  <c r="F235" i="37"/>
  <c r="F235" i="41" s="1"/>
  <c r="E235" i="37"/>
  <c r="E235" i="41" s="1"/>
  <c r="D235" i="37"/>
  <c r="D235" i="41" s="1"/>
  <c r="C235" i="37"/>
  <c r="C235" i="41" s="1"/>
  <c r="B235" i="37"/>
  <c r="B235" i="41" s="1"/>
  <c r="A235" i="37"/>
  <c r="A235" i="41" s="1"/>
  <c r="G234" i="37"/>
  <c r="G234" i="41" s="1"/>
  <c r="F234" i="37"/>
  <c r="F234" i="41" s="1"/>
  <c r="E234" i="37"/>
  <c r="E234" i="41" s="1"/>
  <c r="D234" i="37"/>
  <c r="D234" i="41" s="1"/>
  <c r="C234" i="37"/>
  <c r="C234" i="41" s="1"/>
  <c r="B234" i="37"/>
  <c r="B234" i="41" s="1"/>
  <c r="A234" i="37"/>
  <c r="A234" i="41" s="1"/>
  <c r="G233" i="37"/>
  <c r="G233" i="41" s="1"/>
  <c r="F233" i="37"/>
  <c r="F233" i="41" s="1"/>
  <c r="E233" i="37"/>
  <c r="E233" i="41" s="1"/>
  <c r="D233" i="37"/>
  <c r="D233" i="41" s="1"/>
  <c r="C233" i="37"/>
  <c r="C233" i="41" s="1"/>
  <c r="B233" i="37"/>
  <c r="B233" i="41" s="1"/>
  <c r="A233" i="37"/>
  <c r="A233" i="41" s="1"/>
  <c r="G232" i="37"/>
  <c r="G232" i="41" s="1"/>
  <c r="F232" i="37"/>
  <c r="F232" i="41" s="1"/>
  <c r="E232" i="37"/>
  <c r="E232" i="41" s="1"/>
  <c r="D232" i="37"/>
  <c r="D232" i="41" s="1"/>
  <c r="C232" i="37"/>
  <c r="C232" i="41" s="1"/>
  <c r="B232" i="37"/>
  <c r="B232" i="41" s="1"/>
  <c r="A232" i="37"/>
  <c r="A232" i="41" s="1"/>
  <c r="G231" i="37"/>
  <c r="G231" i="41" s="1"/>
  <c r="F231" i="37"/>
  <c r="F231" i="41" s="1"/>
  <c r="E231" i="37"/>
  <c r="E231" i="41" s="1"/>
  <c r="D231" i="37"/>
  <c r="D231" i="41" s="1"/>
  <c r="C231" i="37"/>
  <c r="C231" i="41" s="1"/>
  <c r="B231" i="37"/>
  <c r="B231" i="41" s="1"/>
  <c r="A231" i="37"/>
  <c r="A231" i="41" s="1"/>
  <c r="G230" i="37"/>
  <c r="G230" i="41" s="1"/>
  <c r="F230" i="37"/>
  <c r="F230" i="41" s="1"/>
  <c r="E230" i="37"/>
  <c r="E230" i="41" s="1"/>
  <c r="D230" i="37"/>
  <c r="D230" i="41" s="1"/>
  <c r="C230" i="37"/>
  <c r="C230" i="41" s="1"/>
  <c r="B230" i="37"/>
  <c r="B230" i="41" s="1"/>
  <c r="A230" i="37"/>
  <c r="A230" i="41" s="1"/>
  <c r="G229" i="37"/>
  <c r="G229" i="41" s="1"/>
  <c r="F229" i="37"/>
  <c r="F229" i="41" s="1"/>
  <c r="E229" i="37"/>
  <c r="E229" i="41" s="1"/>
  <c r="D229" i="37"/>
  <c r="D229" i="41" s="1"/>
  <c r="C229" i="37"/>
  <c r="C229" i="41" s="1"/>
  <c r="B229" i="37"/>
  <c r="B229" i="41" s="1"/>
  <c r="A229" i="37"/>
  <c r="A229" i="41" s="1"/>
  <c r="G228" i="37"/>
  <c r="G228" i="41" s="1"/>
  <c r="F228" i="37"/>
  <c r="F228" i="41" s="1"/>
  <c r="E228" i="37"/>
  <c r="E228" i="41" s="1"/>
  <c r="D228" i="37"/>
  <c r="D228" i="41" s="1"/>
  <c r="C228" i="37"/>
  <c r="C228" i="41" s="1"/>
  <c r="B228" i="37"/>
  <c r="B228" i="41" s="1"/>
  <c r="A228" i="37"/>
  <c r="A228" i="41" s="1"/>
  <c r="G227" i="37"/>
  <c r="G227" i="41" s="1"/>
  <c r="F227" i="37"/>
  <c r="F227" i="41" s="1"/>
  <c r="E227" i="37"/>
  <c r="E227" i="41" s="1"/>
  <c r="D227" i="37"/>
  <c r="D227" i="41" s="1"/>
  <c r="C227" i="37"/>
  <c r="C227" i="41" s="1"/>
  <c r="B227" i="37"/>
  <c r="B227" i="41" s="1"/>
  <c r="A227" i="37"/>
  <c r="A227" i="41" s="1"/>
  <c r="G226" i="37"/>
  <c r="G226" i="41" s="1"/>
  <c r="F226" i="37"/>
  <c r="F226" i="41" s="1"/>
  <c r="E226" i="37"/>
  <c r="E226" i="41" s="1"/>
  <c r="D226" i="37"/>
  <c r="D226" i="41" s="1"/>
  <c r="C226" i="37"/>
  <c r="C226" i="41" s="1"/>
  <c r="B226" i="37"/>
  <c r="B226" i="41" s="1"/>
  <c r="A226" i="37"/>
  <c r="A226" i="41" s="1"/>
  <c r="G225" i="37"/>
  <c r="G225" i="41" s="1"/>
  <c r="F225" i="37"/>
  <c r="F225" i="41" s="1"/>
  <c r="E225" i="37"/>
  <c r="E225" i="41" s="1"/>
  <c r="D225" i="37"/>
  <c r="D225" i="41" s="1"/>
  <c r="C225" i="37"/>
  <c r="C225" i="41" s="1"/>
  <c r="B225" i="37"/>
  <c r="B225" i="41" s="1"/>
  <c r="A225" i="37"/>
  <c r="A225" i="41" s="1"/>
  <c r="G224" i="37"/>
  <c r="G224" i="41" s="1"/>
  <c r="F224" i="37"/>
  <c r="F224" i="41" s="1"/>
  <c r="E224" i="37"/>
  <c r="E224" i="41" s="1"/>
  <c r="D224" i="37"/>
  <c r="D224" i="41" s="1"/>
  <c r="C224" i="37"/>
  <c r="C224" i="41" s="1"/>
  <c r="B224" i="37"/>
  <c r="B224" i="41" s="1"/>
  <c r="A224" i="37"/>
  <c r="A224" i="41" s="1"/>
  <c r="G223" i="37"/>
  <c r="G223" i="41" s="1"/>
  <c r="F223" i="37"/>
  <c r="F223" i="41" s="1"/>
  <c r="E223" i="37"/>
  <c r="E223" i="41" s="1"/>
  <c r="D223" i="37"/>
  <c r="D223" i="41" s="1"/>
  <c r="C223" i="37"/>
  <c r="C223" i="41" s="1"/>
  <c r="B223" i="37"/>
  <c r="B223" i="41" s="1"/>
  <c r="A223" i="37"/>
  <c r="A223" i="41" s="1"/>
  <c r="G222" i="37"/>
  <c r="G222" i="41" s="1"/>
  <c r="F222" i="37"/>
  <c r="F222" i="41" s="1"/>
  <c r="E222" i="37"/>
  <c r="E222" i="41" s="1"/>
  <c r="D222" i="37"/>
  <c r="D222" i="41" s="1"/>
  <c r="C222" i="37"/>
  <c r="C222" i="41" s="1"/>
  <c r="B222" i="37"/>
  <c r="B222" i="41" s="1"/>
  <c r="A222" i="37"/>
  <c r="A222" i="41" s="1"/>
  <c r="G221" i="37"/>
  <c r="G221" i="41" s="1"/>
  <c r="F221" i="37"/>
  <c r="F221" i="41" s="1"/>
  <c r="E221" i="37"/>
  <c r="E221" i="41" s="1"/>
  <c r="D221" i="37"/>
  <c r="D221" i="41" s="1"/>
  <c r="C221" i="37"/>
  <c r="C221" i="41" s="1"/>
  <c r="B221" i="37"/>
  <c r="B221" i="41" s="1"/>
  <c r="A221" i="37"/>
  <c r="A221" i="41" s="1"/>
  <c r="G220" i="37"/>
  <c r="G220" i="41" s="1"/>
  <c r="F220" i="37"/>
  <c r="F220" i="41" s="1"/>
  <c r="E220" i="37"/>
  <c r="E220" i="41" s="1"/>
  <c r="D220" i="37"/>
  <c r="D220" i="41" s="1"/>
  <c r="C220" i="37"/>
  <c r="C220" i="41" s="1"/>
  <c r="B220" i="37"/>
  <c r="B220" i="41" s="1"/>
  <c r="A220" i="37"/>
  <c r="A220" i="41" s="1"/>
  <c r="G219" i="37"/>
  <c r="G219" i="41" s="1"/>
  <c r="F219" i="37"/>
  <c r="F219" i="41" s="1"/>
  <c r="E219" i="37"/>
  <c r="E219" i="41" s="1"/>
  <c r="D219" i="37"/>
  <c r="D219" i="41" s="1"/>
  <c r="C219" i="37"/>
  <c r="C219" i="41" s="1"/>
  <c r="B219" i="37"/>
  <c r="B219" i="41" s="1"/>
  <c r="A219" i="37"/>
  <c r="A219" i="41" s="1"/>
  <c r="G218" i="37"/>
  <c r="G218" i="41" s="1"/>
  <c r="F218" i="37"/>
  <c r="F218" i="41" s="1"/>
  <c r="E218" i="37"/>
  <c r="E218" i="41" s="1"/>
  <c r="D218" i="37"/>
  <c r="D218" i="41" s="1"/>
  <c r="C218" i="37"/>
  <c r="C218" i="41" s="1"/>
  <c r="B218" i="37"/>
  <c r="B218" i="41" s="1"/>
  <c r="A218" i="37"/>
  <c r="A218" i="41" s="1"/>
  <c r="G217" i="37"/>
  <c r="G217" i="41" s="1"/>
  <c r="F217" i="37"/>
  <c r="F217" i="41" s="1"/>
  <c r="E217" i="37"/>
  <c r="E217" i="41" s="1"/>
  <c r="D217" i="37"/>
  <c r="D217" i="41" s="1"/>
  <c r="C217" i="37"/>
  <c r="C217" i="41" s="1"/>
  <c r="B217" i="37"/>
  <c r="B217" i="41" s="1"/>
  <c r="A217" i="37"/>
  <c r="A217" i="41" s="1"/>
  <c r="G216" i="37"/>
  <c r="G216" i="41" s="1"/>
  <c r="F216" i="37"/>
  <c r="F216" i="41" s="1"/>
  <c r="E216" i="37"/>
  <c r="E216" i="41" s="1"/>
  <c r="D216" i="37"/>
  <c r="D216" i="41" s="1"/>
  <c r="C216" i="37"/>
  <c r="C216" i="41" s="1"/>
  <c r="B216" i="37"/>
  <c r="B216" i="41" s="1"/>
  <c r="A216" i="37"/>
  <c r="A216" i="41" s="1"/>
  <c r="G215" i="37"/>
  <c r="G215" i="41" s="1"/>
  <c r="F215" i="37"/>
  <c r="F215" i="41" s="1"/>
  <c r="E215" i="37"/>
  <c r="E215" i="41" s="1"/>
  <c r="D215" i="37"/>
  <c r="D215" i="41" s="1"/>
  <c r="C215" i="37"/>
  <c r="C215" i="41" s="1"/>
  <c r="B215" i="37"/>
  <c r="B215" i="41" s="1"/>
  <c r="A215" i="37"/>
  <c r="A215" i="41" s="1"/>
  <c r="G214" i="37"/>
  <c r="G214" i="41" s="1"/>
  <c r="F214" i="37"/>
  <c r="F214" i="41" s="1"/>
  <c r="E214" i="37"/>
  <c r="E214" i="41" s="1"/>
  <c r="D214" i="37"/>
  <c r="D214" i="41" s="1"/>
  <c r="C214" i="37"/>
  <c r="C214" i="41" s="1"/>
  <c r="B214" i="37"/>
  <c r="B214" i="41" s="1"/>
  <c r="A214" i="37"/>
  <c r="A214" i="41" s="1"/>
  <c r="G213" i="37"/>
  <c r="G213" i="41" s="1"/>
  <c r="F213" i="37"/>
  <c r="F213" i="41" s="1"/>
  <c r="E213" i="37"/>
  <c r="E213" i="41" s="1"/>
  <c r="D213" i="37"/>
  <c r="D213" i="41" s="1"/>
  <c r="C213" i="37"/>
  <c r="C213" i="41" s="1"/>
  <c r="B213" i="37"/>
  <c r="B213" i="41" s="1"/>
  <c r="A213" i="37"/>
  <c r="A213" i="41" s="1"/>
  <c r="G212" i="37"/>
  <c r="G212" i="41" s="1"/>
  <c r="F212" i="37"/>
  <c r="F212" i="41" s="1"/>
  <c r="E212" i="37"/>
  <c r="E212" i="41" s="1"/>
  <c r="D212" i="37"/>
  <c r="D212" i="41" s="1"/>
  <c r="C212" i="37"/>
  <c r="C212" i="41" s="1"/>
  <c r="B212" i="37"/>
  <c r="B212" i="41" s="1"/>
  <c r="A212" i="37"/>
  <c r="A212" i="41" s="1"/>
  <c r="G211" i="37"/>
  <c r="G211" i="41" s="1"/>
  <c r="F211" i="37"/>
  <c r="F211" i="41" s="1"/>
  <c r="E211" i="37"/>
  <c r="E211" i="41" s="1"/>
  <c r="D211" i="37"/>
  <c r="D211" i="41" s="1"/>
  <c r="C211" i="37"/>
  <c r="C211" i="41" s="1"/>
  <c r="B211" i="37"/>
  <c r="B211" i="41" s="1"/>
  <c r="A211" i="37"/>
  <c r="A211" i="41" s="1"/>
  <c r="G210" i="37"/>
  <c r="G210" i="41" s="1"/>
  <c r="F210" i="37"/>
  <c r="F210" i="41" s="1"/>
  <c r="E210" i="37"/>
  <c r="E210" i="41" s="1"/>
  <c r="D210" i="37"/>
  <c r="D210" i="41" s="1"/>
  <c r="C210" i="37"/>
  <c r="C210" i="41" s="1"/>
  <c r="B210" i="37"/>
  <c r="B210" i="41" s="1"/>
  <c r="A210" i="37"/>
  <c r="A210" i="41" s="1"/>
  <c r="G209" i="37"/>
  <c r="G209" i="41" s="1"/>
  <c r="F209" i="37"/>
  <c r="F209" i="41" s="1"/>
  <c r="E209" i="37"/>
  <c r="E209" i="41" s="1"/>
  <c r="D209" i="37"/>
  <c r="D209" i="41" s="1"/>
  <c r="C209" i="37"/>
  <c r="C209" i="41" s="1"/>
  <c r="B209" i="37"/>
  <c r="B209" i="41" s="1"/>
  <c r="A209" i="37"/>
  <c r="A209" i="41" s="1"/>
  <c r="G208" i="37"/>
  <c r="G208" i="41" s="1"/>
  <c r="F208" i="37"/>
  <c r="F208" i="41" s="1"/>
  <c r="E208" i="37"/>
  <c r="E208" i="41" s="1"/>
  <c r="D208" i="37"/>
  <c r="D208" i="41" s="1"/>
  <c r="C208" i="37"/>
  <c r="C208" i="41" s="1"/>
  <c r="B208" i="37"/>
  <c r="B208" i="41" s="1"/>
  <c r="A208" i="37"/>
  <c r="A208" i="41" s="1"/>
  <c r="G207" i="37"/>
  <c r="G207" i="41" s="1"/>
  <c r="F207" i="37"/>
  <c r="F207" i="41" s="1"/>
  <c r="E207" i="37"/>
  <c r="E207" i="41" s="1"/>
  <c r="D207" i="37"/>
  <c r="D207" i="41" s="1"/>
  <c r="C207" i="37"/>
  <c r="C207" i="41" s="1"/>
  <c r="B207" i="37"/>
  <c r="B207" i="41" s="1"/>
  <c r="A207" i="37"/>
  <c r="A207" i="41" s="1"/>
  <c r="G206" i="37"/>
  <c r="G206" i="41" s="1"/>
  <c r="F206" i="37"/>
  <c r="F206" i="41" s="1"/>
  <c r="E206" i="37"/>
  <c r="E206" i="41" s="1"/>
  <c r="D206" i="37"/>
  <c r="D206" i="41" s="1"/>
  <c r="C206" i="37"/>
  <c r="C206" i="41" s="1"/>
  <c r="B206" i="37"/>
  <c r="B206" i="41" s="1"/>
  <c r="A206" i="37"/>
  <c r="A206" i="41" s="1"/>
  <c r="G205" i="37"/>
  <c r="G205" i="41" s="1"/>
  <c r="F205" i="37"/>
  <c r="F205" i="41" s="1"/>
  <c r="E205" i="37"/>
  <c r="E205" i="41" s="1"/>
  <c r="D205" i="37"/>
  <c r="D205" i="41" s="1"/>
  <c r="C205" i="37"/>
  <c r="C205" i="41" s="1"/>
  <c r="B205" i="37"/>
  <c r="B205" i="41" s="1"/>
  <c r="A205" i="37"/>
  <c r="A205" i="41" s="1"/>
  <c r="G204" i="37"/>
  <c r="G204" i="41" s="1"/>
  <c r="F204" i="37"/>
  <c r="F204" i="41" s="1"/>
  <c r="E204" i="37"/>
  <c r="E204" i="41" s="1"/>
  <c r="D204" i="37"/>
  <c r="D204" i="41" s="1"/>
  <c r="C204" i="37"/>
  <c r="C204" i="41" s="1"/>
  <c r="B204" i="37"/>
  <c r="B204" i="41" s="1"/>
  <c r="A204" i="37"/>
  <c r="A204" i="41" s="1"/>
  <c r="G203" i="37"/>
  <c r="G203" i="41" s="1"/>
  <c r="F203" i="37"/>
  <c r="F203" i="41" s="1"/>
  <c r="E203" i="37"/>
  <c r="E203" i="41" s="1"/>
  <c r="D203" i="37"/>
  <c r="D203" i="41" s="1"/>
  <c r="C203" i="37"/>
  <c r="C203" i="41" s="1"/>
  <c r="B203" i="37"/>
  <c r="B203" i="41" s="1"/>
  <c r="A203" i="37"/>
  <c r="A203" i="41" s="1"/>
  <c r="G202" i="37"/>
  <c r="G202" i="41" s="1"/>
  <c r="F202" i="37"/>
  <c r="F202" i="41" s="1"/>
  <c r="E202" i="37"/>
  <c r="E202" i="41" s="1"/>
  <c r="D202" i="37"/>
  <c r="D202" i="41" s="1"/>
  <c r="C202" i="37"/>
  <c r="C202" i="41" s="1"/>
  <c r="B202" i="37"/>
  <c r="B202" i="41" s="1"/>
  <c r="A202" i="37"/>
  <c r="A202" i="41" s="1"/>
  <c r="G201" i="37"/>
  <c r="G201" i="41" s="1"/>
  <c r="F201" i="37"/>
  <c r="F201" i="41" s="1"/>
  <c r="E201" i="37"/>
  <c r="E201" i="41" s="1"/>
  <c r="D201" i="37"/>
  <c r="D201" i="41" s="1"/>
  <c r="C201" i="37"/>
  <c r="C201" i="41" s="1"/>
  <c r="B201" i="37"/>
  <c r="B201" i="41" s="1"/>
  <c r="A201" i="37"/>
  <c r="A201" i="41" s="1"/>
  <c r="G200" i="37"/>
  <c r="G200" i="41" s="1"/>
  <c r="F200" i="37"/>
  <c r="F200" i="41" s="1"/>
  <c r="E200" i="37"/>
  <c r="E200" i="41" s="1"/>
  <c r="D200" i="37"/>
  <c r="D200" i="41" s="1"/>
  <c r="C200" i="37"/>
  <c r="C200" i="41" s="1"/>
  <c r="B200" i="37"/>
  <c r="B200" i="41" s="1"/>
  <c r="A200" i="37"/>
  <c r="A200" i="41" s="1"/>
  <c r="G199" i="37"/>
  <c r="G199" i="41" s="1"/>
  <c r="F199" i="37"/>
  <c r="F199" i="41" s="1"/>
  <c r="E199" i="37"/>
  <c r="E199" i="41" s="1"/>
  <c r="D199" i="37"/>
  <c r="D199" i="41" s="1"/>
  <c r="C199" i="37"/>
  <c r="C199" i="41" s="1"/>
  <c r="B199" i="37"/>
  <c r="B199" i="41" s="1"/>
  <c r="A199" i="37"/>
  <c r="A199" i="41" s="1"/>
  <c r="G198" i="37"/>
  <c r="G198" i="41" s="1"/>
  <c r="F198" i="37"/>
  <c r="F198" i="41" s="1"/>
  <c r="E198" i="37"/>
  <c r="E198" i="41" s="1"/>
  <c r="D198" i="37"/>
  <c r="D198" i="41" s="1"/>
  <c r="C198" i="37"/>
  <c r="C198" i="41" s="1"/>
  <c r="B198" i="37"/>
  <c r="B198" i="41" s="1"/>
  <c r="A198" i="37"/>
  <c r="A198" i="41" s="1"/>
  <c r="G197" i="37"/>
  <c r="G197" i="41" s="1"/>
  <c r="F197" i="37"/>
  <c r="F197" i="41" s="1"/>
  <c r="E197" i="37"/>
  <c r="E197" i="41" s="1"/>
  <c r="D197" i="37"/>
  <c r="D197" i="41" s="1"/>
  <c r="C197" i="37"/>
  <c r="C197" i="41" s="1"/>
  <c r="B197" i="37"/>
  <c r="B197" i="41" s="1"/>
  <c r="A197" i="37"/>
  <c r="A197" i="41" s="1"/>
  <c r="G196" i="37"/>
  <c r="G196" i="41" s="1"/>
  <c r="F196" i="37"/>
  <c r="F196" i="41" s="1"/>
  <c r="E196" i="37"/>
  <c r="E196" i="41" s="1"/>
  <c r="D196" i="37"/>
  <c r="D196" i="41" s="1"/>
  <c r="C196" i="37"/>
  <c r="C196" i="41" s="1"/>
  <c r="B196" i="37"/>
  <c r="B196" i="41" s="1"/>
  <c r="A196" i="37"/>
  <c r="A196" i="41" s="1"/>
  <c r="G195" i="37"/>
  <c r="G195" i="41" s="1"/>
  <c r="F195" i="37"/>
  <c r="F195" i="41" s="1"/>
  <c r="E195" i="37"/>
  <c r="E195" i="41" s="1"/>
  <c r="D195" i="37"/>
  <c r="D195" i="41" s="1"/>
  <c r="C195" i="37"/>
  <c r="C195" i="41" s="1"/>
  <c r="B195" i="37"/>
  <c r="B195" i="41" s="1"/>
  <c r="A195" i="37"/>
  <c r="A195" i="41" s="1"/>
  <c r="G194" i="37"/>
  <c r="G194" i="41" s="1"/>
  <c r="F194" i="37"/>
  <c r="F194" i="41" s="1"/>
  <c r="E194" i="37"/>
  <c r="E194" i="41" s="1"/>
  <c r="D194" i="37"/>
  <c r="D194" i="41" s="1"/>
  <c r="C194" i="37"/>
  <c r="C194" i="41" s="1"/>
  <c r="B194" i="37"/>
  <c r="B194" i="41" s="1"/>
  <c r="A194" i="37"/>
  <c r="A194" i="41" s="1"/>
  <c r="G193" i="37"/>
  <c r="G193" i="41" s="1"/>
  <c r="F193" i="37"/>
  <c r="F193" i="41" s="1"/>
  <c r="E193" i="37"/>
  <c r="E193" i="41" s="1"/>
  <c r="D193" i="37"/>
  <c r="D193" i="41" s="1"/>
  <c r="C193" i="37"/>
  <c r="C193" i="41" s="1"/>
  <c r="B193" i="37"/>
  <c r="B193" i="41" s="1"/>
  <c r="A193" i="37"/>
  <c r="A193" i="41" s="1"/>
  <c r="G192" i="37"/>
  <c r="G192" i="41" s="1"/>
  <c r="F192" i="37"/>
  <c r="F192" i="41" s="1"/>
  <c r="E192" i="37"/>
  <c r="E192" i="41" s="1"/>
  <c r="D192" i="37"/>
  <c r="D192" i="41" s="1"/>
  <c r="C192" i="37"/>
  <c r="C192" i="41" s="1"/>
  <c r="B192" i="37"/>
  <c r="B192" i="41" s="1"/>
  <c r="A192" i="37"/>
  <c r="A192" i="41" s="1"/>
  <c r="G191" i="37"/>
  <c r="G191" i="41" s="1"/>
  <c r="F191" i="37"/>
  <c r="F191" i="41" s="1"/>
  <c r="E191" i="37"/>
  <c r="E191" i="41" s="1"/>
  <c r="D191" i="37"/>
  <c r="D191" i="41" s="1"/>
  <c r="C191" i="37"/>
  <c r="C191" i="41" s="1"/>
  <c r="B191" i="37"/>
  <c r="B191" i="41" s="1"/>
  <c r="A191" i="37"/>
  <c r="A191" i="41" s="1"/>
  <c r="G190" i="37"/>
  <c r="G190" i="41" s="1"/>
  <c r="F190" i="37"/>
  <c r="F190" i="41" s="1"/>
  <c r="E190" i="37"/>
  <c r="E190" i="41" s="1"/>
  <c r="D190" i="37"/>
  <c r="D190" i="41" s="1"/>
  <c r="C190" i="37"/>
  <c r="C190" i="41" s="1"/>
  <c r="B190" i="37"/>
  <c r="B190" i="41" s="1"/>
  <c r="A190" i="37"/>
  <c r="A190" i="41" s="1"/>
  <c r="G189" i="37"/>
  <c r="G189" i="41" s="1"/>
  <c r="F189" i="37"/>
  <c r="F189" i="41" s="1"/>
  <c r="E189" i="37"/>
  <c r="E189" i="41" s="1"/>
  <c r="D189" i="37"/>
  <c r="D189" i="41" s="1"/>
  <c r="C189" i="37"/>
  <c r="C189" i="41" s="1"/>
  <c r="B189" i="37"/>
  <c r="B189" i="41" s="1"/>
  <c r="A189" i="37"/>
  <c r="A189" i="41" s="1"/>
  <c r="G188" i="37"/>
  <c r="G188" i="41" s="1"/>
  <c r="F188" i="37"/>
  <c r="F188" i="41" s="1"/>
  <c r="E188" i="37"/>
  <c r="E188" i="41" s="1"/>
  <c r="D188" i="37"/>
  <c r="D188" i="41" s="1"/>
  <c r="C188" i="37"/>
  <c r="C188" i="41" s="1"/>
  <c r="B188" i="37"/>
  <c r="B188" i="41" s="1"/>
  <c r="A188" i="37"/>
  <c r="A188" i="41" s="1"/>
  <c r="G187" i="37"/>
  <c r="G187" i="41" s="1"/>
  <c r="F187" i="37"/>
  <c r="F187" i="41" s="1"/>
  <c r="E187" i="37"/>
  <c r="E187" i="41" s="1"/>
  <c r="D187" i="37"/>
  <c r="D187" i="41" s="1"/>
  <c r="C187" i="37"/>
  <c r="C187" i="41" s="1"/>
  <c r="B187" i="37"/>
  <c r="B187" i="41" s="1"/>
  <c r="A187" i="37"/>
  <c r="A187" i="41" s="1"/>
  <c r="G186" i="37"/>
  <c r="G186" i="41" s="1"/>
  <c r="F186" i="37"/>
  <c r="F186" i="41" s="1"/>
  <c r="E186" i="37"/>
  <c r="E186" i="41" s="1"/>
  <c r="D186" i="37"/>
  <c r="D186" i="41" s="1"/>
  <c r="C186" i="37"/>
  <c r="C186" i="41" s="1"/>
  <c r="B186" i="37"/>
  <c r="B186" i="41" s="1"/>
  <c r="A186" i="37"/>
  <c r="A186" i="41" s="1"/>
  <c r="G185" i="37"/>
  <c r="G185" i="41" s="1"/>
  <c r="F185" i="37"/>
  <c r="F185" i="41" s="1"/>
  <c r="E185" i="37"/>
  <c r="E185" i="41" s="1"/>
  <c r="D185" i="37"/>
  <c r="D185" i="41" s="1"/>
  <c r="C185" i="37"/>
  <c r="C185" i="41" s="1"/>
  <c r="B185" i="37"/>
  <c r="B185" i="41" s="1"/>
  <c r="A185" i="37"/>
  <c r="A185" i="41" s="1"/>
  <c r="G184" i="37"/>
  <c r="G184" i="41" s="1"/>
  <c r="F184" i="37"/>
  <c r="F184" i="41" s="1"/>
  <c r="E184" i="37"/>
  <c r="E184" i="41" s="1"/>
  <c r="D184" i="37"/>
  <c r="D184" i="41" s="1"/>
  <c r="C184" i="37"/>
  <c r="C184" i="41" s="1"/>
  <c r="B184" i="37"/>
  <c r="B184" i="41" s="1"/>
  <c r="A184" i="37"/>
  <c r="A184" i="41" s="1"/>
  <c r="G183" i="37"/>
  <c r="G183" i="41" s="1"/>
  <c r="F183" i="37"/>
  <c r="F183" i="41" s="1"/>
  <c r="E183" i="37"/>
  <c r="E183" i="41" s="1"/>
  <c r="D183" i="37"/>
  <c r="D183" i="41" s="1"/>
  <c r="C183" i="37"/>
  <c r="C183" i="41" s="1"/>
  <c r="B183" i="37"/>
  <c r="B183" i="41" s="1"/>
  <c r="A183" i="37"/>
  <c r="A183" i="41" s="1"/>
  <c r="G182" i="37"/>
  <c r="G182" i="41" s="1"/>
  <c r="F182" i="37"/>
  <c r="F182" i="41" s="1"/>
  <c r="E182" i="37"/>
  <c r="E182" i="41" s="1"/>
  <c r="D182" i="37"/>
  <c r="D182" i="41" s="1"/>
  <c r="C182" i="37"/>
  <c r="C182" i="41" s="1"/>
  <c r="B182" i="37"/>
  <c r="B182" i="41" s="1"/>
  <c r="A182" i="37"/>
  <c r="A182" i="41" s="1"/>
  <c r="G181" i="37"/>
  <c r="G181" i="41" s="1"/>
  <c r="F181" i="37"/>
  <c r="F181" i="41" s="1"/>
  <c r="E181" i="37"/>
  <c r="E181" i="41" s="1"/>
  <c r="D181" i="37"/>
  <c r="D181" i="41" s="1"/>
  <c r="C181" i="37"/>
  <c r="C181" i="41" s="1"/>
  <c r="B181" i="37"/>
  <c r="B181" i="41" s="1"/>
  <c r="A181" i="37"/>
  <c r="A181" i="41" s="1"/>
  <c r="G180" i="37"/>
  <c r="G180" i="41" s="1"/>
  <c r="F180" i="37"/>
  <c r="F180" i="41" s="1"/>
  <c r="E180" i="37"/>
  <c r="E180" i="41" s="1"/>
  <c r="D180" i="37"/>
  <c r="D180" i="41" s="1"/>
  <c r="C180" i="37"/>
  <c r="C180" i="41" s="1"/>
  <c r="B180" i="37"/>
  <c r="B180" i="41" s="1"/>
  <c r="A180" i="37"/>
  <c r="A180" i="41" s="1"/>
  <c r="G179" i="37"/>
  <c r="G179" i="41" s="1"/>
  <c r="F179" i="37"/>
  <c r="F179" i="41" s="1"/>
  <c r="E179" i="37"/>
  <c r="E179" i="41" s="1"/>
  <c r="D179" i="37"/>
  <c r="D179" i="41" s="1"/>
  <c r="C179" i="37"/>
  <c r="C179" i="41" s="1"/>
  <c r="B179" i="37"/>
  <c r="B179" i="41" s="1"/>
  <c r="A179" i="37"/>
  <c r="A179" i="41" s="1"/>
  <c r="G178" i="37"/>
  <c r="G178" i="41" s="1"/>
  <c r="F178" i="37"/>
  <c r="F178" i="41" s="1"/>
  <c r="E178" i="37"/>
  <c r="E178" i="41" s="1"/>
  <c r="D178" i="37"/>
  <c r="D178" i="41" s="1"/>
  <c r="C178" i="37"/>
  <c r="C178" i="41" s="1"/>
  <c r="B178" i="37"/>
  <c r="B178" i="41" s="1"/>
  <c r="A178" i="37"/>
  <c r="A178" i="41" s="1"/>
  <c r="G177" i="37"/>
  <c r="G177" i="41" s="1"/>
  <c r="F177" i="37"/>
  <c r="F177" i="41" s="1"/>
  <c r="E177" i="37"/>
  <c r="E177" i="41" s="1"/>
  <c r="D177" i="37"/>
  <c r="D177" i="41" s="1"/>
  <c r="C177" i="37"/>
  <c r="C177" i="41" s="1"/>
  <c r="B177" i="37"/>
  <c r="B177" i="41" s="1"/>
  <c r="A177" i="37"/>
  <c r="A177" i="41" s="1"/>
  <c r="G176" i="37"/>
  <c r="G176" i="41" s="1"/>
  <c r="F176" i="37"/>
  <c r="F176" i="41" s="1"/>
  <c r="E176" i="37"/>
  <c r="E176" i="41" s="1"/>
  <c r="D176" i="37"/>
  <c r="D176" i="41" s="1"/>
  <c r="C176" i="37"/>
  <c r="C176" i="41" s="1"/>
  <c r="B176" i="37"/>
  <c r="B176" i="41" s="1"/>
  <c r="A176" i="37"/>
  <c r="A176" i="41" s="1"/>
  <c r="G175" i="37"/>
  <c r="G175" i="41" s="1"/>
  <c r="F175" i="37"/>
  <c r="F175" i="41" s="1"/>
  <c r="E175" i="37"/>
  <c r="E175" i="41" s="1"/>
  <c r="D175" i="37"/>
  <c r="D175" i="41" s="1"/>
  <c r="C175" i="37"/>
  <c r="C175" i="41" s="1"/>
  <c r="B175" i="37"/>
  <c r="B175" i="41" s="1"/>
  <c r="A175" i="37"/>
  <c r="A175" i="41" s="1"/>
  <c r="G174" i="37"/>
  <c r="G174" i="41" s="1"/>
  <c r="F174" i="37"/>
  <c r="F174" i="41" s="1"/>
  <c r="E174" i="37"/>
  <c r="E174" i="41" s="1"/>
  <c r="D174" i="37"/>
  <c r="D174" i="41" s="1"/>
  <c r="C174" i="37"/>
  <c r="C174" i="41" s="1"/>
  <c r="B174" i="37"/>
  <c r="B174" i="41" s="1"/>
  <c r="A174" i="37"/>
  <c r="A174" i="41" s="1"/>
  <c r="G173" i="37"/>
  <c r="G173" i="41" s="1"/>
  <c r="F173" i="37"/>
  <c r="F173" i="41" s="1"/>
  <c r="E173" i="37"/>
  <c r="E173" i="41" s="1"/>
  <c r="D173" i="37"/>
  <c r="D173" i="41" s="1"/>
  <c r="C173" i="37"/>
  <c r="C173" i="41" s="1"/>
  <c r="B173" i="37"/>
  <c r="B173" i="41" s="1"/>
  <c r="A173" i="37"/>
  <c r="A173" i="41" s="1"/>
  <c r="G172" i="37"/>
  <c r="G172" i="41" s="1"/>
  <c r="F172" i="37"/>
  <c r="F172" i="41" s="1"/>
  <c r="E172" i="37"/>
  <c r="E172" i="41" s="1"/>
  <c r="D172" i="37"/>
  <c r="D172" i="41" s="1"/>
  <c r="C172" i="37"/>
  <c r="C172" i="41" s="1"/>
  <c r="B172" i="37"/>
  <c r="B172" i="41" s="1"/>
  <c r="A172" i="37"/>
  <c r="A172" i="41" s="1"/>
  <c r="G171" i="37"/>
  <c r="G171" i="41" s="1"/>
  <c r="F171" i="37"/>
  <c r="F171" i="41" s="1"/>
  <c r="E171" i="37"/>
  <c r="E171" i="41" s="1"/>
  <c r="D171" i="37"/>
  <c r="D171" i="41" s="1"/>
  <c r="C171" i="37"/>
  <c r="C171" i="41" s="1"/>
  <c r="B171" i="37"/>
  <c r="B171" i="41" s="1"/>
  <c r="A171" i="37"/>
  <c r="A171" i="41" s="1"/>
  <c r="G170" i="37"/>
  <c r="G170" i="41" s="1"/>
  <c r="F170" i="37"/>
  <c r="F170" i="41" s="1"/>
  <c r="E170" i="37"/>
  <c r="E170" i="41" s="1"/>
  <c r="D170" i="37"/>
  <c r="D170" i="41" s="1"/>
  <c r="C170" i="37"/>
  <c r="C170" i="41" s="1"/>
  <c r="B170" i="37"/>
  <c r="B170" i="41" s="1"/>
  <c r="A170" i="37"/>
  <c r="A170" i="41" s="1"/>
  <c r="G169" i="37"/>
  <c r="G169" i="41" s="1"/>
  <c r="F169" i="37"/>
  <c r="F169" i="41" s="1"/>
  <c r="E169" i="37"/>
  <c r="E169" i="41" s="1"/>
  <c r="D169" i="37"/>
  <c r="D169" i="41" s="1"/>
  <c r="C169" i="37"/>
  <c r="C169" i="41" s="1"/>
  <c r="B169" i="37"/>
  <c r="B169" i="41" s="1"/>
  <c r="A169" i="37"/>
  <c r="A169" i="41" s="1"/>
  <c r="G168" i="37"/>
  <c r="G168" i="41" s="1"/>
  <c r="F168" i="37"/>
  <c r="F168" i="41" s="1"/>
  <c r="E168" i="37"/>
  <c r="E168" i="41" s="1"/>
  <c r="D168" i="37"/>
  <c r="D168" i="41" s="1"/>
  <c r="C168" i="37"/>
  <c r="C168" i="41" s="1"/>
  <c r="B168" i="37"/>
  <c r="B168" i="41" s="1"/>
  <c r="A168" i="37"/>
  <c r="A168" i="41" s="1"/>
  <c r="G167" i="37"/>
  <c r="G167" i="41" s="1"/>
  <c r="F167" i="37"/>
  <c r="F167" i="41" s="1"/>
  <c r="E167" i="37"/>
  <c r="E167" i="41" s="1"/>
  <c r="D167" i="37"/>
  <c r="D167" i="41" s="1"/>
  <c r="C167" i="37"/>
  <c r="C167" i="41" s="1"/>
  <c r="B167" i="37"/>
  <c r="B167" i="41" s="1"/>
  <c r="A167" i="37"/>
  <c r="A167" i="41" s="1"/>
  <c r="G166" i="37"/>
  <c r="G166" i="41" s="1"/>
  <c r="F166" i="37"/>
  <c r="F166" i="41" s="1"/>
  <c r="E166" i="37"/>
  <c r="E166" i="41" s="1"/>
  <c r="D166" i="37"/>
  <c r="D166" i="41" s="1"/>
  <c r="C166" i="37"/>
  <c r="C166" i="41" s="1"/>
  <c r="B166" i="37"/>
  <c r="B166" i="41" s="1"/>
  <c r="A166" i="37"/>
  <c r="A166" i="41" s="1"/>
  <c r="G165" i="37"/>
  <c r="G165" i="41" s="1"/>
  <c r="F165" i="37"/>
  <c r="F165" i="41" s="1"/>
  <c r="E165" i="37"/>
  <c r="E165" i="41" s="1"/>
  <c r="D165" i="37"/>
  <c r="D165" i="41" s="1"/>
  <c r="C165" i="37"/>
  <c r="C165" i="41" s="1"/>
  <c r="B165" i="37"/>
  <c r="B165" i="41" s="1"/>
  <c r="A165" i="37"/>
  <c r="A165" i="41" s="1"/>
  <c r="G164" i="37"/>
  <c r="G164" i="41" s="1"/>
  <c r="F164" i="37"/>
  <c r="F164" i="41" s="1"/>
  <c r="E164" i="37"/>
  <c r="E164" i="41" s="1"/>
  <c r="D164" i="37"/>
  <c r="D164" i="41" s="1"/>
  <c r="C164" i="37"/>
  <c r="C164" i="41" s="1"/>
  <c r="B164" i="37"/>
  <c r="B164" i="41" s="1"/>
  <c r="A164" i="37"/>
  <c r="A164" i="41" s="1"/>
  <c r="G163" i="37"/>
  <c r="G163" i="41" s="1"/>
  <c r="F163" i="37"/>
  <c r="F163" i="41" s="1"/>
  <c r="E163" i="37"/>
  <c r="E163" i="41" s="1"/>
  <c r="D163" i="37"/>
  <c r="D163" i="41" s="1"/>
  <c r="C163" i="37"/>
  <c r="C163" i="41" s="1"/>
  <c r="B163" i="37"/>
  <c r="B163" i="41" s="1"/>
  <c r="A163" i="37"/>
  <c r="A163" i="41" s="1"/>
  <c r="G162" i="37"/>
  <c r="G162" i="41" s="1"/>
  <c r="F162" i="37"/>
  <c r="F162" i="41" s="1"/>
  <c r="E162" i="37"/>
  <c r="E162" i="41" s="1"/>
  <c r="D162" i="37"/>
  <c r="D162" i="41" s="1"/>
  <c r="C162" i="37"/>
  <c r="C162" i="41" s="1"/>
  <c r="B162" i="37"/>
  <c r="B162" i="41" s="1"/>
  <c r="A162" i="37"/>
  <c r="A162" i="41" s="1"/>
  <c r="G161" i="37"/>
  <c r="G161" i="41" s="1"/>
  <c r="F161" i="37"/>
  <c r="F161" i="41" s="1"/>
  <c r="E161" i="37"/>
  <c r="E161" i="41" s="1"/>
  <c r="D161" i="37"/>
  <c r="D161" i="41" s="1"/>
  <c r="C161" i="37"/>
  <c r="C161" i="41" s="1"/>
  <c r="B161" i="37"/>
  <c r="B161" i="41" s="1"/>
  <c r="A161" i="37"/>
  <c r="A161" i="41" s="1"/>
  <c r="G160" i="37"/>
  <c r="G160" i="41" s="1"/>
  <c r="F160" i="37"/>
  <c r="F160" i="41" s="1"/>
  <c r="E160" i="37"/>
  <c r="E160" i="41" s="1"/>
  <c r="D160" i="37"/>
  <c r="D160" i="41" s="1"/>
  <c r="C160" i="37"/>
  <c r="C160" i="41" s="1"/>
  <c r="B160" i="37"/>
  <c r="B160" i="41" s="1"/>
  <c r="A160" i="37"/>
  <c r="A160" i="41" s="1"/>
  <c r="G159" i="37"/>
  <c r="G159" i="41" s="1"/>
  <c r="F159" i="37"/>
  <c r="F159" i="41" s="1"/>
  <c r="E159" i="37"/>
  <c r="E159" i="41" s="1"/>
  <c r="D159" i="37"/>
  <c r="D159" i="41" s="1"/>
  <c r="C159" i="37"/>
  <c r="C159" i="41" s="1"/>
  <c r="B159" i="37"/>
  <c r="B159" i="41" s="1"/>
  <c r="A159" i="37"/>
  <c r="A159" i="41" s="1"/>
  <c r="G158" i="37"/>
  <c r="G158" i="41" s="1"/>
  <c r="F158" i="37"/>
  <c r="F158" i="41" s="1"/>
  <c r="E158" i="37"/>
  <c r="E158" i="41" s="1"/>
  <c r="D158" i="37"/>
  <c r="D158" i="41" s="1"/>
  <c r="C158" i="37"/>
  <c r="C158" i="41" s="1"/>
  <c r="B158" i="37"/>
  <c r="B158" i="41" s="1"/>
  <c r="A158" i="37"/>
  <c r="A158" i="41" s="1"/>
  <c r="G157" i="37"/>
  <c r="G157" i="41" s="1"/>
  <c r="F157" i="37"/>
  <c r="F157" i="41" s="1"/>
  <c r="E157" i="37"/>
  <c r="E157" i="41" s="1"/>
  <c r="D157" i="37"/>
  <c r="D157" i="41" s="1"/>
  <c r="C157" i="37"/>
  <c r="C157" i="41" s="1"/>
  <c r="B157" i="37"/>
  <c r="B157" i="41" s="1"/>
  <c r="A157" i="37"/>
  <c r="A157" i="41" s="1"/>
  <c r="G156" i="37"/>
  <c r="G156" i="41" s="1"/>
  <c r="F156" i="37"/>
  <c r="F156" i="41" s="1"/>
  <c r="E156" i="37"/>
  <c r="E156" i="41" s="1"/>
  <c r="D156" i="37"/>
  <c r="D156" i="41" s="1"/>
  <c r="C156" i="37"/>
  <c r="C156" i="41" s="1"/>
  <c r="B156" i="37"/>
  <c r="B156" i="41" s="1"/>
  <c r="A156" i="37"/>
  <c r="A156" i="41" s="1"/>
  <c r="G155" i="37"/>
  <c r="G155" i="41" s="1"/>
  <c r="F155" i="37"/>
  <c r="F155" i="41" s="1"/>
  <c r="E155" i="37"/>
  <c r="E155" i="41" s="1"/>
  <c r="D155" i="37"/>
  <c r="D155" i="41" s="1"/>
  <c r="C155" i="37"/>
  <c r="C155" i="41" s="1"/>
  <c r="B155" i="37"/>
  <c r="B155" i="41" s="1"/>
  <c r="A155" i="37"/>
  <c r="A155" i="41" s="1"/>
  <c r="G154" i="37"/>
  <c r="G154" i="41" s="1"/>
  <c r="F154" i="37"/>
  <c r="F154" i="41" s="1"/>
  <c r="E154" i="37"/>
  <c r="E154" i="41" s="1"/>
  <c r="D154" i="37"/>
  <c r="D154" i="41" s="1"/>
  <c r="C154" i="37"/>
  <c r="C154" i="41" s="1"/>
  <c r="B154" i="37"/>
  <c r="B154" i="41" s="1"/>
  <c r="A154" i="37"/>
  <c r="A154" i="41" s="1"/>
  <c r="G153" i="37"/>
  <c r="G153" i="41" s="1"/>
  <c r="F153" i="37"/>
  <c r="F153" i="41" s="1"/>
  <c r="E153" i="37"/>
  <c r="E153" i="41" s="1"/>
  <c r="D153" i="37"/>
  <c r="D153" i="41" s="1"/>
  <c r="C153" i="37"/>
  <c r="C153" i="41" s="1"/>
  <c r="B153" i="37"/>
  <c r="B153" i="41" s="1"/>
  <c r="A153" i="37"/>
  <c r="A153" i="41" s="1"/>
  <c r="G152" i="37"/>
  <c r="G152" i="41" s="1"/>
  <c r="F152" i="37"/>
  <c r="F152" i="41" s="1"/>
  <c r="E152" i="37"/>
  <c r="E152" i="41" s="1"/>
  <c r="D152" i="37"/>
  <c r="D152" i="41" s="1"/>
  <c r="C152" i="37"/>
  <c r="C152" i="41" s="1"/>
  <c r="B152" i="37"/>
  <c r="B152" i="41" s="1"/>
  <c r="A152" i="37"/>
  <c r="A152" i="41" s="1"/>
  <c r="G151" i="37"/>
  <c r="G151" i="41" s="1"/>
  <c r="F151" i="37"/>
  <c r="F151" i="41" s="1"/>
  <c r="E151" i="37"/>
  <c r="E151" i="41" s="1"/>
  <c r="D151" i="37"/>
  <c r="D151" i="41" s="1"/>
  <c r="C151" i="37"/>
  <c r="C151" i="41" s="1"/>
  <c r="B151" i="37"/>
  <c r="B151" i="41" s="1"/>
  <c r="A151" i="37"/>
  <c r="A151" i="41" s="1"/>
  <c r="G150" i="37"/>
  <c r="G150" i="41" s="1"/>
  <c r="F150" i="37"/>
  <c r="F150" i="41" s="1"/>
  <c r="E150" i="37"/>
  <c r="E150" i="41" s="1"/>
  <c r="D150" i="37"/>
  <c r="D150" i="41" s="1"/>
  <c r="C150" i="37"/>
  <c r="C150" i="41" s="1"/>
  <c r="B150" i="37"/>
  <c r="B150" i="41" s="1"/>
  <c r="A150" i="37"/>
  <c r="A150" i="41" s="1"/>
  <c r="G149" i="37"/>
  <c r="G149" i="41" s="1"/>
  <c r="F149" i="37"/>
  <c r="F149" i="41" s="1"/>
  <c r="E149" i="37"/>
  <c r="E149" i="41" s="1"/>
  <c r="D149" i="37"/>
  <c r="D149" i="41" s="1"/>
  <c r="C149" i="37"/>
  <c r="C149" i="41" s="1"/>
  <c r="B149" i="37"/>
  <c r="B149" i="41" s="1"/>
  <c r="A149" i="37"/>
  <c r="A149" i="41" s="1"/>
  <c r="G148" i="37"/>
  <c r="G148" i="41" s="1"/>
  <c r="F148" i="37"/>
  <c r="F148" i="41" s="1"/>
  <c r="E148" i="37"/>
  <c r="E148" i="41" s="1"/>
  <c r="D148" i="37"/>
  <c r="D148" i="41" s="1"/>
  <c r="C148" i="37"/>
  <c r="C148" i="41" s="1"/>
  <c r="B148" i="37"/>
  <c r="B148" i="41" s="1"/>
  <c r="A148" i="37"/>
  <c r="A148" i="41" s="1"/>
  <c r="G147" i="37"/>
  <c r="G147" i="41" s="1"/>
  <c r="F147" i="37"/>
  <c r="F147" i="41" s="1"/>
  <c r="E147" i="37"/>
  <c r="E147" i="41" s="1"/>
  <c r="D147" i="37"/>
  <c r="D147" i="41" s="1"/>
  <c r="C147" i="37"/>
  <c r="C147" i="41" s="1"/>
  <c r="B147" i="37"/>
  <c r="B147" i="41" s="1"/>
  <c r="A147" i="37"/>
  <c r="A147" i="41" s="1"/>
  <c r="G146" i="37"/>
  <c r="G146" i="41" s="1"/>
  <c r="F146" i="37"/>
  <c r="F146" i="41" s="1"/>
  <c r="E146" i="37"/>
  <c r="E146" i="41" s="1"/>
  <c r="D146" i="37"/>
  <c r="D146" i="41" s="1"/>
  <c r="C146" i="37"/>
  <c r="C146" i="41" s="1"/>
  <c r="B146" i="37"/>
  <c r="B146" i="41" s="1"/>
  <c r="A146" i="37"/>
  <c r="A146" i="41" s="1"/>
  <c r="G145" i="37"/>
  <c r="G145" i="41" s="1"/>
  <c r="F145" i="37"/>
  <c r="F145" i="41" s="1"/>
  <c r="E145" i="37"/>
  <c r="E145" i="41" s="1"/>
  <c r="D145" i="37"/>
  <c r="D145" i="41" s="1"/>
  <c r="C145" i="37"/>
  <c r="C145" i="41" s="1"/>
  <c r="B145" i="37"/>
  <c r="B145" i="41" s="1"/>
  <c r="A145" i="37"/>
  <c r="A145" i="41" s="1"/>
  <c r="G144" i="37"/>
  <c r="G144" i="41" s="1"/>
  <c r="F144" i="37"/>
  <c r="F144" i="41" s="1"/>
  <c r="E144" i="37"/>
  <c r="E144" i="41" s="1"/>
  <c r="D144" i="37"/>
  <c r="D144" i="41" s="1"/>
  <c r="C144" i="37"/>
  <c r="C144" i="41" s="1"/>
  <c r="B144" i="37"/>
  <c r="B144" i="41" s="1"/>
  <c r="A144" i="37"/>
  <c r="A144" i="41" s="1"/>
  <c r="G143" i="37"/>
  <c r="G143" i="41" s="1"/>
  <c r="F143" i="37"/>
  <c r="F143" i="41" s="1"/>
  <c r="E143" i="37"/>
  <c r="E143" i="41" s="1"/>
  <c r="D143" i="37"/>
  <c r="D143" i="41" s="1"/>
  <c r="C143" i="37"/>
  <c r="C143" i="41" s="1"/>
  <c r="B143" i="37"/>
  <c r="B143" i="41" s="1"/>
  <c r="A143" i="37"/>
  <c r="A143" i="41" s="1"/>
  <c r="G142" i="37"/>
  <c r="G142" i="41" s="1"/>
  <c r="F142" i="37"/>
  <c r="F142" i="41" s="1"/>
  <c r="E142" i="37"/>
  <c r="E142" i="41" s="1"/>
  <c r="D142" i="37"/>
  <c r="D142" i="41" s="1"/>
  <c r="C142" i="37"/>
  <c r="C142" i="41" s="1"/>
  <c r="B142" i="37"/>
  <c r="B142" i="41" s="1"/>
  <c r="A142" i="37"/>
  <c r="A142" i="41" s="1"/>
  <c r="G141" i="37"/>
  <c r="G141" i="41" s="1"/>
  <c r="F141" i="37"/>
  <c r="F141" i="41" s="1"/>
  <c r="E141" i="37"/>
  <c r="E141" i="41" s="1"/>
  <c r="D141" i="37"/>
  <c r="D141" i="41" s="1"/>
  <c r="C141" i="37"/>
  <c r="C141" i="41" s="1"/>
  <c r="B141" i="37"/>
  <c r="B141" i="41" s="1"/>
  <c r="A141" i="37"/>
  <c r="A141" i="41" s="1"/>
  <c r="G140" i="37"/>
  <c r="G140" i="41" s="1"/>
  <c r="F140" i="37"/>
  <c r="F140" i="41" s="1"/>
  <c r="E140" i="37"/>
  <c r="E140" i="41" s="1"/>
  <c r="D140" i="37"/>
  <c r="D140" i="41" s="1"/>
  <c r="C140" i="37"/>
  <c r="C140" i="41" s="1"/>
  <c r="B140" i="37"/>
  <c r="B140" i="41" s="1"/>
  <c r="A140" i="37"/>
  <c r="A140" i="41" s="1"/>
  <c r="G139" i="37"/>
  <c r="G139" i="41" s="1"/>
  <c r="F139" i="37"/>
  <c r="F139" i="41" s="1"/>
  <c r="E139" i="37"/>
  <c r="E139" i="41" s="1"/>
  <c r="D139" i="37"/>
  <c r="D139" i="41" s="1"/>
  <c r="C139" i="37"/>
  <c r="C139" i="41" s="1"/>
  <c r="B139" i="37"/>
  <c r="B139" i="41" s="1"/>
  <c r="A139" i="37"/>
  <c r="A139" i="41" s="1"/>
  <c r="G138" i="37"/>
  <c r="G138" i="41" s="1"/>
  <c r="F138" i="37"/>
  <c r="F138" i="41" s="1"/>
  <c r="E138" i="37"/>
  <c r="E138" i="41" s="1"/>
  <c r="D138" i="37"/>
  <c r="D138" i="41" s="1"/>
  <c r="C138" i="37"/>
  <c r="C138" i="41" s="1"/>
  <c r="B138" i="37"/>
  <c r="B138" i="41" s="1"/>
  <c r="A138" i="37"/>
  <c r="A138" i="41" s="1"/>
  <c r="G137" i="37"/>
  <c r="G137" i="41" s="1"/>
  <c r="F137" i="37"/>
  <c r="F137" i="41" s="1"/>
  <c r="E137" i="37"/>
  <c r="E137" i="41" s="1"/>
  <c r="D137" i="37"/>
  <c r="D137" i="41" s="1"/>
  <c r="C137" i="37"/>
  <c r="C137" i="41" s="1"/>
  <c r="B137" i="37"/>
  <c r="B137" i="41" s="1"/>
  <c r="A137" i="37"/>
  <c r="A137" i="41" s="1"/>
  <c r="G136" i="37"/>
  <c r="G136" i="41" s="1"/>
  <c r="F136" i="37"/>
  <c r="F136" i="41" s="1"/>
  <c r="E136" i="37"/>
  <c r="E136" i="41" s="1"/>
  <c r="D136" i="37"/>
  <c r="D136" i="41" s="1"/>
  <c r="C136" i="37"/>
  <c r="C136" i="41" s="1"/>
  <c r="B136" i="37"/>
  <c r="B136" i="41" s="1"/>
  <c r="A136" i="37"/>
  <c r="A136" i="41" s="1"/>
  <c r="G135" i="37"/>
  <c r="G135" i="41" s="1"/>
  <c r="F135" i="37"/>
  <c r="F135" i="41" s="1"/>
  <c r="E135" i="37"/>
  <c r="E135" i="41" s="1"/>
  <c r="D135" i="37"/>
  <c r="D135" i="41" s="1"/>
  <c r="C135" i="37"/>
  <c r="C135" i="41" s="1"/>
  <c r="B135" i="37"/>
  <c r="B135" i="41" s="1"/>
  <c r="A135" i="37"/>
  <c r="A135" i="41" s="1"/>
  <c r="G134" i="37"/>
  <c r="G134" i="41" s="1"/>
  <c r="F134" i="37"/>
  <c r="F134" i="41" s="1"/>
  <c r="E134" i="37"/>
  <c r="E134" i="41" s="1"/>
  <c r="D134" i="37"/>
  <c r="D134" i="41" s="1"/>
  <c r="C134" i="37"/>
  <c r="C134" i="41" s="1"/>
  <c r="B134" i="37"/>
  <c r="B134" i="41" s="1"/>
  <c r="A134" i="37"/>
  <c r="A134" i="41" s="1"/>
  <c r="G133" i="37"/>
  <c r="G133" i="41" s="1"/>
  <c r="F133" i="37"/>
  <c r="F133" i="41" s="1"/>
  <c r="E133" i="37"/>
  <c r="E133" i="41" s="1"/>
  <c r="D133" i="37"/>
  <c r="D133" i="41" s="1"/>
  <c r="C133" i="37"/>
  <c r="C133" i="41" s="1"/>
  <c r="B133" i="37"/>
  <c r="B133" i="41" s="1"/>
  <c r="A133" i="37"/>
  <c r="A133" i="41" s="1"/>
  <c r="G132" i="37"/>
  <c r="G132" i="41" s="1"/>
  <c r="F132" i="37"/>
  <c r="F132" i="41" s="1"/>
  <c r="E132" i="37"/>
  <c r="E132" i="41" s="1"/>
  <c r="D132" i="37"/>
  <c r="D132" i="41" s="1"/>
  <c r="C132" i="37"/>
  <c r="C132" i="41" s="1"/>
  <c r="B132" i="37"/>
  <c r="B132" i="41" s="1"/>
  <c r="A132" i="37"/>
  <c r="A132" i="41" s="1"/>
  <c r="G131" i="37"/>
  <c r="G131" i="41" s="1"/>
  <c r="F131" i="37"/>
  <c r="F131" i="41" s="1"/>
  <c r="E131" i="37"/>
  <c r="E131" i="41" s="1"/>
  <c r="D131" i="37"/>
  <c r="D131" i="41" s="1"/>
  <c r="C131" i="37"/>
  <c r="C131" i="41" s="1"/>
  <c r="B131" i="37"/>
  <c r="B131" i="41" s="1"/>
  <c r="A131" i="37"/>
  <c r="A131" i="41" s="1"/>
  <c r="G130" i="37"/>
  <c r="G130" i="41" s="1"/>
  <c r="F130" i="37"/>
  <c r="F130" i="41" s="1"/>
  <c r="E130" i="37"/>
  <c r="E130" i="41" s="1"/>
  <c r="D130" i="37"/>
  <c r="D130" i="41" s="1"/>
  <c r="C130" i="37"/>
  <c r="C130" i="41" s="1"/>
  <c r="B130" i="37"/>
  <c r="B130" i="41" s="1"/>
  <c r="A130" i="37"/>
  <c r="A130" i="41" s="1"/>
  <c r="G129" i="37"/>
  <c r="G129" i="41" s="1"/>
  <c r="F129" i="37"/>
  <c r="F129" i="41" s="1"/>
  <c r="E129" i="37"/>
  <c r="E129" i="41" s="1"/>
  <c r="D129" i="37"/>
  <c r="D129" i="41" s="1"/>
  <c r="C129" i="37"/>
  <c r="C129" i="41" s="1"/>
  <c r="B129" i="37"/>
  <c r="B129" i="41" s="1"/>
  <c r="A129" i="37"/>
  <c r="A129" i="41" s="1"/>
  <c r="G128" i="37"/>
  <c r="G128" i="41" s="1"/>
  <c r="F128" i="37"/>
  <c r="F128" i="41" s="1"/>
  <c r="E128" i="37"/>
  <c r="E128" i="41" s="1"/>
  <c r="D128" i="37"/>
  <c r="D128" i="41" s="1"/>
  <c r="C128" i="37"/>
  <c r="C128" i="41" s="1"/>
  <c r="B128" i="37"/>
  <c r="B128" i="41" s="1"/>
  <c r="A128" i="37"/>
  <c r="A128" i="41" s="1"/>
  <c r="G127" i="37"/>
  <c r="G127" i="41" s="1"/>
  <c r="F127" i="37"/>
  <c r="F127" i="41" s="1"/>
  <c r="E127" i="37"/>
  <c r="E127" i="41" s="1"/>
  <c r="D127" i="37"/>
  <c r="D127" i="41" s="1"/>
  <c r="C127" i="37"/>
  <c r="C127" i="41" s="1"/>
  <c r="B127" i="37"/>
  <c r="B127" i="41" s="1"/>
  <c r="A127" i="37"/>
  <c r="A127" i="41" s="1"/>
  <c r="G126" i="37"/>
  <c r="G126" i="41" s="1"/>
  <c r="F126" i="37"/>
  <c r="F126" i="41" s="1"/>
  <c r="E126" i="37"/>
  <c r="E126" i="41" s="1"/>
  <c r="D126" i="37"/>
  <c r="D126" i="41" s="1"/>
  <c r="C126" i="37"/>
  <c r="C126" i="41" s="1"/>
  <c r="B126" i="37"/>
  <c r="B126" i="41" s="1"/>
  <c r="A126" i="37"/>
  <c r="A126" i="41" s="1"/>
  <c r="G125" i="37"/>
  <c r="G125" i="41" s="1"/>
  <c r="F125" i="37"/>
  <c r="F125" i="41" s="1"/>
  <c r="E125" i="37"/>
  <c r="E125" i="41" s="1"/>
  <c r="D125" i="37"/>
  <c r="D125" i="41" s="1"/>
  <c r="C125" i="37"/>
  <c r="C125" i="41" s="1"/>
  <c r="B125" i="37"/>
  <c r="B125" i="41" s="1"/>
  <c r="A125" i="37"/>
  <c r="A125" i="41" s="1"/>
  <c r="G124" i="37"/>
  <c r="G124" i="41" s="1"/>
  <c r="F124" i="37"/>
  <c r="F124" i="41" s="1"/>
  <c r="E124" i="37"/>
  <c r="E124" i="41" s="1"/>
  <c r="D124" i="37"/>
  <c r="D124" i="41" s="1"/>
  <c r="C124" i="37"/>
  <c r="C124" i="41" s="1"/>
  <c r="B124" i="37"/>
  <c r="B124" i="41" s="1"/>
  <c r="A124" i="37"/>
  <c r="A124" i="41" s="1"/>
  <c r="G123" i="37"/>
  <c r="G123" i="41" s="1"/>
  <c r="F123" i="37"/>
  <c r="F123" i="41" s="1"/>
  <c r="E123" i="37"/>
  <c r="E123" i="41" s="1"/>
  <c r="D123" i="37"/>
  <c r="D123" i="41" s="1"/>
  <c r="C123" i="37"/>
  <c r="C123" i="41" s="1"/>
  <c r="B123" i="37"/>
  <c r="B123" i="41" s="1"/>
  <c r="A123" i="37"/>
  <c r="A123" i="41" s="1"/>
  <c r="G122" i="37"/>
  <c r="G122" i="41" s="1"/>
  <c r="F122" i="37"/>
  <c r="F122" i="41" s="1"/>
  <c r="E122" i="37"/>
  <c r="E122" i="41" s="1"/>
  <c r="D122" i="37"/>
  <c r="D122" i="41" s="1"/>
  <c r="C122" i="37"/>
  <c r="C122" i="41" s="1"/>
  <c r="B122" i="37"/>
  <c r="B122" i="41" s="1"/>
  <c r="A122" i="37"/>
  <c r="A122" i="41" s="1"/>
  <c r="G121" i="37"/>
  <c r="G121" i="41" s="1"/>
  <c r="F121" i="37"/>
  <c r="F121" i="41" s="1"/>
  <c r="E121" i="37"/>
  <c r="E121" i="41" s="1"/>
  <c r="D121" i="37"/>
  <c r="D121" i="41" s="1"/>
  <c r="C121" i="37"/>
  <c r="C121" i="41" s="1"/>
  <c r="B121" i="37"/>
  <c r="B121" i="41" s="1"/>
  <c r="A121" i="37"/>
  <c r="A121" i="41" s="1"/>
  <c r="G120" i="37"/>
  <c r="G120" i="41" s="1"/>
  <c r="F120" i="37"/>
  <c r="F120" i="41" s="1"/>
  <c r="E120" i="37"/>
  <c r="E120" i="41" s="1"/>
  <c r="D120" i="37"/>
  <c r="D120" i="41" s="1"/>
  <c r="C120" i="37"/>
  <c r="C120" i="41" s="1"/>
  <c r="B120" i="37"/>
  <c r="B120" i="41" s="1"/>
  <c r="A120" i="37"/>
  <c r="A120" i="41" s="1"/>
  <c r="G119" i="37"/>
  <c r="G119" i="41" s="1"/>
  <c r="F119" i="37"/>
  <c r="F119" i="41" s="1"/>
  <c r="E119" i="37"/>
  <c r="E119" i="41" s="1"/>
  <c r="D119" i="37"/>
  <c r="D119" i="41" s="1"/>
  <c r="C119" i="37"/>
  <c r="C119" i="41" s="1"/>
  <c r="B119" i="37"/>
  <c r="B119" i="41" s="1"/>
  <c r="A119" i="37"/>
  <c r="A119" i="41" s="1"/>
  <c r="G118" i="37"/>
  <c r="G118" i="41" s="1"/>
  <c r="F118" i="37"/>
  <c r="F118" i="41" s="1"/>
  <c r="E118" i="37"/>
  <c r="E118" i="41" s="1"/>
  <c r="D118" i="37"/>
  <c r="D118" i="41" s="1"/>
  <c r="C118" i="37"/>
  <c r="C118" i="41" s="1"/>
  <c r="B118" i="37"/>
  <c r="B118" i="41" s="1"/>
  <c r="A118" i="37"/>
  <c r="A118" i="41" s="1"/>
  <c r="G117" i="37"/>
  <c r="G117" i="41" s="1"/>
  <c r="F117" i="37"/>
  <c r="F117" i="41" s="1"/>
  <c r="E117" i="37"/>
  <c r="E117" i="41" s="1"/>
  <c r="D117" i="37"/>
  <c r="D117" i="41" s="1"/>
  <c r="C117" i="37"/>
  <c r="C117" i="41" s="1"/>
  <c r="B117" i="37"/>
  <c r="B117" i="41" s="1"/>
  <c r="A117" i="37"/>
  <c r="A117" i="41" s="1"/>
  <c r="G116" i="37"/>
  <c r="G116" i="41" s="1"/>
  <c r="F116" i="37"/>
  <c r="F116" i="41" s="1"/>
  <c r="E116" i="37"/>
  <c r="E116" i="41" s="1"/>
  <c r="D116" i="37"/>
  <c r="D116" i="41" s="1"/>
  <c r="C116" i="37"/>
  <c r="C116" i="41" s="1"/>
  <c r="B116" i="37"/>
  <c r="B116" i="41" s="1"/>
  <c r="A116" i="37"/>
  <c r="A116" i="41" s="1"/>
  <c r="G115" i="37"/>
  <c r="G115" i="41" s="1"/>
  <c r="F115" i="37"/>
  <c r="F115" i="41" s="1"/>
  <c r="E115" i="37"/>
  <c r="E115" i="41" s="1"/>
  <c r="D115" i="37"/>
  <c r="D115" i="41" s="1"/>
  <c r="C115" i="37"/>
  <c r="C115" i="41" s="1"/>
  <c r="B115" i="37"/>
  <c r="B115" i="41" s="1"/>
  <c r="A115" i="37"/>
  <c r="A115" i="41" s="1"/>
  <c r="G114" i="37"/>
  <c r="G114" i="41" s="1"/>
  <c r="F114" i="37"/>
  <c r="F114" i="41" s="1"/>
  <c r="E114" i="37"/>
  <c r="E114" i="41" s="1"/>
  <c r="D114" i="37"/>
  <c r="D114" i="41" s="1"/>
  <c r="C114" i="37"/>
  <c r="C114" i="41" s="1"/>
  <c r="B114" i="37"/>
  <c r="B114" i="41" s="1"/>
  <c r="A114" i="37"/>
  <c r="A114" i="41" s="1"/>
  <c r="G113" i="37"/>
  <c r="G113" i="41" s="1"/>
  <c r="F113" i="37"/>
  <c r="F113" i="41" s="1"/>
  <c r="E113" i="37"/>
  <c r="E113" i="41" s="1"/>
  <c r="D113" i="37"/>
  <c r="D113" i="41" s="1"/>
  <c r="C113" i="37"/>
  <c r="C113" i="41" s="1"/>
  <c r="B113" i="37"/>
  <c r="B113" i="41" s="1"/>
  <c r="A113" i="37"/>
  <c r="A113" i="41" s="1"/>
  <c r="G112" i="37"/>
  <c r="G112" i="41" s="1"/>
  <c r="F112" i="37"/>
  <c r="F112" i="41" s="1"/>
  <c r="E112" i="37"/>
  <c r="E112" i="41" s="1"/>
  <c r="D112" i="37"/>
  <c r="D112" i="41" s="1"/>
  <c r="C112" i="37"/>
  <c r="C112" i="41" s="1"/>
  <c r="B112" i="37"/>
  <c r="B112" i="41" s="1"/>
  <c r="A112" i="37"/>
  <c r="A112" i="41" s="1"/>
  <c r="G111" i="37"/>
  <c r="G111" i="41" s="1"/>
  <c r="F111" i="37"/>
  <c r="F111" i="41" s="1"/>
  <c r="E111" i="37"/>
  <c r="E111" i="41" s="1"/>
  <c r="D111" i="37"/>
  <c r="D111" i="41" s="1"/>
  <c r="C111" i="37"/>
  <c r="C111" i="41" s="1"/>
  <c r="B111" i="37"/>
  <c r="B111" i="41" s="1"/>
  <c r="A111" i="37"/>
  <c r="A111" i="41" s="1"/>
  <c r="G110" i="37"/>
  <c r="G110" i="41" s="1"/>
  <c r="F110" i="37"/>
  <c r="F110" i="41" s="1"/>
  <c r="E110" i="37"/>
  <c r="E110" i="41" s="1"/>
  <c r="D110" i="37"/>
  <c r="D110" i="41" s="1"/>
  <c r="C110" i="37"/>
  <c r="C110" i="41" s="1"/>
  <c r="B110" i="37"/>
  <c r="B110" i="41" s="1"/>
  <c r="A110" i="37"/>
  <c r="A110" i="41" s="1"/>
  <c r="G109" i="37"/>
  <c r="G109" i="41" s="1"/>
  <c r="F109" i="37"/>
  <c r="F109" i="41" s="1"/>
  <c r="E109" i="37"/>
  <c r="E109" i="41" s="1"/>
  <c r="D109" i="37"/>
  <c r="D109" i="41" s="1"/>
  <c r="C109" i="37"/>
  <c r="C109" i="41" s="1"/>
  <c r="B109" i="37"/>
  <c r="B109" i="41" s="1"/>
  <c r="A109" i="37"/>
  <c r="A109" i="41" s="1"/>
  <c r="G108" i="37"/>
  <c r="G108" i="41" s="1"/>
  <c r="F108" i="37"/>
  <c r="F108" i="41" s="1"/>
  <c r="E108" i="37"/>
  <c r="E108" i="41" s="1"/>
  <c r="D108" i="37"/>
  <c r="D108" i="41" s="1"/>
  <c r="C108" i="37"/>
  <c r="C108" i="41" s="1"/>
  <c r="B108" i="37"/>
  <c r="B108" i="41" s="1"/>
  <c r="A108" i="37"/>
  <c r="A108" i="41" s="1"/>
  <c r="G107" i="37"/>
  <c r="G107" i="41" s="1"/>
  <c r="F107" i="37"/>
  <c r="F107" i="41" s="1"/>
  <c r="E107" i="37"/>
  <c r="E107" i="41" s="1"/>
  <c r="D107" i="37"/>
  <c r="D107" i="41" s="1"/>
  <c r="C107" i="37"/>
  <c r="C107" i="41" s="1"/>
  <c r="B107" i="37"/>
  <c r="B107" i="41" s="1"/>
  <c r="A107" i="37"/>
  <c r="A107" i="41" s="1"/>
  <c r="G106" i="37"/>
  <c r="G106" i="41" s="1"/>
  <c r="F106" i="37"/>
  <c r="F106" i="41" s="1"/>
  <c r="E106" i="37"/>
  <c r="E106" i="41" s="1"/>
  <c r="D106" i="37"/>
  <c r="D106" i="41" s="1"/>
  <c r="C106" i="37"/>
  <c r="C106" i="41" s="1"/>
  <c r="B106" i="37"/>
  <c r="B106" i="41" s="1"/>
  <c r="A106" i="37"/>
  <c r="A106" i="41" s="1"/>
  <c r="G105" i="37"/>
  <c r="G105" i="41" s="1"/>
  <c r="F105" i="37"/>
  <c r="F105" i="41" s="1"/>
  <c r="E105" i="37"/>
  <c r="E105" i="41" s="1"/>
  <c r="D105" i="37"/>
  <c r="D105" i="41" s="1"/>
  <c r="C105" i="37"/>
  <c r="C105" i="41" s="1"/>
  <c r="B105" i="37"/>
  <c r="B105" i="41" s="1"/>
  <c r="A105" i="37"/>
  <c r="A105" i="41" s="1"/>
  <c r="G104" i="37"/>
  <c r="G104" i="41" s="1"/>
  <c r="F104" i="37"/>
  <c r="F104" i="41" s="1"/>
  <c r="E104" i="37"/>
  <c r="E104" i="41" s="1"/>
  <c r="D104" i="37"/>
  <c r="D104" i="41" s="1"/>
  <c r="C104" i="37"/>
  <c r="C104" i="41" s="1"/>
  <c r="B104" i="37"/>
  <c r="B104" i="41" s="1"/>
  <c r="A104" i="37"/>
  <c r="A104" i="41" s="1"/>
  <c r="G103" i="37"/>
  <c r="G103" i="41" s="1"/>
  <c r="F103" i="37"/>
  <c r="F103" i="41" s="1"/>
  <c r="E103" i="37"/>
  <c r="E103" i="41" s="1"/>
  <c r="D103" i="37"/>
  <c r="D103" i="41" s="1"/>
  <c r="C103" i="37"/>
  <c r="C103" i="41" s="1"/>
  <c r="B103" i="37"/>
  <c r="B103" i="41" s="1"/>
  <c r="A103" i="37"/>
  <c r="A103" i="41" s="1"/>
  <c r="G102" i="37"/>
  <c r="G102" i="41" s="1"/>
  <c r="F102" i="37"/>
  <c r="F102" i="41" s="1"/>
  <c r="E102" i="37"/>
  <c r="E102" i="41" s="1"/>
  <c r="D102" i="37"/>
  <c r="D102" i="41" s="1"/>
  <c r="C102" i="37"/>
  <c r="C102" i="41" s="1"/>
  <c r="B102" i="37"/>
  <c r="B102" i="41" s="1"/>
  <c r="A102" i="37"/>
  <c r="A102" i="41" s="1"/>
  <c r="G101" i="37"/>
  <c r="G101" i="41" s="1"/>
  <c r="F101" i="37"/>
  <c r="F101" i="41" s="1"/>
  <c r="E101" i="37"/>
  <c r="E101" i="41" s="1"/>
  <c r="D101" i="37"/>
  <c r="D101" i="41" s="1"/>
  <c r="C101" i="37"/>
  <c r="C101" i="41" s="1"/>
  <c r="B101" i="37"/>
  <c r="B101" i="41" s="1"/>
  <c r="A101" i="37"/>
  <c r="A101" i="41" s="1"/>
  <c r="G100" i="37"/>
  <c r="G100" i="41" s="1"/>
  <c r="F100" i="37"/>
  <c r="F100" i="41" s="1"/>
  <c r="E100" i="37"/>
  <c r="E100" i="41" s="1"/>
  <c r="D100" i="37"/>
  <c r="D100" i="41" s="1"/>
  <c r="C100" i="37"/>
  <c r="C100" i="41" s="1"/>
  <c r="B100" i="37"/>
  <c r="B100" i="41" s="1"/>
  <c r="A100" i="37"/>
  <c r="A100" i="41" s="1"/>
  <c r="G99" i="37"/>
  <c r="G99" i="41" s="1"/>
  <c r="F99" i="37"/>
  <c r="F99" i="41" s="1"/>
  <c r="E99" i="37"/>
  <c r="E99" i="41" s="1"/>
  <c r="D99" i="37"/>
  <c r="D99" i="41" s="1"/>
  <c r="C99" i="37"/>
  <c r="C99" i="41" s="1"/>
  <c r="B99" i="37"/>
  <c r="B99" i="41" s="1"/>
  <c r="A99" i="37"/>
  <c r="A99" i="41" s="1"/>
  <c r="G98" i="37"/>
  <c r="G98" i="41" s="1"/>
  <c r="F98" i="37"/>
  <c r="F98" i="41" s="1"/>
  <c r="E98" i="37"/>
  <c r="E98" i="41" s="1"/>
  <c r="D98" i="37"/>
  <c r="D98" i="41" s="1"/>
  <c r="C98" i="37"/>
  <c r="C98" i="41" s="1"/>
  <c r="B98" i="37"/>
  <c r="B98" i="41" s="1"/>
  <c r="A98" i="37"/>
  <c r="A98" i="41" s="1"/>
  <c r="G97" i="37"/>
  <c r="G97" i="41" s="1"/>
  <c r="F97" i="37"/>
  <c r="F97" i="41" s="1"/>
  <c r="E97" i="37"/>
  <c r="E97" i="41" s="1"/>
  <c r="D97" i="37"/>
  <c r="D97" i="41" s="1"/>
  <c r="C97" i="37"/>
  <c r="C97" i="41" s="1"/>
  <c r="B97" i="37"/>
  <c r="B97" i="41" s="1"/>
  <c r="A97" i="37"/>
  <c r="A97" i="41" s="1"/>
  <c r="G96" i="37"/>
  <c r="G96" i="41" s="1"/>
  <c r="F96" i="37"/>
  <c r="F96" i="41" s="1"/>
  <c r="E96" i="37"/>
  <c r="E96" i="41" s="1"/>
  <c r="D96" i="37"/>
  <c r="D96" i="41" s="1"/>
  <c r="C96" i="37"/>
  <c r="C96" i="41" s="1"/>
  <c r="B96" i="37"/>
  <c r="B96" i="41" s="1"/>
  <c r="A96" i="37"/>
  <c r="A96" i="41" s="1"/>
  <c r="G95" i="37"/>
  <c r="G95" i="41" s="1"/>
  <c r="F95" i="37"/>
  <c r="F95" i="41" s="1"/>
  <c r="E95" i="37"/>
  <c r="E95" i="41" s="1"/>
  <c r="D95" i="37"/>
  <c r="D95" i="41" s="1"/>
  <c r="C95" i="37"/>
  <c r="C95" i="41" s="1"/>
  <c r="B95" i="37"/>
  <c r="B95" i="41" s="1"/>
  <c r="A95" i="37"/>
  <c r="A95" i="41" s="1"/>
  <c r="G94" i="37"/>
  <c r="G94" i="41" s="1"/>
  <c r="F94" i="37"/>
  <c r="F94" i="41" s="1"/>
  <c r="E94" i="37"/>
  <c r="E94" i="41" s="1"/>
  <c r="D94" i="37"/>
  <c r="D94" i="41" s="1"/>
  <c r="C94" i="37"/>
  <c r="C94" i="41" s="1"/>
  <c r="B94" i="37"/>
  <c r="B94" i="41" s="1"/>
  <c r="A94" i="37"/>
  <c r="A94" i="41" s="1"/>
  <c r="G93" i="37"/>
  <c r="G93" i="41" s="1"/>
  <c r="F93" i="37"/>
  <c r="F93" i="41" s="1"/>
  <c r="E93" i="37"/>
  <c r="E93" i="41" s="1"/>
  <c r="D93" i="37"/>
  <c r="D93" i="41" s="1"/>
  <c r="C93" i="37"/>
  <c r="C93" i="41" s="1"/>
  <c r="B93" i="37"/>
  <c r="B93" i="41" s="1"/>
  <c r="A93" i="37"/>
  <c r="A93" i="41" s="1"/>
  <c r="G92" i="37"/>
  <c r="G92" i="41" s="1"/>
  <c r="F92" i="37"/>
  <c r="F92" i="41" s="1"/>
  <c r="E92" i="37"/>
  <c r="E92" i="41" s="1"/>
  <c r="D92" i="37"/>
  <c r="D92" i="41" s="1"/>
  <c r="C92" i="37"/>
  <c r="C92" i="41" s="1"/>
  <c r="B92" i="37"/>
  <c r="B92" i="41" s="1"/>
  <c r="A92" i="37"/>
  <c r="A92" i="41" s="1"/>
  <c r="G91" i="37"/>
  <c r="G91" i="41" s="1"/>
  <c r="F91" i="37"/>
  <c r="F91" i="41" s="1"/>
  <c r="E91" i="37"/>
  <c r="E91" i="41" s="1"/>
  <c r="D91" i="37"/>
  <c r="D91" i="41" s="1"/>
  <c r="C91" i="37"/>
  <c r="C91" i="41" s="1"/>
  <c r="B91" i="37"/>
  <c r="B91" i="41" s="1"/>
  <c r="A91" i="37"/>
  <c r="A91" i="41" s="1"/>
  <c r="G90" i="37"/>
  <c r="G90" i="41" s="1"/>
  <c r="F90" i="37"/>
  <c r="F90" i="41" s="1"/>
  <c r="E90" i="37"/>
  <c r="E90" i="41" s="1"/>
  <c r="D90" i="37"/>
  <c r="D90" i="41" s="1"/>
  <c r="C90" i="37"/>
  <c r="C90" i="41" s="1"/>
  <c r="B90" i="37"/>
  <c r="B90" i="41" s="1"/>
  <c r="A90" i="37"/>
  <c r="A90" i="41" s="1"/>
  <c r="G89" i="37"/>
  <c r="G89" i="41" s="1"/>
  <c r="F89" i="37"/>
  <c r="F89" i="41" s="1"/>
  <c r="E89" i="37"/>
  <c r="E89" i="41" s="1"/>
  <c r="D89" i="37"/>
  <c r="D89" i="41" s="1"/>
  <c r="C89" i="37"/>
  <c r="C89" i="41" s="1"/>
  <c r="B89" i="37"/>
  <c r="B89" i="41" s="1"/>
  <c r="A89" i="37"/>
  <c r="A89" i="41" s="1"/>
  <c r="G88" i="37"/>
  <c r="G88" i="41" s="1"/>
  <c r="F88" i="37"/>
  <c r="F88" i="41" s="1"/>
  <c r="E88" i="37"/>
  <c r="E88" i="41" s="1"/>
  <c r="D88" i="37"/>
  <c r="D88" i="41" s="1"/>
  <c r="C88" i="37"/>
  <c r="C88" i="41" s="1"/>
  <c r="B88" i="37"/>
  <c r="B88" i="41" s="1"/>
  <c r="A88" i="37"/>
  <c r="A88" i="41" s="1"/>
  <c r="G87" i="37"/>
  <c r="G87" i="41" s="1"/>
  <c r="F87" i="37"/>
  <c r="F87" i="41" s="1"/>
  <c r="E87" i="37"/>
  <c r="E87" i="41" s="1"/>
  <c r="D87" i="37"/>
  <c r="D87" i="41" s="1"/>
  <c r="C87" i="37"/>
  <c r="C87" i="41" s="1"/>
  <c r="B87" i="37"/>
  <c r="B87" i="41" s="1"/>
  <c r="A87" i="37"/>
  <c r="A87" i="41" s="1"/>
  <c r="G86" i="37"/>
  <c r="G86" i="41" s="1"/>
  <c r="F86" i="37"/>
  <c r="F86" i="41" s="1"/>
  <c r="E86" i="37"/>
  <c r="E86" i="41" s="1"/>
  <c r="D86" i="37"/>
  <c r="D86" i="41" s="1"/>
  <c r="C86" i="37"/>
  <c r="C86" i="41" s="1"/>
  <c r="B86" i="37"/>
  <c r="B86" i="41" s="1"/>
  <c r="A86" i="37"/>
  <c r="A86" i="41" s="1"/>
  <c r="G85" i="37"/>
  <c r="G85" i="41" s="1"/>
  <c r="F85" i="37"/>
  <c r="F85" i="41" s="1"/>
  <c r="E85" i="37"/>
  <c r="E85" i="41" s="1"/>
  <c r="D85" i="37"/>
  <c r="D85" i="41" s="1"/>
  <c r="C85" i="37"/>
  <c r="C85" i="41" s="1"/>
  <c r="B85" i="37"/>
  <c r="B85" i="41" s="1"/>
  <c r="A85" i="37"/>
  <c r="A85" i="41" s="1"/>
  <c r="G84" i="37"/>
  <c r="G84" i="41" s="1"/>
  <c r="F84" i="37"/>
  <c r="F84" i="41" s="1"/>
  <c r="E84" i="37"/>
  <c r="E84" i="41" s="1"/>
  <c r="D84" i="37"/>
  <c r="D84" i="41" s="1"/>
  <c r="C84" i="37"/>
  <c r="C84" i="41" s="1"/>
  <c r="B84" i="37"/>
  <c r="B84" i="41" s="1"/>
  <c r="A84" i="37"/>
  <c r="A84" i="41" s="1"/>
  <c r="G83" i="37"/>
  <c r="G83" i="41" s="1"/>
  <c r="F83" i="37"/>
  <c r="F83" i="41" s="1"/>
  <c r="E83" i="37"/>
  <c r="E83" i="41" s="1"/>
  <c r="D83" i="37"/>
  <c r="D83" i="41" s="1"/>
  <c r="C83" i="37"/>
  <c r="C83" i="41" s="1"/>
  <c r="B83" i="37"/>
  <c r="B83" i="41" s="1"/>
  <c r="A83" i="37"/>
  <c r="A83" i="41" s="1"/>
  <c r="G82" i="37"/>
  <c r="G82" i="41" s="1"/>
  <c r="F82" i="37"/>
  <c r="F82" i="41" s="1"/>
  <c r="E82" i="37"/>
  <c r="E82" i="41" s="1"/>
  <c r="D82" i="37"/>
  <c r="D82" i="41" s="1"/>
  <c r="C82" i="37"/>
  <c r="C82" i="41" s="1"/>
  <c r="B82" i="37"/>
  <c r="B82" i="41" s="1"/>
  <c r="A82" i="37"/>
  <c r="A82" i="41" s="1"/>
  <c r="G81" i="37"/>
  <c r="G81" i="41" s="1"/>
  <c r="F81" i="37"/>
  <c r="F81" i="41" s="1"/>
  <c r="E81" i="37"/>
  <c r="E81" i="41" s="1"/>
  <c r="D81" i="37"/>
  <c r="D81" i="41" s="1"/>
  <c r="C81" i="37"/>
  <c r="C81" i="41" s="1"/>
  <c r="B81" i="37"/>
  <c r="B81" i="41" s="1"/>
  <c r="A81" i="37"/>
  <c r="A81" i="41" s="1"/>
  <c r="G80" i="37"/>
  <c r="G80" i="41" s="1"/>
  <c r="F80" i="37"/>
  <c r="F80" i="41" s="1"/>
  <c r="E80" i="37"/>
  <c r="E80" i="41" s="1"/>
  <c r="D80" i="37"/>
  <c r="D80" i="41" s="1"/>
  <c r="C80" i="37"/>
  <c r="C80" i="41" s="1"/>
  <c r="B80" i="37"/>
  <c r="B80" i="41" s="1"/>
  <c r="A80" i="37"/>
  <c r="A80" i="41" s="1"/>
  <c r="G79" i="37"/>
  <c r="G79" i="41" s="1"/>
  <c r="F79" i="37"/>
  <c r="F79" i="41" s="1"/>
  <c r="E79" i="37"/>
  <c r="E79" i="41" s="1"/>
  <c r="D79" i="37"/>
  <c r="D79" i="41" s="1"/>
  <c r="C79" i="37"/>
  <c r="C79" i="41" s="1"/>
  <c r="B79" i="37"/>
  <c r="B79" i="41" s="1"/>
  <c r="A79" i="37"/>
  <c r="A79" i="41" s="1"/>
  <c r="G78" i="37"/>
  <c r="G78" i="41" s="1"/>
  <c r="F78" i="37"/>
  <c r="F78" i="41" s="1"/>
  <c r="E78" i="37"/>
  <c r="E78" i="41" s="1"/>
  <c r="D78" i="37"/>
  <c r="D78" i="41" s="1"/>
  <c r="C78" i="37"/>
  <c r="C78" i="41" s="1"/>
  <c r="B78" i="37"/>
  <c r="B78" i="41" s="1"/>
  <c r="A78" i="37"/>
  <c r="A78" i="41" s="1"/>
  <c r="G77" i="37"/>
  <c r="G77" i="41" s="1"/>
  <c r="F77" i="37"/>
  <c r="F77" i="41" s="1"/>
  <c r="E77" i="37"/>
  <c r="E77" i="41" s="1"/>
  <c r="D77" i="37"/>
  <c r="D77" i="41" s="1"/>
  <c r="C77" i="37"/>
  <c r="C77" i="41" s="1"/>
  <c r="B77" i="37"/>
  <c r="B77" i="41" s="1"/>
  <c r="A77" i="37"/>
  <c r="A77" i="41" s="1"/>
  <c r="G76" i="37"/>
  <c r="G76" i="41" s="1"/>
  <c r="F76" i="37"/>
  <c r="F76" i="41" s="1"/>
  <c r="E76" i="37"/>
  <c r="E76" i="41" s="1"/>
  <c r="D76" i="37"/>
  <c r="D76" i="41" s="1"/>
  <c r="C76" i="37"/>
  <c r="C76" i="41" s="1"/>
  <c r="B76" i="37"/>
  <c r="B76" i="41" s="1"/>
  <c r="A76" i="37"/>
  <c r="A76" i="41" s="1"/>
  <c r="G75" i="37"/>
  <c r="G75" i="41" s="1"/>
  <c r="F75" i="37"/>
  <c r="F75" i="41" s="1"/>
  <c r="E75" i="37"/>
  <c r="E75" i="41" s="1"/>
  <c r="D75" i="37"/>
  <c r="D75" i="41" s="1"/>
  <c r="C75" i="37"/>
  <c r="C75" i="41" s="1"/>
  <c r="B75" i="37"/>
  <c r="B75" i="41" s="1"/>
  <c r="A75" i="37"/>
  <c r="A75" i="41" s="1"/>
  <c r="G74" i="37"/>
  <c r="G74" i="41" s="1"/>
  <c r="F74" i="37"/>
  <c r="F74" i="41" s="1"/>
  <c r="E74" i="37"/>
  <c r="E74" i="41" s="1"/>
  <c r="D74" i="37"/>
  <c r="D74" i="41" s="1"/>
  <c r="C74" i="37"/>
  <c r="C74" i="41" s="1"/>
  <c r="B74" i="37"/>
  <c r="B74" i="41" s="1"/>
  <c r="A74" i="37"/>
  <c r="A74" i="41" s="1"/>
  <c r="G73" i="37"/>
  <c r="G73" i="41" s="1"/>
  <c r="F73" i="37"/>
  <c r="F73" i="41" s="1"/>
  <c r="E73" i="37"/>
  <c r="E73" i="41" s="1"/>
  <c r="D73" i="37"/>
  <c r="D73" i="41" s="1"/>
  <c r="C73" i="37"/>
  <c r="C73" i="41" s="1"/>
  <c r="B73" i="37"/>
  <c r="B73" i="41" s="1"/>
  <c r="A73" i="37"/>
  <c r="A73" i="41" s="1"/>
  <c r="G72" i="37"/>
  <c r="G72" i="41" s="1"/>
  <c r="F72" i="37"/>
  <c r="F72" i="41" s="1"/>
  <c r="E72" i="37"/>
  <c r="E72" i="41" s="1"/>
  <c r="D72" i="37"/>
  <c r="D72" i="41" s="1"/>
  <c r="C72" i="37"/>
  <c r="C72" i="41" s="1"/>
  <c r="B72" i="37"/>
  <c r="B72" i="41" s="1"/>
  <c r="A72" i="37"/>
  <c r="A72" i="41" s="1"/>
  <c r="G71" i="37"/>
  <c r="G71" i="41" s="1"/>
  <c r="F71" i="37"/>
  <c r="F71" i="41" s="1"/>
  <c r="E71" i="37"/>
  <c r="E71" i="41" s="1"/>
  <c r="D71" i="37"/>
  <c r="D71" i="41" s="1"/>
  <c r="C71" i="37"/>
  <c r="C71" i="41" s="1"/>
  <c r="B71" i="37"/>
  <c r="B71" i="41" s="1"/>
  <c r="A71" i="37"/>
  <c r="A71" i="41" s="1"/>
  <c r="G70" i="37"/>
  <c r="G70" i="41" s="1"/>
  <c r="F70" i="37"/>
  <c r="F70" i="41" s="1"/>
  <c r="E70" i="37"/>
  <c r="E70" i="41" s="1"/>
  <c r="D70" i="37"/>
  <c r="D70" i="41" s="1"/>
  <c r="C70" i="37"/>
  <c r="C70" i="41" s="1"/>
  <c r="B70" i="37"/>
  <c r="B70" i="41" s="1"/>
  <c r="A70" i="37"/>
  <c r="A70" i="41" s="1"/>
  <c r="G69" i="37"/>
  <c r="G69" i="41" s="1"/>
  <c r="F69" i="37"/>
  <c r="F69" i="41" s="1"/>
  <c r="E69" i="37"/>
  <c r="E69" i="41" s="1"/>
  <c r="D69" i="37"/>
  <c r="D69" i="41" s="1"/>
  <c r="C69" i="37"/>
  <c r="C69" i="41" s="1"/>
  <c r="B69" i="37"/>
  <c r="B69" i="41" s="1"/>
  <c r="A69" i="37"/>
  <c r="A69" i="41" s="1"/>
  <c r="G68" i="37"/>
  <c r="G68" i="41" s="1"/>
  <c r="F68" i="37"/>
  <c r="F68" i="41" s="1"/>
  <c r="E68" i="37"/>
  <c r="E68" i="41" s="1"/>
  <c r="D68" i="37"/>
  <c r="D68" i="41" s="1"/>
  <c r="C68" i="37"/>
  <c r="C68" i="41" s="1"/>
  <c r="B68" i="37"/>
  <c r="B68" i="41" s="1"/>
  <c r="A68" i="37"/>
  <c r="A68" i="41" s="1"/>
  <c r="G67" i="37"/>
  <c r="G67" i="41" s="1"/>
  <c r="F67" i="37"/>
  <c r="F67" i="41" s="1"/>
  <c r="E67" i="37"/>
  <c r="E67" i="41" s="1"/>
  <c r="D67" i="37"/>
  <c r="D67" i="41" s="1"/>
  <c r="C67" i="37"/>
  <c r="C67" i="41" s="1"/>
  <c r="B67" i="37"/>
  <c r="B67" i="41" s="1"/>
  <c r="A67" i="37"/>
  <c r="A67" i="41" s="1"/>
  <c r="G66" i="37"/>
  <c r="G66" i="41" s="1"/>
  <c r="F66" i="37"/>
  <c r="F66" i="41" s="1"/>
  <c r="E66" i="37"/>
  <c r="E66" i="41" s="1"/>
  <c r="D66" i="37"/>
  <c r="D66" i="41" s="1"/>
  <c r="C66" i="37"/>
  <c r="C66" i="41" s="1"/>
  <c r="B66" i="37"/>
  <c r="B66" i="41" s="1"/>
  <c r="A66" i="37"/>
  <c r="A66" i="41" s="1"/>
  <c r="G65" i="37"/>
  <c r="G65" i="41" s="1"/>
  <c r="F65" i="37"/>
  <c r="F65" i="41" s="1"/>
  <c r="E65" i="37"/>
  <c r="E65" i="41" s="1"/>
  <c r="D65" i="37"/>
  <c r="D65" i="41" s="1"/>
  <c r="C65" i="37"/>
  <c r="C65" i="41" s="1"/>
  <c r="B65" i="37"/>
  <c r="B65" i="41" s="1"/>
  <c r="A65" i="37"/>
  <c r="A65" i="41" s="1"/>
  <c r="G64" i="37"/>
  <c r="G64" i="41" s="1"/>
  <c r="F64" i="37"/>
  <c r="F64" i="41" s="1"/>
  <c r="E64" i="37"/>
  <c r="E64" i="41" s="1"/>
  <c r="D64" i="37"/>
  <c r="D64" i="41" s="1"/>
  <c r="C64" i="37"/>
  <c r="C64" i="41" s="1"/>
  <c r="B64" i="37"/>
  <c r="B64" i="41" s="1"/>
  <c r="A64" i="37"/>
  <c r="A64" i="41" s="1"/>
  <c r="G63" i="37"/>
  <c r="G63" i="41" s="1"/>
  <c r="F63" i="37"/>
  <c r="F63" i="41" s="1"/>
  <c r="E63" i="37"/>
  <c r="E63" i="41" s="1"/>
  <c r="D63" i="37"/>
  <c r="D63" i="41" s="1"/>
  <c r="C63" i="37"/>
  <c r="C63" i="41" s="1"/>
  <c r="B63" i="37"/>
  <c r="B63" i="41" s="1"/>
  <c r="A63" i="37"/>
  <c r="A63" i="41" s="1"/>
  <c r="G62" i="37"/>
  <c r="G62" i="41" s="1"/>
  <c r="F62" i="37"/>
  <c r="F62" i="41" s="1"/>
  <c r="E62" i="37"/>
  <c r="E62" i="41" s="1"/>
  <c r="D62" i="37"/>
  <c r="D62" i="41" s="1"/>
  <c r="C62" i="37"/>
  <c r="C62" i="41" s="1"/>
  <c r="B62" i="37"/>
  <c r="B62" i="41" s="1"/>
  <c r="A62" i="37"/>
  <c r="A62" i="41" s="1"/>
  <c r="G61" i="37"/>
  <c r="G61" i="41" s="1"/>
  <c r="F61" i="37"/>
  <c r="F61" i="41" s="1"/>
  <c r="E61" i="37"/>
  <c r="E61" i="41" s="1"/>
  <c r="D61" i="37"/>
  <c r="D61" i="41" s="1"/>
  <c r="C61" i="37"/>
  <c r="C61" i="41" s="1"/>
  <c r="B61" i="37"/>
  <c r="B61" i="41" s="1"/>
  <c r="A61" i="37"/>
  <c r="A61" i="41" s="1"/>
  <c r="G60" i="37"/>
  <c r="G60" i="41" s="1"/>
  <c r="F60" i="37"/>
  <c r="F60" i="41" s="1"/>
  <c r="E60" i="37"/>
  <c r="E60" i="41" s="1"/>
  <c r="D60" i="37"/>
  <c r="D60" i="41" s="1"/>
  <c r="C60" i="37"/>
  <c r="C60" i="41" s="1"/>
  <c r="B60" i="37"/>
  <c r="B60" i="41" s="1"/>
  <c r="A60" i="37"/>
  <c r="A60" i="41" s="1"/>
  <c r="G59" i="37"/>
  <c r="G59" i="41" s="1"/>
  <c r="F59" i="37"/>
  <c r="F59" i="41" s="1"/>
  <c r="E59" i="37"/>
  <c r="E59" i="41" s="1"/>
  <c r="D59" i="37"/>
  <c r="D59" i="41" s="1"/>
  <c r="C59" i="37"/>
  <c r="C59" i="41" s="1"/>
  <c r="B59" i="37"/>
  <c r="B59" i="41" s="1"/>
  <c r="A59" i="37"/>
  <c r="A59" i="41" s="1"/>
  <c r="G58" i="37"/>
  <c r="G58" i="41" s="1"/>
  <c r="F58" i="37"/>
  <c r="F58" i="41" s="1"/>
  <c r="E58" i="37"/>
  <c r="E58" i="41" s="1"/>
  <c r="D58" i="37"/>
  <c r="D58" i="41" s="1"/>
  <c r="C58" i="37"/>
  <c r="C58" i="41" s="1"/>
  <c r="B58" i="37"/>
  <c r="B58" i="41" s="1"/>
  <c r="A58" i="37"/>
  <c r="A58" i="41" s="1"/>
  <c r="G57" i="37"/>
  <c r="G57" i="41" s="1"/>
  <c r="F57" i="37"/>
  <c r="F57" i="41" s="1"/>
  <c r="E57" i="37"/>
  <c r="E57" i="41" s="1"/>
  <c r="D57" i="37"/>
  <c r="D57" i="41" s="1"/>
  <c r="C57" i="37"/>
  <c r="C57" i="41" s="1"/>
  <c r="B57" i="37"/>
  <c r="B57" i="41" s="1"/>
  <c r="A57" i="37"/>
  <c r="A57" i="41" s="1"/>
  <c r="G56" i="37"/>
  <c r="G56" i="41" s="1"/>
  <c r="F56" i="37"/>
  <c r="F56" i="41" s="1"/>
  <c r="E56" i="37"/>
  <c r="E56" i="41" s="1"/>
  <c r="D56" i="37"/>
  <c r="D56" i="41" s="1"/>
  <c r="C56" i="37"/>
  <c r="C56" i="41" s="1"/>
  <c r="B56" i="37"/>
  <c r="B56" i="41" s="1"/>
  <c r="A56" i="37"/>
  <c r="A56" i="41" s="1"/>
  <c r="G55" i="37"/>
  <c r="G55" i="41" s="1"/>
  <c r="F55" i="37"/>
  <c r="F55" i="41" s="1"/>
  <c r="E55" i="37"/>
  <c r="E55" i="41" s="1"/>
  <c r="D55" i="37"/>
  <c r="D55" i="41" s="1"/>
  <c r="C55" i="37"/>
  <c r="C55" i="41" s="1"/>
  <c r="B55" i="37"/>
  <c r="B55" i="41" s="1"/>
  <c r="A55" i="37"/>
  <c r="A55" i="41" s="1"/>
  <c r="G54" i="37"/>
  <c r="G54" i="41" s="1"/>
  <c r="F54" i="37"/>
  <c r="F54" i="41" s="1"/>
  <c r="E54" i="37"/>
  <c r="E54" i="41" s="1"/>
  <c r="D54" i="37"/>
  <c r="D54" i="41" s="1"/>
  <c r="C54" i="37"/>
  <c r="C54" i="41" s="1"/>
  <c r="B54" i="37"/>
  <c r="B54" i="41" s="1"/>
  <c r="A54" i="37"/>
  <c r="A54" i="41" s="1"/>
  <c r="G53" i="37"/>
  <c r="G53" i="41" s="1"/>
  <c r="F53" i="37"/>
  <c r="F53" i="41" s="1"/>
  <c r="E53" i="37"/>
  <c r="E53" i="41" s="1"/>
  <c r="D53" i="37"/>
  <c r="D53" i="41" s="1"/>
  <c r="C53" i="37"/>
  <c r="C53" i="41" s="1"/>
  <c r="B53" i="37"/>
  <c r="B53" i="41" s="1"/>
  <c r="A53" i="37"/>
  <c r="A53" i="41" s="1"/>
  <c r="G52" i="37"/>
  <c r="G52" i="41" s="1"/>
  <c r="F52" i="37"/>
  <c r="F52" i="41" s="1"/>
  <c r="E52" i="37"/>
  <c r="E52" i="41" s="1"/>
  <c r="D52" i="37"/>
  <c r="D52" i="41" s="1"/>
  <c r="C52" i="37"/>
  <c r="C52" i="41" s="1"/>
  <c r="B52" i="37"/>
  <c r="B52" i="41" s="1"/>
  <c r="A52" i="37"/>
  <c r="A52" i="41" s="1"/>
  <c r="G51" i="37"/>
  <c r="G51" i="41" s="1"/>
  <c r="F51" i="37"/>
  <c r="F51" i="41" s="1"/>
  <c r="E51" i="37"/>
  <c r="E51" i="41" s="1"/>
  <c r="D51" i="37"/>
  <c r="D51" i="41" s="1"/>
  <c r="C51" i="37"/>
  <c r="C51" i="41" s="1"/>
  <c r="B51" i="37"/>
  <c r="B51" i="41" s="1"/>
  <c r="A51" i="37"/>
  <c r="A51" i="41" s="1"/>
  <c r="G50" i="37"/>
  <c r="G50" i="41" s="1"/>
  <c r="F50" i="37"/>
  <c r="F50" i="41" s="1"/>
  <c r="E50" i="37"/>
  <c r="E50" i="41" s="1"/>
  <c r="D50" i="37"/>
  <c r="D50" i="41" s="1"/>
  <c r="C50" i="37"/>
  <c r="C50" i="41" s="1"/>
  <c r="B50" i="37"/>
  <c r="B50" i="41" s="1"/>
  <c r="A50" i="37"/>
  <c r="A50" i="41" s="1"/>
  <c r="G49" i="37"/>
  <c r="G49" i="41" s="1"/>
  <c r="F49" i="37"/>
  <c r="F49" i="41" s="1"/>
  <c r="E49" i="37"/>
  <c r="E49" i="41" s="1"/>
  <c r="D49" i="37"/>
  <c r="D49" i="41" s="1"/>
  <c r="C49" i="37"/>
  <c r="C49" i="41" s="1"/>
  <c r="B49" i="37"/>
  <c r="B49" i="41" s="1"/>
  <c r="A49" i="37"/>
  <c r="A49" i="41" s="1"/>
  <c r="G48" i="37"/>
  <c r="G48" i="41" s="1"/>
  <c r="F48" i="37"/>
  <c r="F48" i="41" s="1"/>
  <c r="E48" i="37"/>
  <c r="E48" i="41" s="1"/>
  <c r="D48" i="37"/>
  <c r="D48" i="41" s="1"/>
  <c r="C48" i="37"/>
  <c r="C48" i="41" s="1"/>
  <c r="B48" i="37"/>
  <c r="B48" i="41" s="1"/>
  <c r="A48" i="37"/>
  <c r="A48" i="41" s="1"/>
  <c r="G47" i="37"/>
  <c r="G47" i="41" s="1"/>
  <c r="F47" i="37"/>
  <c r="F47" i="41" s="1"/>
  <c r="E47" i="37"/>
  <c r="E47" i="41" s="1"/>
  <c r="D47" i="37"/>
  <c r="D47" i="41" s="1"/>
  <c r="C47" i="37"/>
  <c r="C47" i="41" s="1"/>
  <c r="B47" i="37"/>
  <c r="B47" i="41" s="1"/>
  <c r="A47" i="37"/>
  <c r="A47" i="41" s="1"/>
  <c r="G46" i="37"/>
  <c r="G46" i="41" s="1"/>
  <c r="F46" i="37"/>
  <c r="F46" i="41" s="1"/>
  <c r="E46" i="37"/>
  <c r="E46" i="41" s="1"/>
  <c r="D46" i="37"/>
  <c r="D46" i="41" s="1"/>
  <c r="C46" i="37"/>
  <c r="C46" i="41" s="1"/>
  <c r="B46" i="37"/>
  <c r="B46" i="41" s="1"/>
  <c r="A46" i="37"/>
  <c r="A46" i="41" s="1"/>
  <c r="G45" i="37"/>
  <c r="G45" i="41" s="1"/>
  <c r="F45" i="37"/>
  <c r="F45" i="41" s="1"/>
  <c r="E45" i="37"/>
  <c r="E45" i="41" s="1"/>
  <c r="D45" i="37"/>
  <c r="D45" i="41" s="1"/>
  <c r="C45" i="37"/>
  <c r="C45" i="41" s="1"/>
  <c r="B45" i="37"/>
  <c r="B45" i="41" s="1"/>
  <c r="A45" i="37"/>
  <c r="A45" i="41" s="1"/>
  <c r="G44" i="37"/>
  <c r="G44" i="41" s="1"/>
  <c r="F44" i="37"/>
  <c r="F44" i="41" s="1"/>
  <c r="E44" i="37"/>
  <c r="E44" i="41" s="1"/>
  <c r="D44" i="37"/>
  <c r="D44" i="41" s="1"/>
  <c r="C44" i="37"/>
  <c r="C44" i="41" s="1"/>
  <c r="B44" i="37"/>
  <c r="B44" i="41" s="1"/>
  <c r="A44" i="37"/>
  <c r="A44" i="41" s="1"/>
  <c r="G43" i="37"/>
  <c r="G43" i="41" s="1"/>
  <c r="F43" i="37"/>
  <c r="F43" i="41" s="1"/>
  <c r="E43" i="37"/>
  <c r="E43" i="41" s="1"/>
  <c r="D43" i="37"/>
  <c r="D43" i="41" s="1"/>
  <c r="C43" i="37"/>
  <c r="C43" i="41" s="1"/>
  <c r="B43" i="37"/>
  <c r="B43" i="41" s="1"/>
  <c r="A43" i="37"/>
  <c r="A43" i="41" s="1"/>
  <c r="G42" i="37"/>
  <c r="G42" i="41" s="1"/>
  <c r="F42" i="37"/>
  <c r="F42" i="41" s="1"/>
  <c r="E42" i="37"/>
  <c r="E42" i="41" s="1"/>
  <c r="D42" i="37"/>
  <c r="D42" i="41" s="1"/>
  <c r="C42" i="37"/>
  <c r="C42" i="41" s="1"/>
  <c r="B42" i="37"/>
  <c r="B42" i="41" s="1"/>
  <c r="A42" i="37"/>
  <c r="A42" i="41" s="1"/>
  <c r="G41" i="37"/>
  <c r="G41" i="41" s="1"/>
  <c r="F41" i="37"/>
  <c r="F41" i="41" s="1"/>
  <c r="E41" i="37"/>
  <c r="E41" i="41" s="1"/>
  <c r="D41" i="37"/>
  <c r="D41" i="41" s="1"/>
  <c r="C41" i="37"/>
  <c r="C41" i="41" s="1"/>
  <c r="B41" i="37"/>
  <c r="B41" i="41" s="1"/>
  <c r="A41" i="37"/>
  <c r="A41" i="41" s="1"/>
  <c r="G40" i="37"/>
  <c r="G40" i="41" s="1"/>
  <c r="F40" i="37"/>
  <c r="F40" i="41" s="1"/>
  <c r="E40" i="37"/>
  <c r="E40" i="41" s="1"/>
  <c r="D40" i="37"/>
  <c r="D40" i="41" s="1"/>
  <c r="C40" i="37"/>
  <c r="C40" i="41" s="1"/>
  <c r="B40" i="37"/>
  <c r="B40" i="41" s="1"/>
  <c r="A40" i="37"/>
  <c r="A40" i="41" s="1"/>
  <c r="G39" i="37"/>
  <c r="G39" i="41" s="1"/>
  <c r="F39" i="37"/>
  <c r="F39" i="41" s="1"/>
  <c r="E39" i="37"/>
  <c r="E39" i="41" s="1"/>
  <c r="D39" i="37"/>
  <c r="D39" i="41" s="1"/>
  <c r="C39" i="37"/>
  <c r="C39" i="41" s="1"/>
  <c r="B39" i="37"/>
  <c r="B39" i="41" s="1"/>
  <c r="A39" i="37"/>
  <c r="A39" i="41" s="1"/>
  <c r="G38" i="37"/>
  <c r="G38" i="41" s="1"/>
  <c r="F38" i="37"/>
  <c r="F38" i="41" s="1"/>
  <c r="E38" i="37"/>
  <c r="E38" i="41" s="1"/>
  <c r="D38" i="37"/>
  <c r="D38" i="41" s="1"/>
  <c r="C38" i="37"/>
  <c r="C38" i="41" s="1"/>
  <c r="B38" i="37"/>
  <c r="B38" i="41" s="1"/>
  <c r="A38" i="37"/>
  <c r="A38" i="41" s="1"/>
  <c r="G37" i="37"/>
  <c r="G37" i="41" s="1"/>
  <c r="F37" i="37"/>
  <c r="F37" i="41" s="1"/>
  <c r="E37" i="37"/>
  <c r="E37" i="41" s="1"/>
  <c r="D37" i="37"/>
  <c r="D37" i="41" s="1"/>
  <c r="C37" i="37"/>
  <c r="C37" i="41" s="1"/>
  <c r="B37" i="37"/>
  <c r="B37" i="41" s="1"/>
  <c r="A37" i="37"/>
  <c r="A37" i="41" s="1"/>
  <c r="G36" i="37"/>
  <c r="G36" i="41" s="1"/>
  <c r="F36" i="37"/>
  <c r="F36" i="41" s="1"/>
  <c r="E36" i="37"/>
  <c r="E36" i="41" s="1"/>
  <c r="D36" i="37"/>
  <c r="D36" i="41" s="1"/>
  <c r="C36" i="37"/>
  <c r="C36" i="41" s="1"/>
  <c r="B36" i="37"/>
  <c r="B36" i="41" s="1"/>
  <c r="A36" i="37"/>
  <c r="A36" i="41" s="1"/>
  <c r="G35" i="37"/>
  <c r="G35" i="41" s="1"/>
  <c r="F35" i="37"/>
  <c r="F35" i="41" s="1"/>
  <c r="E35" i="37"/>
  <c r="E35" i="41" s="1"/>
  <c r="D35" i="37"/>
  <c r="D35" i="41" s="1"/>
  <c r="C35" i="37"/>
  <c r="C35" i="41" s="1"/>
  <c r="B35" i="37"/>
  <c r="B35" i="41" s="1"/>
  <c r="A35" i="37"/>
  <c r="A35" i="41" s="1"/>
  <c r="G34" i="37"/>
  <c r="G34" i="41" s="1"/>
  <c r="F34" i="37"/>
  <c r="F34" i="41" s="1"/>
  <c r="E34" i="37"/>
  <c r="E34" i="41" s="1"/>
  <c r="D34" i="37"/>
  <c r="D34" i="41" s="1"/>
  <c r="C34" i="37"/>
  <c r="C34" i="41" s="1"/>
  <c r="B34" i="37"/>
  <c r="B34" i="41" s="1"/>
  <c r="A34" i="37"/>
  <c r="A34" i="41" s="1"/>
  <c r="G33" i="37"/>
  <c r="G33" i="41" s="1"/>
  <c r="F33" i="37"/>
  <c r="F33" i="41" s="1"/>
  <c r="E33" i="37"/>
  <c r="E33" i="41" s="1"/>
  <c r="D33" i="37"/>
  <c r="D33" i="41" s="1"/>
  <c r="C33" i="37"/>
  <c r="C33" i="41" s="1"/>
  <c r="B33" i="37"/>
  <c r="B33" i="41" s="1"/>
  <c r="A33" i="37"/>
  <c r="A33" i="41" s="1"/>
  <c r="G32" i="37"/>
  <c r="G32" i="41" s="1"/>
  <c r="F32" i="37"/>
  <c r="F32" i="41" s="1"/>
  <c r="E32" i="37"/>
  <c r="E32" i="41" s="1"/>
  <c r="D32" i="37"/>
  <c r="D32" i="41" s="1"/>
  <c r="C32" i="37"/>
  <c r="C32" i="41" s="1"/>
  <c r="B32" i="37"/>
  <c r="B32" i="41" s="1"/>
  <c r="A32" i="37"/>
  <c r="G31" i="37"/>
  <c r="G31" i="41" s="1"/>
  <c r="F31" i="37"/>
  <c r="F31" i="41" s="1"/>
  <c r="E31" i="37"/>
  <c r="E31" i="41" s="1"/>
  <c r="D31" i="37"/>
  <c r="D31" i="41" s="1"/>
  <c r="C31" i="37"/>
  <c r="C31" i="41" s="1"/>
  <c r="B31" i="37"/>
  <c r="B31" i="41" s="1"/>
  <c r="A31" i="37"/>
  <c r="A31" i="41" s="1"/>
  <c r="G30" i="37"/>
  <c r="G30" i="41" s="1"/>
  <c r="F30" i="37"/>
  <c r="F30" i="41" s="1"/>
  <c r="E30" i="37"/>
  <c r="E30" i="41" s="1"/>
  <c r="D30" i="37"/>
  <c r="D30" i="41" s="1"/>
  <c r="C30" i="37"/>
  <c r="C30" i="41" s="1"/>
  <c r="B30" i="37"/>
  <c r="B30" i="41" s="1"/>
  <c r="A30" i="37"/>
  <c r="A30" i="41" s="1"/>
  <c r="G29" i="37"/>
  <c r="G29" i="41" s="1"/>
  <c r="F29" i="37"/>
  <c r="F29" i="41" s="1"/>
  <c r="E29" i="37"/>
  <c r="E29" i="41" s="1"/>
  <c r="D29" i="37"/>
  <c r="D29" i="41" s="1"/>
  <c r="C29" i="37"/>
  <c r="C29" i="41" s="1"/>
  <c r="B29" i="37"/>
  <c r="B29" i="41" s="1"/>
  <c r="A29" i="37"/>
  <c r="A29" i="41" s="1"/>
  <c r="G28" i="37"/>
  <c r="G28" i="41" s="1"/>
  <c r="F28" i="37"/>
  <c r="F28" i="41" s="1"/>
  <c r="E28" i="37"/>
  <c r="E28" i="41" s="1"/>
  <c r="D28" i="37"/>
  <c r="D28" i="41" s="1"/>
  <c r="C28" i="37"/>
  <c r="C28" i="41" s="1"/>
  <c r="B28" i="37"/>
  <c r="B28" i="41" s="1"/>
  <c r="A28" i="37"/>
  <c r="A28" i="41" s="1"/>
  <c r="G27" i="37"/>
  <c r="G27" i="41" s="1"/>
  <c r="F27" i="37"/>
  <c r="F27" i="41" s="1"/>
  <c r="E27" i="37"/>
  <c r="E27" i="41" s="1"/>
  <c r="D27" i="37"/>
  <c r="D27" i="41" s="1"/>
  <c r="C27" i="37"/>
  <c r="C27" i="41" s="1"/>
  <c r="B27" i="37"/>
  <c r="B27" i="41" s="1"/>
  <c r="A27" i="37"/>
  <c r="A27" i="41" s="1"/>
  <c r="G26" i="37"/>
  <c r="G26" i="41" s="1"/>
  <c r="F26" i="37"/>
  <c r="F26" i="41" s="1"/>
  <c r="E26" i="37"/>
  <c r="E26" i="41" s="1"/>
  <c r="D26" i="37"/>
  <c r="D26" i="41" s="1"/>
  <c r="C26" i="37"/>
  <c r="C26" i="41" s="1"/>
  <c r="B26" i="37"/>
  <c r="B26" i="41" s="1"/>
  <c r="A26" i="37"/>
  <c r="A26" i="41" s="1"/>
  <c r="G25" i="37"/>
  <c r="G25" i="41" s="1"/>
  <c r="F25" i="37"/>
  <c r="F25" i="41" s="1"/>
  <c r="E25" i="37"/>
  <c r="E25" i="41" s="1"/>
  <c r="D25" i="37"/>
  <c r="D25" i="41" s="1"/>
  <c r="C25" i="37"/>
  <c r="C25" i="41" s="1"/>
  <c r="B25" i="37"/>
  <c r="B25" i="41" s="1"/>
  <c r="A25" i="37"/>
  <c r="A25" i="41" s="1"/>
  <c r="G24" i="37"/>
  <c r="G24" i="41" s="1"/>
  <c r="F24" i="37"/>
  <c r="F24" i="41" s="1"/>
  <c r="E24" i="37"/>
  <c r="E24" i="41" s="1"/>
  <c r="D24" i="37"/>
  <c r="D24" i="41" s="1"/>
  <c r="C24" i="37"/>
  <c r="C24" i="41" s="1"/>
  <c r="B24" i="37"/>
  <c r="B24" i="41" s="1"/>
  <c r="A24" i="37"/>
  <c r="A24" i="41" s="1"/>
  <c r="G23" i="37"/>
  <c r="G23" i="41" s="1"/>
  <c r="F23" i="37"/>
  <c r="F23" i="41" s="1"/>
  <c r="E23" i="37"/>
  <c r="E23" i="41" s="1"/>
  <c r="D23" i="37"/>
  <c r="D23" i="41" s="1"/>
  <c r="C23" i="37"/>
  <c r="C23" i="41" s="1"/>
  <c r="B23" i="37"/>
  <c r="B23" i="41" s="1"/>
  <c r="A23" i="37"/>
  <c r="A23" i="41" s="1"/>
  <c r="G22" i="37"/>
  <c r="G22" i="41" s="1"/>
  <c r="F22" i="37"/>
  <c r="F22" i="41" s="1"/>
  <c r="E22" i="37"/>
  <c r="E22" i="41" s="1"/>
  <c r="D22" i="37"/>
  <c r="D22" i="41" s="1"/>
  <c r="C22" i="37"/>
  <c r="C22" i="41" s="1"/>
  <c r="B22" i="37"/>
  <c r="B22" i="41" s="1"/>
  <c r="A22" i="37"/>
  <c r="A22" i="41" s="1"/>
  <c r="G21" i="37"/>
  <c r="G21" i="41" s="1"/>
  <c r="F21" i="37"/>
  <c r="F21" i="41" s="1"/>
  <c r="E21" i="37"/>
  <c r="E21" i="41" s="1"/>
  <c r="D21" i="37"/>
  <c r="D21" i="41" s="1"/>
  <c r="C21" i="37"/>
  <c r="C21" i="41" s="1"/>
  <c r="B21" i="37"/>
  <c r="A21" i="37"/>
  <c r="A21" i="41" s="1"/>
  <c r="G20" i="37"/>
  <c r="G20" i="41" s="1"/>
  <c r="F20" i="37"/>
  <c r="F20" i="41" s="1"/>
  <c r="E20" i="37"/>
  <c r="E20" i="41" s="1"/>
  <c r="D20" i="37"/>
  <c r="D20" i="41" s="1"/>
  <c r="C20" i="37"/>
  <c r="C20" i="41" s="1"/>
  <c r="B20" i="37"/>
  <c r="B20" i="41" s="1"/>
  <c r="A20" i="37"/>
  <c r="A20" i="41" s="1"/>
  <c r="G19" i="37"/>
  <c r="G19" i="41" s="1"/>
  <c r="F19" i="37"/>
  <c r="F19" i="41" s="1"/>
  <c r="E19" i="37"/>
  <c r="E19" i="41" s="1"/>
  <c r="D19" i="37"/>
  <c r="D19" i="41" s="1"/>
  <c r="C19" i="37"/>
  <c r="C19" i="41" s="1"/>
  <c r="B19" i="37"/>
  <c r="B19" i="41" s="1"/>
  <c r="A19" i="37"/>
  <c r="A19" i="41" s="1"/>
  <c r="G18" i="37"/>
  <c r="G18" i="41" s="1"/>
  <c r="F18" i="37"/>
  <c r="F18" i="41" s="1"/>
  <c r="E18" i="37"/>
  <c r="E18" i="41" s="1"/>
  <c r="D18" i="37"/>
  <c r="D18" i="41" s="1"/>
  <c r="C18" i="37"/>
  <c r="C18" i="41" s="1"/>
  <c r="B18" i="37"/>
  <c r="B18" i="41" s="1"/>
  <c r="A18" i="37"/>
  <c r="A18" i="41" s="1"/>
  <c r="G17" i="37"/>
  <c r="G17" i="41" s="1"/>
  <c r="F17" i="37"/>
  <c r="F17" i="41" s="1"/>
  <c r="E17" i="37"/>
  <c r="E17" i="41" s="1"/>
  <c r="D17" i="37"/>
  <c r="D17" i="41" s="1"/>
  <c r="C17" i="37"/>
  <c r="C17" i="41" s="1"/>
  <c r="B17" i="37"/>
  <c r="B17" i="41" s="1"/>
  <c r="A17" i="37"/>
  <c r="A17" i="41" s="1"/>
  <c r="G16" i="37"/>
  <c r="G16" i="41" s="1"/>
  <c r="F16" i="37"/>
  <c r="F16" i="41" s="1"/>
  <c r="E16" i="37"/>
  <c r="E16" i="41" s="1"/>
  <c r="D16" i="37"/>
  <c r="D16" i="41" s="1"/>
  <c r="C16" i="37"/>
  <c r="C16" i="41" s="1"/>
  <c r="B16" i="37"/>
  <c r="B16" i="41" s="1"/>
  <c r="A16" i="37"/>
  <c r="G15" i="37"/>
  <c r="G15" i="41" s="1"/>
  <c r="F15" i="37"/>
  <c r="F15" i="41" s="1"/>
  <c r="E15" i="37"/>
  <c r="E15" i="41" s="1"/>
  <c r="D15" i="37"/>
  <c r="D15" i="41" s="1"/>
  <c r="C15" i="37"/>
  <c r="C15" i="41" s="1"/>
  <c r="B15" i="37"/>
  <c r="B15" i="41" s="1"/>
  <c r="A15" i="37"/>
  <c r="A15" i="41" s="1"/>
  <c r="G14" i="37"/>
  <c r="G14" i="41" s="1"/>
  <c r="F14" i="37"/>
  <c r="F14" i="41" s="1"/>
  <c r="E14" i="37"/>
  <c r="E14" i="41" s="1"/>
  <c r="D14" i="37"/>
  <c r="D14" i="41" s="1"/>
  <c r="C14" i="37"/>
  <c r="C14" i="41" s="1"/>
  <c r="B14" i="37"/>
  <c r="B14" i="41" s="1"/>
  <c r="A14" i="37"/>
  <c r="A14" i="41" s="1"/>
  <c r="G13" i="37"/>
  <c r="G13" i="41" s="1"/>
  <c r="F13" i="37"/>
  <c r="F13" i="41" s="1"/>
  <c r="E13" i="37"/>
  <c r="E13" i="41" s="1"/>
  <c r="D13" i="37"/>
  <c r="D13" i="41" s="1"/>
  <c r="C13" i="37"/>
  <c r="C13" i="41" s="1"/>
  <c r="B13" i="37"/>
  <c r="B13" i="41" s="1"/>
  <c r="A13" i="37"/>
  <c r="A13" i="41" s="1"/>
  <c r="G12" i="37"/>
  <c r="G12" i="41" s="1"/>
  <c r="F12" i="37"/>
  <c r="F12" i="41" s="1"/>
  <c r="E12" i="37"/>
  <c r="E12" i="41" s="1"/>
  <c r="D12" i="37"/>
  <c r="D12" i="41" s="1"/>
  <c r="C12" i="37"/>
  <c r="C12" i="41" s="1"/>
  <c r="B12" i="37"/>
  <c r="B12" i="41" s="1"/>
  <c r="A12" i="37"/>
  <c r="A12" i="41" s="1"/>
  <c r="G11" i="37"/>
  <c r="G11" i="41" s="1"/>
  <c r="F11" i="37"/>
  <c r="F11" i="41" s="1"/>
  <c r="E11" i="37"/>
  <c r="E11" i="41" s="1"/>
  <c r="D11" i="37"/>
  <c r="D11" i="41" s="1"/>
  <c r="C11" i="37"/>
  <c r="C11" i="41" s="1"/>
  <c r="B11" i="37"/>
  <c r="B11" i="41" s="1"/>
  <c r="A11" i="37"/>
  <c r="A11" i="41" s="1"/>
  <c r="G10" i="37"/>
  <c r="G10" i="41" s="1"/>
  <c r="F10" i="37"/>
  <c r="F10" i="41" s="1"/>
  <c r="E10" i="37"/>
  <c r="E10" i="41" s="1"/>
  <c r="D10" i="37"/>
  <c r="D10" i="41" s="1"/>
  <c r="C10" i="37"/>
  <c r="C10" i="41" s="1"/>
  <c r="B10" i="37"/>
  <c r="B10" i="41" s="1"/>
  <c r="A10" i="37"/>
  <c r="A10" i="41" s="1"/>
  <c r="G9" i="37"/>
  <c r="G9" i="41" s="1"/>
  <c r="F9" i="37"/>
  <c r="F9" i="41" s="1"/>
  <c r="E9" i="37"/>
  <c r="E9" i="41" s="1"/>
  <c r="D9" i="37"/>
  <c r="D9" i="41" s="1"/>
  <c r="C9" i="37"/>
  <c r="C9" i="41" s="1"/>
  <c r="B9" i="37"/>
  <c r="B9" i="41" s="1"/>
  <c r="A9" i="37"/>
  <c r="A9" i="41" s="1"/>
  <c r="G8" i="37"/>
  <c r="G8" i="41" s="1"/>
  <c r="F8" i="37"/>
  <c r="F8" i="41" s="1"/>
  <c r="E8" i="37"/>
  <c r="E8" i="41" s="1"/>
  <c r="D8" i="37"/>
  <c r="D8" i="41" s="1"/>
  <c r="C8" i="37"/>
  <c r="C8" i="41" s="1"/>
  <c r="B8" i="37"/>
  <c r="B8" i="41" s="1"/>
  <c r="A8" i="37"/>
  <c r="A8" i="41" s="1"/>
  <c r="G7" i="37"/>
  <c r="G7" i="41" s="1"/>
  <c r="F7" i="37"/>
  <c r="F7" i="41" s="1"/>
  <c r="E7" i="37"/>
  <c r="E7" i="41" s="1"/>
  <c r="D7" i="37"/>
  <c r="D7" i="41" s="1"/>
  <c r="C7" i="37"/>
  <c r="C7" i="41" s="1"/>
  <c r="B7" i="37"/>
  <c r="B7" i="41" s="1"/>
  <c r="A7" i="37"/>
  <c r="A7" i="41" s="1"/>
  <c r="G6" i="37"/>
  <c r="G6" i="41" s="1"/>
  <c r="F6" i="37"/>
  <c r="F6" i="41" s="1"/>
  <c r="E6" i="37"/>
  <c r="E6" i="41" s="1"/>
  <c r="D6" i="37"/>
  <c r="D6" i="41" s="1"/>
  <c r="C6" i="37"/>
  <c r="C6" i="41" s="1"/>
  <c r="B6" i="37"/>
  <c r="B6" i="41" s="1"/>
  <c r="A6" i="37"/>
  <c r="A6" i="41" s="1"/>
  <c r="G5" i="37"/>
  <c r="G5" i="41" s="1"/>
  <c r="F5" i="37"/>
  <c r="E5" i="37"/>
  <c r="E5" i="41" s="1"/>
  <c r="D5" i="37"/>
  <c r="D5" i="41" s="1"/>
  <c r="C5" i="37"/>
  <c r="C5" i="41" s="1"/>
  <c r="B5" i="37"/>
  <c r="B5" i="41" s="1"/>
  <c r="A5" i="37"/>
  <c r="A5" i="41" s="1"/>
  <c r="G4" i="37"/>
  <c r="G4" i="41" s="1"/>
  <c r="F4" i="37"/>
  <c r="F4" i="41" s="1"/>
  <c r="E4" i="37"/>
  <c r="E4" i="41" s="1"/>
  <c r="D4" i="37"/>
  <c r="D4" i="41" s="1"/>
  <c r="C4" i="37"/>
  <c r="C4" i="41" s="1"/>
  <c r="B4" i="37"/>
  <c r="B4" i="41" s="1"/>
  <c r="A4" i="37"/>
  <c r="G3" i="37"/>
  <c r="G3" i="41" s="1"/>
  <c r="F3" i="37"/>
  <c r="E3" i="37"/>
  <c r="E3" i="41" s="1"/>
  <c r="D3" i="37"/>
  <c r="D3" i="41" s="1"/>
  <c r="C3" i="37"/>
  <c r="C3" i="41" s="1"/>
  <c r="B3" i="37"/>
  <c r="B3" i="41" s="1"/>
  <c r="A3" i="37"/>
  <c r="A3" i="41" s="1"/>
  <c r="U2" i="37"/>
  <c r="K2" i="37"/>
  <c r="J2" i="37"/>
  <c r="J2" i="41" s="1"/>
  <c r="I2" i="37"/>
  <c r="I2" i="41" s="1"/>
  <c r="H2" i="37"/>
  <c r="H2" i="41" s="1"/>
  <c r="G2" i="37"/>
  <c r="G2" i="41" s="1"/>
  <c r="F2" i="37"/>
  <c r="F2" i="41" s="1"/>
  <c r="E2" i="37"/>
  <c r="E2" i="41" s="1"/>
  <c r="D2" i="37"/>
  <c r="D2" i="41" s="1"/>
  <c r="C2" i="37"/>
  <c r="C2" i="41" s="1"/>
  <c r="B2" i="37"/>
  <c r="B2" i="41" s="1"/>
  <c r="A2" i="37"/>
  <c r="A2" i="41" s="1"/>
  <c r="U1" i="37"/>
  <c r="K1" i="37"/>
  <c r="J1" i="37"/>
  <c r="I1" i="37"/>
  <c r="G1" i="37"/>
  <c r="F1" i="37"/>
  <c r="E1" i="37"/>
  <c r="D1" i="37"/>
  <c r="C1" i="37"/>
  <c r="B1" i="37"/>
  <c r="C37" i="53"/>
  <c r="C36" i="53"/>
  <c r="C35" i="53"/>
  <c r="A35" i="53"/>
  <c r="C34" i="53"/>
  <c r="C33" i="53"/>
  <c r="C32" i="53"/>
  <c r="C31" i="53"/>
  <c r="C30" i="53"/>
  <c r="C29" i="53"/>
  <c r="A29" i="53"/>
  <c r="C28" i="53"/>
  <c r="C27" i="53"/>
  <c r="C26" i="53"/>
  <c r="C25" i="53"/>
  <c r="C24" i="53"/>
  <c r="C23" i="53"/>
  <c r="A23" i="53"/>
  <c r="C22" i="53"/>
  <c r="C21" i="53"/>
  <c r="C20" i="53"/>
  <c r="C19" i="53"/>
  <c r="C18" i="53"/>
  <c r="C17" i="53"/>
  <c r="A17" i="53"/>
  <c r="C16" i="53"/>
  <c r="C15" i="53"/>
  <c r="C14" i="53"/>
  <c r="C13" i="53"/>
  <c r="C12" i="53"/>
  <c r="C11" i="53"/>
  <c r="A11" i="53"/>
  <c r="C10" i="53"/>
  <c r="C9" i="53"/>
  <c r="C8" i="53"/>
  <c r="C7" i="53"/>
  <c r="C6" i="53"/>
  <c r="C5" i="53"/>
  <c r="C4" i="53"/>
  <c r="C3" i="53"/>
  <c r="C2" i="53"/>
  <c r="D415" i="38"/>
  <c r="D414" i="38"/>
  <c r="D413" i="38"/>
  <c r="D412" i="38"/>
  <c r="D411" i="38"/>
  <c r="D410" i="38"/>
  <c r="D409" i="38"/>
  <c r="D408" i="38"/>
  <c r="D407" i="38"/>
  <c r="D406" i="38"/>
  <c r="D405" i="38"/>
  <c r="D404" i="38"/>
  <c r="D403" i="38"/>
  <c r="D402" i="38"/>
  <c r="D401" i="38"/>
  <c r="D400" i="38"/>
  <c r="D399" i="38"/>
  <c r="D398" i="38"/>
  <c r="D397" i="38"/>
  <c r="D396" i="38"/>
  <c r="D395" i="38"/>
  <c r="D394" i="38"/>
  <c r="D393" i="38"/>
  <c r="D392" i="38"/>
  <c r="D391" i="38"/>
  <c r="D390" i="38"/>
  <c r="D389" i="38"/>
  <c r="D388" i="38"/>
  <c r="D387" i="38"/>
  <c r="D386" i="38"/>
  <c r="D385" i="38"/>
  <c r="D384" i="38"/>
  <c r="D383" i="38"/>
  <c r="D382" i="38"/>
  <c r="D381" i="38"/>
  <c r="D380" i="38"/>
  <c r="D379" i="38"/>
  <c r="D378" i="38"/>
  <c r="D377" i="38"/>
  <c r="D376" i="38"/>
  <c r="D375" i="38"/>
  <c r="D374" i="38"/>
  <c r="D373" i="38"/>
  <c r="D372" i="38"/>
  <c r="D371" i="38"/>
  <c r="D370" i="38"/>
  <c r="D369" i="38"/>
  <c r="D368" i="38"/>
  <c r="D367" i="38"/>
  <c r="D366" i="38"/>
  <c r="D365" i="38"/>
  <c r="D364" i="38"/>
  <c r="D363" i="38"/>
  <c r="D362" i="38"/>
  <c r="D361" i="38"/>
  <c r="D360" i="38"/>
  <c r="D359" i="38"/>
  <c r="D358" i="38"/>
  <c r="D357" i="38"/>
  <c r="D356" i="38"/>
  <c r="D355" i="38"/>
  <c r="D354" i="38"/>
  <c r="D353" i="38"/>
  <c r="D352" i="38"/>
  <c r="D351" i="38"/>
  <c r="D350" i="38"/>
  <c r="D349" i="38"/>
  <c r="D348" i="38"/>
  <c r="D347" i="38"/>
  <c r="C347" i="38"/>
  <c r="D346" i="38"/>
  <c r="D345" i="38"/>
  <c r="D344" i="38"/>
  <c r="D343" i="38"/>
  <c r="D342" i="38"/>
  <c r="D341" i="38"/>
  <c r="C341" i="38"/>
  <c r="D340" i="38"/>
  <c r="D339" i="38"/>
  <c r="D338" i="38"/>
  <c r="D337" i="38"/>
  <c r="D336" i="38"/>
  <c r="D335" i="38"/>
  <c r="C335" i="38"/>
  <c r="D334" i="38"/>
  <c r="D333" i="38"/>
  <c r="D332" i="38"/>
  <c r="D331" i="38"/>
  <c r="D330" i="38"/>
  <c r="D329" i="38"/>
  <c r="C329" i="38"/>
  <c r="D328" i="38"/>
  <c r="D327" i="38"/>
  <c r="D326" i="38"/>
  <c r="D325" i="38"/>
  <c r="D324" i="38"/>
  <c r="D323" i="38"/>
  <c r="C323" i="38"/>
  <c r="D322" i="38"/>
  <c r="D321" i="38"/>
  <c r="D320" i="38"/>
  <c r="D319" i="38"/>
  <c r="D318" i="38"/>
  <c r="D317" i="38"/>
  <c r="C317" i="38"/>
  <c r="D316" i="38"/>
  <c r="D315" i="38"/>
  <c r="D314" i="38"/>
  <c r="D313" i="38"/>
  <c r="D312" i="38"/>
  <c r="D311" i="38"/>
  <c r="C311" i="38"/>
  <c r="D310" i="38"/>
  <c r="D309" i="38"/>
  <c r="D308" i="38"/>
  <c r="D307" i="38"/>
  <c r="D306" i="38"/>
  <c r="D305" i="38"/>
  <c r="C305" i="38"/>
  <c r="D304" i="38"/>
  <c r="D303" i="38"/>
  <c r="D302" i="38"/>
  <c r="D301" i="38"/>
  <c r="D300" i="38"/>
  <c r="D299" i="38"/>
  <c r="C299" i="38"/>
  <c r="D298" i="38"/>
  <c r="D297" i="38"/>
  <c r="D296" i="38"/>
  <c r="D295" i="38"/>
  <c r="D294" i="38"/>
  <c r="D293" i="38"/>
  <c r="C293" i="38"/>
  <c r="D292" i="38"/>
  <c r="D291" i="38"/>
  <c r="D290" i="38"/>
  <c r="D289" i="38"/>
  <c r="D288" i="38"/>
  <c r="D287" i="38"/>
  <c r="D286" i="38"/>
  <c r="D285" i="38"/>
  <c r="D284" i="38"/>
  <c r="D283" i="38"/>
  <c r="D282" i="38"/>
  <c r="D281" i="38"/>
  <c r="D280" i="38"/>
  <c r="D279" i="38"/>
  <c r="D278" i="38"/>
  <c r="D277" i="38"/>
  <c r="D276" i="38"/>
  <c r="D275" i="38"/>
  <c r="D274" i="38"/>
  <c r="D273" i="38"/>
  <c r="D272" i="38"/>
  <c r="D271" i="38"/>
  <c r="D270" i="38"/>
  <c r="D269" i="38"/>
  <c r="D268" i="38"/>
  <c r="D267" i="38"/>
  <c r="D266" i="38"/>
  <c r="D265" i="38"/>
  <c r="D264" i="38"/>
  <c r="D263" i="38"/>
  <c r="D262" i="38"/>
  <c r="D261" i="38"/>
  <c r="D260" i="38"/>
  <c r="D259" i="38"/>
  <c r="D258" i="38"/>
  <c r="D257" i="38"/>
  <c r="D256" i="38"/>
  <c r="D255" i="38"/>
  <c r="D254" i="38"/>
  <c r="D253" i="38"/>
  <c r="D252" i="38"/>
  <c r="D251" i="38"/>
  <c r="D250" i="38"/>
  <c r="D249" i="38"/>
  <c r="D248" i="38"/>
  <c r="D247" i="38"/>
  <c r="D246" i="38"/>
  <c r="D245" i="38"/>
  <c r="D244" i="38"/>
  <c r="D243" i="38"/>
  <c r="D242" i="38"/>
  <c r="D241" i="38"/>
  <c r="D240" i="38"/>
  <c r="D239" i="38"/>
  <c r="D238" i="38"/>
  <c r="D237" i="38"/>
  <c r="D236" i="38"/>
  <c r="D235" i="38"/>
  <c r="D234" i="38"/>
  <c r="D233" i="38"/>
  <c r="D232" i="38"/>
  <c r="D231" i="38"/>
  <c r="D230" i="38"/>
  <c r="D229" i="38"/>
  <c r="D228" i="38"/>
  <c r="D227" i="38"/>
  <c r="D226" i="38"/>
  <c r="D225" i="38"/>
  <c r="D224" i="38"/>
  <c r="D223" i="38"/>
  <c r="D222" i="38"/>
  <c r="D221" i="38"/>
  <c r="D220" i="38"/>
  <c r="D219" i="38"/>
  <c r="D218" i="38"/>
  <c r="D217" i="38"/>
  <c r="D216" i="38"/>
  <c r="D215" i="38"/>
  <c r="D214" i="38"/>
  <c r="D213" i="38"/>
  <c r="D212" i="38"/>
  <c r="D211" i="38"/>
  <c r="D210" i="38"/>
  <c r="D209" i="38"/>
  <c r="D208" i="38"/>
  <c r="D207" i="38"/>
  <c r="D206" i="38"/>
  <c r="D205" i="38"/>
  <c r="D204" i="38"/>
  <c r="D203" i="38"/>
  <c r="D202" i="38"/>
  <c r="D201" i="38"/>
  <c r="D200" i="38"/>
  <c r="D199" i="38"/>
  <c r="D198" i="38"/>
  <c r="D197" i="38"/>
  <c r="D196" i="38"/>
  <c r="D195" i="38"/>
  <c r="D194" i="38"/>
  <c r="D193" i="38"/>
  <c r="D192" i="38"/>
  <c r="D191" i="38"/>
  <c r="D190" i="38"/>
  <c r="D189" i="38"/>
  <c r="D188" i="38"/>
  <c r="D187" i="38"/>
  <c r="C187" i="38"/>
  <c r="D186" i="38"/>
  <c r="C186" i="38"/>
  <c r="D185" i="38"/>
  <c r="C185" i="38"/>
  <c r="D184" i="38"/>
  <c r="C184" i="38"/>
  <c r="D183" i="38"/>
  <c r="C183" i="38"/>
  <c r="D182" i="38"/>
  <c r="C182" i="38"/>
  <c r="D181" i="38"/>
  <c r="C181" i="38"/>
  <c r="D180" i="38"/>
  <c r="C180" i="38"/>
  <c r="D179" i="38"/>
  <c r="C179" i="38"/>
  <c r="D178" i="38"/>
  <c r="C178" i="38"/>
  <c r="D177" i="38"/>
  <c r="C177" i="38"/>
  <c r="D176" i="38"/>
  <c r="C176" i="38"/>
  <c r="D175" i="38"/>
  <c r="C175" i="38"/>
  <c r="D174" i="38"/>
  <c r="C174" i="38"/>
  <c r="D173" i="38"/>
  <c r="C173" i="38"/>
  <c r="D172" i="38"/>
  <c r="C172" i="38"/>
  <c r="D171" i="38"/>
  <c r="C171" i="38"/>
  <c r="D170" i="38"/>
  <c r="C170" i="38"/>
  <c r="D169" i="38"/>
  <c r="C169" i="38"/>
  <c r="D168" i="38"/>
  <c r="C168" i="38"/>
  <c r="D167" i="38"/>
  <c r="C167" i="38"/>
  <c r="D166" i="38"/>
  <c r="C166" i="38"/>
  <c r="D165" i="38"/>
  <c r="C165" i="38"/>
  <c r="D164" i="38"/>
  <c r="C164" i="38"/>
  <c r="D163" i="38"/>
  <c r="C163" i="38"/>
  <c r="D162" i="38"/>
  <c r="C162" i="38"/>
  <c r="D161" i="38"/>
  <c r="C161" i="38"/>
  <c r="D160" i="38"/>
  <c r="C160" i="38"/>
  <c r="D159" i="38"/>
  <c r="C159" i="38"/>
  <c r="D158" i="38"/>
  <c r="C158" i="38"/>
  <c r="D157" i="38"/>
  <c r="C157" i="38"/>
  <c r="D156" i="38"/>
  <c r="C156" i="38"/>
  <c r="D155" i="38"/>
  <c r="C155" i="38"/>
  <c r="D154" i="38"/>
  <c r="C154" i="38"/>
  <c r="D153" i="38"/>
  <c r="C153" i="38"/>
  <c r="D152" i="38"/>
  <c r="C152" i="38"/>
  <c r="D151" i="38"/>
  <c r="C151" i="38"/>
  <c r="D150" i="38"/>
  <c r="C150" i="38"/>
  <c r="D149" i="38"/>
  <c r="C149" i="38"/>
  <c r="D148" i="38"/>
  <c r="C148" i="38"/>
  <c r="D147" i="38"/>
  <c r="C147" i="38"/>
  <c r="D146" i="38"/>
  <c r="C146" i="38"/>
  <c r="D145" i="38"/>
  <c r="C145" i="38"/>
  <c r="D144" i="38"/>
  <c r="C144" i="38"/>
  <c r="D143" i="38"/>
  <c r="C143" i="38"/>
  <c r="D142" i="38"/>
  <c r="C142" i="38"/>
  <c r="D141" i="38"/>
  <c r="C141" i="38"/>
  <c r="D140" i="38"/>
  <c r="C140" i="38"/>
  <c r="D139" i="38"/>
  <c r="C139" i="38"/>
  <c r="D138" i="38"/>
  <c r="C138" i="38"/>
  <c r="D137" i="38"/>
  <c r="C137" i="38"/>
  <c r="D136" i="38"/>
  <c r="C136" i="38"/>
  <c r="D135" i="38"/>
  <c r="C135" i="38"/>
  <c r="D134" i="38"/>
  <c r="C134" i="38"/>
  <c r="D133" i="38"/>
  <c r="C133" i="38"/>
  <c r="D132" i="38"/>
  <c r="C132" i="38"/>
  <c r="D131" i="38"/>
  <c r="C131" i="38"/>
  <c r="D130" i="38"/>
  <c r="C130" i="38"/>
  <c r="D129" i="38"/>
  <c r="C129" i="38"/>
  <c r="D128" i="38"/>
  <c r="C128" i="38"/>
  <c r="D127" i="38"/>
  <c r="C127" i="38"/>
  <c r="D126" i="38"/>
  <c r="C126" i="38"/>
  <c r="D125" i="38"/>
  <c r="C125" i="38"/>
  <c r="D124" i="38"/>
  <c r="C124" i="38"/>
  <c r="D123" i="38"/>
  <c r="C123" i="38"/>
  <c r="D122" i="38"/>
  <c r="C122" i="38"/>
  <c r="D121" i="38"/>
  <c r="C121" i="38"/>
  <c r="D120" i="38"/>
  <c r="C120" i="38"/>
  <c r="D119" i="38"/>
  <c r="C119" i="38"/>
  <c r="D118" i="38"/>
  <c r="C118" i="38"/>
  <c r="D117" i="38"/>
  <c r="C117" i="38"/>
  <c r="D116" i="38"/>
  <c r="C116" i="38"/>
  <c r="D115" i="38"/>
  <c r="C115" i="38"/>
  <c r="D114" i="38"/>
  <c r="C114" i="38"/>
  <c r="D113" i="38"/>
  <c r="C113" i="38"/>
  <c r="D112" i="38"/>
  <c r="C112" i="38"/>
  <c r="D111" i="38"/>
  <c r="C111" i="38"/>
  <c r="D110" i="38"/>
  <c r="C110" i="38"/>
  <c r="D109" i="38"/>
  <c r="C109" i="38"/>
  <c r="D108" i="38"/>
  <c r="C108" i="38"/>
  <c r="D107" i="38"/>
  <c r="C107" i="38"/>
  <c r="D106" i="38"/>
  <c r="C106" i="38"/>
  <c r="D105" i="38"/>
  <c r="C105" i="38"/>
  <c r="D104" i="38"/>
  <c r="C104" i="38"/>
  <c r="D103" i="38"/>
  <c r="C103" i="38"/>
  <c r="D102" i="38"/>
  <c r="C102" i="38"/>
  <c r="D101" i="38"/>
  <c r="C101" i="38"/>
  <c r="D100" i="38"/>
  <c r="C100" i="38"/>
  <c r="D99" i="38"/>
  <c r="C99" i="38"/>
  <c r="D98" i="38"/>
  <c r="C98" i="38"/>
  <c r="D97" i="38"/>
  <c r="C97" i="38"/>
  <c r="D96" i="38"/>
  <c r="C96" i="38"/>
  <c r="D95" i="38"/>
  <c r="C95" i="38"/>
  <c r="D94" i="38"/>
  <c r="C94" i="38"/>
  <c r="D93" i="38"/>
  <c r="C93" i="38"/>
  <c r="D92" i="38"/>
  <c r="C92" i="38"/>
  <c r="D91" i="38"/>
  <c r="C91" i="38"/>
  <c r="D90" i="38"/>
  <c r="C90" i="38"/>
  <c r="D89" i="38"/>
  <c r="C89" i="38"/>
  <c r="D88" i="38"/>
  <c r="C88" i="38"/>
  <c r="D87" i="38"/>
  <c r="C87" i="38"/>
  <c r="D86" i="38"/>
  <c r="C86" i="38"/>
  <c r="D85" i="38"/>
  <c r="C85" i="38"/>
  <c r="D84" i="38"/>
  <c r="C84" i="38"/>
  <c r="D83" i="38"/>
  <c r="C83" i="38"/>
  <c r="D82" i="38"/>
  <c r="C82" i="38"/>
  <c r="D81" i="38"/>
  <c r="C81" i="38"/>
  <c r="D80" i="38"/>
  <c r="C80" i="38"/>
  <c r="D79" i="38"/>
  <c r="C79" i="38"/>
  <c r="D78" i="38"/>
  <c r="C78" i="38"/>
  <c r="D77" i="38"/>
  <c r="C77" i="38"/>
  <c r="D76" i="38"/>
  <c r="C76" i="38"/>
  <c r="D75" i="38"/>
  <c r="C75" i="38"/>
  <c r="D74" i="38"/>
  <c r="C74" i="38"/>
  <c r="D73" i="38"/>
  <c r="C73" i="38"/>
  <c r="D72" i="38"/>
  <c r="C72" i="38"/>
  <c r="D71" i="38"/>
  <c r="C71" i="38"/>
  <c r="D70" i="38"/>
  <c r="C70" i="38"/>
  <c r="D69" i="38"/>
  <c r="C69" i="38"/>
  <c r="D68" i="38"/>
  <c r="C68" i="38"/>
  <c r="D67" i="38"/>
  <c r="C67" i="38"/>
  <c r="D66" i="38"/>
  <c r="C66" i="38"/>
  <c r="D65" i="38"/>
  <c r="C65" i="38"/>
  <c r="D64" i="38"/>
  <c r="C64" i="38"/>
  <c r="D63" i="38"/>
  <c r="C63" i="38"/>
  <c r="D62" i="38"/>
  <c r="C62" i="38"/>
  <c r="D61" i="38"/>
  <c r="C61" i="38"/>
  <c r="D60" i="38"/>
  <c r="C60" i="38"/>
  <c r="D59" i="38"/>
  <c r="C59" i="38"/>
  <c r="D58" i="38"/>
  <c r="C58" i="38"/>
  <c r="D57" i="38"/>
  <c r="C57" i="38"/>
  <c r="D56" i="38"/>
  <c r="C56" i="38"/>
  <c r="D55" i="38"/>
  <c r="C55" i="38"/>
  <c r="D54" i="38"/>
  <c r="C54" i="38"/>
  <c r="D53" i="38"/>
  <c r="C53" i="38"/>
  <c r="D52" i="38"/>
  <c r="C52" i="38"/>
  <c r="D51" i="38"/>
  <c r="C51" i="38"/>
  <c r="D50" i="38"/>
  <c r="C50" i="38"/>
  <c r="D49" i="38"/>
  <c r="C49" i="38"/>
  <c r="D48" i="38"/>
  <c r="C48" i="38"/>
  <c r="D47" i="38"/>
  <c r="C47" i="38"/>
  <c r="D46" i="38"/>
  <c r="C46" i="38"/>
  <c r="D45" i="38"/>
  <c r="C45" i="38"/>
  <c r="D44" i="38"/>
  <c r="C44" i="38"/>
  <c r="D43" i="38"/>
  <c r="C43" i="38"/>
  <c r="D42" i="38"/>
  <c r="C42" i="38"/>
  <c r="D41" i="38"/>
  <c r="C41" i="38"/>
  <c r="D40" i="38"/>
  <c r="C40" i="38"/>
  <c r="D39" i="38"/>
  <c r="C39" i="38"/>
  <c r="D38" i="38"/>
  <c r="C38" i="38"/>
  <c r="D37" i="38"/>
  <c r="C37" i="38"/>
  <c r="D36" i="38"/>
  <c r="C36" i="38"/>
  <c r="D35" i="38"/>
  <c r="C35" i="38"/>
  <c r="D34" i="38"/>
  <c r="C34" i="38"/>
  <c r="D33" i="38"/>
  <c r="C33" i="38"/>
  <c r="D32" i="38"/>
  <c r="C32" i="38"/>
  <c r="D31" i="38"/>
  <c r="C31" i="38"/>
  <c r="D30" i="38"/>
  <c r="C30" i="38"/>
  <c r="D29" i="38"/>
  <c r="C29" i="38"/>
  <c r="D28" i="38"/>
  <c r="C28" i="38"/>
  <c r="D27" i="38"/>
  <c r="C27" i="38"/>
  <c r="D26" i="38"/>
  <c r="C26" i="38"/>
  <c r="D25" i="38"/>
  <c r="C25" i="38"/>
  <c r="D24" i="38"/>
  <c r="C24" i="38"/>
  <c r="D23" i="38"/>
  <c r="C23" i="38"/>
  <c r="D22" i="38"/>
  <c r="C22" i="38"/>
  <c r="D21" i="38"/>
  <c r="C21" i="38"/>
  <c r="D20" i="38"/>
  <c r="C20" i="38"/>
  <c r="D19" i="38"/>
  <c r="C19" i="38"/>
  <c r="D18" i="38"/>
  <c r="C18" i="38"/>
  <c r="D17" i="38"/>
  <c r="C17" i="38"/>
  <c r="D16" i="38"/>
  <c r="C16" i="38"/>
  <c r="D15" i="38"/>
  <c r="C15" i="38"/>
  <c r="D14" i="38"/>
  <c r="C14" i="38"/>
  <c r="D13" i="38"/>
  <c r="C13" i="38"/>
  <c r="D12" i="38"/>
  <c r="C12" i="38"/>
  <c r="D11" i="38"/>
  <c r="C11" i="38"/>
  <c r="D10" i="38"/>
  <c r="C10" i="38"/>
  <c r="D9" i="38"/>
  <c r="C9" i="38"/>
  <c r="D8" i="38"/>
  <c r="C8" i="38"/>
  <c r="D7" i="38"/>
  <c r="C7" i="38"/>
  <c r="D6" i="38"/>
  <c r="C6" i="38"/>
  <c r="D5" i="38"/>
  <c r="C5" i="38"/>
  <c r="D4" i="38"/>
  <c r="C4" i="38"/>
  <c r="D3" i="38"/>
  <c r="C3" i="38"/>
  <c r="D2" i="38"/>
  <c r="C2" i="38"/>
  <c r="I230" i="35"/>
  <c r="H230" i="35"/>
  <c r="G230" i="35"/>
  <c r="F230" i="35"/>
  <c r="I229" i="35"/>
  <c r="H229" i="35"/>
  <c r="G229" i="35"/>
  <c r="F229" i="35"/>
  <c r="I228" i="35"/>
  <c r="H228" i="35"/>
  <c r="G228" i="35"/>
  <c r="F228" i="35"/>
  <c r="I227" i="35"/>
  <c r="H227" i="35"/>
  <c r="G227" i="35"/>
  <c r="F227" i="35"/>
  <c r="F226" i="35"/>
  <c r="F225" i="35"/>
  <c r="F224" i="35"/>
  <c r="F223" i="35"/>
  <c r="F222" i="35"/>
  <c r="F221" i="35"/>
  <c r="F220" i="35"/>
  <c r="F219" i="35"/>
  <c r="F218" i="35"/>
  <c r="F217" i="35"/>
  <c r="F216" i="35"/>
  <c r="F215" i="35"/>
  <c r="F214" i="35"/>
  <c r="F213" i="35"/>
  <c r="F212" i="35"/>
  <c r="F211" i="35"/>
  <c r="F210" i="35"/>
  <c r="F209" i="35"/>
  <c r="F208" i="35"/>
  <c r="F207" i="35"/>
  <c r="F206" i="35"/>
  <c r="F205" i="35"/>
  <c r="F204" i="35"/>
  <c r="G203" i="35"/>
  <c r="F203" i="35"/>
  <c r="F202" i="35"/>
  <c r="F201" i="35"/>
  <c r="F200" i="35"/>
  <c r="F199" i="35"/>
  <c r="F198" i="35"/>
  <c r="G197" i="35"/>
  <c r="F197" i="35"/>
  <c r="F196" i="35"/>
  <c r="F195" i="35"/>
  <c r="G194" i="35"/>
  <c r="F194" i="35"/>
  <c r="F193" i="35"/>
  <c r="F192" i="35"/>
  <c r="F191" i="35"/>
  <c r="F190" i="35"/>
  <c r="F189" i="35"/>
  <c r="G188" i="35"/>
  <c r="F188" i="35"/>
  <c r="F187" i="35"/>
  <c r="F186" i="35"/>
  <c r="F185" i="35"/>
  <c r="I184" i="35"/>
  <c r="H184" i="35"/>
  <c r="G184" i="35"/>
  <c r="F184" i="35"/>
  <c r="I183" i="35"/>
  <c r="H183" i="35"/>
  <c r="G183" i="35"/>
  <c r="F183" i="35"/>
  <c r="G182" i="35" a="1"/>
  <c r="G182" i="35" s="1"/>
  <c r="F182" i="35"/>
  <c r="G181" i="35" a="1"/>
  <c r="G181" i="35" s="1"/>
  <c r="F181" i="35"/>
  <c r="G180" i="35"/>
  <c r="G180" i="35" a="1"/>
  <c r="F180" i="35"/>
  <c r="G179" i="35" a="1"/>
  <c r="G179" i="35" s="1"/>
  <c r="F179" i="35"/>
  <c r="G178" i="35" a="1"/>
  <c r="G178" i="35" s="1"/>
  <c r="F178" i="35"/>
  <c r="G177" i="35" a="1"/>
  <c r="G177" i="35" s="1"/>
  <c r="F177" i="35"/>
  <c r="G176" i="35" a="1"/>
  <c r="G176" i="35" s="1"/>
  <c r="F176" i="35"/>
  <c r="G175" i="35" a="1"/>
  <c r="G175" i="35" s="1"/>
  <c r="F175" i="35"/>
  <c r="G174" i="35" a="1"/>
  <c r="G174" i="35" s="1"/>
  <c r="F174" i="35"/>
  <c r="G173" i="35" a="1"/>
  <c r="G173" i="35" s="1"/>
  <c r="F173" i="35"/>
  <c r="G172" i="35" a="1"/>
  <c r="G172" i="35" s="1"/>
  <c r="F172" i="35"/>
  <c r="G171" i="35" a="1"/>
  <c r="G171" i="35" s="1"/>
  <c r="F171" i="35"/>
  <c r="D170" i="35"/>
  <c r="B170" i="35"/>
  <c r="F170" i="35" s="1"/>
  <c r="D169" i="35"/>
  <c r="B169" i="35"/>
  <c r="F169" i="35" s="1"/>
  <c r="D168" i="35"/>
  <c r="B168" i="35"/>
  <c r="F168" i="35" s="1"/>
  <c r="D167" i="35"/>
  <c r="B167" i="35"/>
  <c r="F167" i="35" s="1"/>
  <c r="D166" i="35"/>
  <c r="B166" i="35"/>
  <c r="F166" i="35" s="1"/>
  <c r="D165" i="35"/>
  <c r="B165" i="35"/>
  <c r="F165" i="35" s="1"/>
  <c r="D164" i="35"/>
  <c r="B164" i="35"/>
  <c r="F164" i="35" s="1"/>
  <c r="D163" i="35"/>
  <c r="B163" i="35"/>
  <c r="F163" i="35" s="1"/>
  <c r="D162" i="35"/>
  <c r="B162" i="35"/>
  <c r="F162" i="35" s="1"/>
  <c r="D161" i="35"/>
  <c r="B161" i="35"/>
  <c r="F161" i="35" s="1"/>
  <c r="D160" i="35"/>
  <c r="B160" i="35"/>
  <c r="F160" i="35" s="1"/>
  <c r="D159" i="35"/>
  <c r="B159" i="35"/>
  <c r="F159" i="35" s="1"/>
  <c r="D158" i="35"/>
  <c r="B158" i="35"/>
  <c r="F158" i="35" s="1"/>
  <c r="D157" i="35"/>
  <c r="B157" i="35"/>
  <c r="F157" i="35" s="1"/>
  <c r="D156" i="35"/>
  <c r="B156" i="35"/>
  <c r="F156" i="35" s="1"/>
  <c r="D155" i="35"/>
  <c r="B155" i="35"/>
  <c r="F155" i="35" s="1"/>
  <c r="D154" i="35"/>
  <c r="B154" i="35"/>
  <c r="F154" i="35" s="1"/>
  <c r="D153" i="35"/>
  <c r="B153" i="35"/>
  <c r="F153" i="35" s="1"/>
  <c r="D152" i="35"/>
  <c r="B152" i="35"/>
  <c r="F152" i="35" s="1"/>
  <c r="D151" i="35"/>
  <c r="B151" i="35"/>
  <c r="F151" i="35" s="1"/>
  <c r="D150" i="35"/>
  <c r="B150" i="35"/>
  <c r="F150" i="35" s="1"/>
  <c r="D149" i="35"/>
  <c r="B149" i="35"/>
  <c r="F149" i="35" s="1"/>
  <c r="D148" i="35"/>
  <c r="B148" i="35"/>
  <c r="F148" i="35" s="1"/>
  <c r="D147" i="35"/>
  <c r="B147" i="35"/>
  <c r="F147" i="35" s="1"/>
  <c r="D146" i="35"/>
  <c r="B146" i="35"/>
  <c r="F146" i="35" s="1"/>
  <c r="D145" i="35"/>
  <c r="B145" i="35"/>
  <c r="F145" i="35" s="1"/>
  <c r="D144" i="35"/>
  <c r="B144" i="35"/>
  <c r="F144" i="35" s="1"/>
  <c r="D143" i="35"/>
  <c r="B143" i="35"/>
  <c r="F143" i="35" s="1"/>
  <c r="D142" i="35"/>
  <c r="B142" i="35"/>
  <c r="F142" i="35" s="1"/>
  <c r="D141" i="35"/>
  <c r="B141" i="35"/>
  <c r="F141" i="35" s="1"/>
  <c r="D140" i="35"/>
  <c r="B140" i="35"/>
  <c r="F140" i="35" s="1"/>
  <c r="D139" i="35"/>
  <c r="B139" i="35"/>
  <c r="F139" i="35" s="1"/>
  <c r="D138" i="35"/>
  <c r="B138" i="35"/>
  <c r="F138" i="35" s="1"/>
  <c r="D137" i="35"/>
  <c r="B137" i="35"/>
  <c r="F137" i="35" s="1"/>
  <c r="D136" i="35"/>
  <c r="B136" i="35"/>
  <c r="F136" i="35" s="1"/>
  <c r="D135" i="35"/>
  <c r="B135" i="35"/>
  <c r="F135" i="35" s="1"/>
  <c r="D134" i="35"/>
  <c r="B134" i="35"/>
  <c r="F134" i="35" s="1"/>
  <c r="D133" i="35"/>
  <c r="B133" i="35"/>
  <c r="F133" i="35" s="1"/>
  <c r="D132" i="35"/>
  <c r="B132" i="35"/>
  <c r="F132" i="35" s="1"/>
  <c r="D131" i="35"/>
  <c r="B131" i="35"/>
  <c r="F131" i="35" s="1"/>
  <c r="D130" i="35"/>
  <c r="B130" i="35"/>
  <c r="F130" i="35" s="1"/>
  <c r="D129" i="35"/>
  <c r="B129" i="35"/>
  <c r="F129" i="35" s="1"/>
  <c r="D128" i="35"/>
  <c r="B128" i="35"/>
  <c r="F128" i="35" s="1"/>
  <c r="D127" i="35"/>
  <c r="B127" i="35"/>
  <c r="F127" i="35" s="1"/>
  <c r="D126" i="35"/>
  <c r="B126" i="35"/>
  <c r="F126" i="35" s="1"/>
  <c r="D125" i="35"/>
  <c r="B125" i="35"/>
  <c r="F125" i="35" s="1"/>
  <c r="D124" i="35"/>
  <c r="B124" i="35"/>
  <c r="F124" i="35" s="1"/>
  <c r="D123" i="35"/>
  <c r="B123" i="35"/>
  <c r="F123" i="35" s="1"/>
  <c r="D122" i="35"/>
  <c r="B122" i="35"/>
  <c r="F122" i="35" s="1"/>
  <c r="D121" i="35"/>
  <c r="B121" i="35"/>
  <c r="F121" i="35" s="1"/>
  <c r="D120" i="35"/>
  <c r="B120" i="35"/>
  <c r="F120" i="35" s="1"/>
  <c r="D119" i="35"/>
  <c r="B119" i="35"/>
  <c r="F119" i="35" s="1"/>
  <c r="D118" i="35"/>
  <c r="B118" i="35"/>
  <c r="F118" i="35" s="1"/>
  <c r="D117" i="35"/>
  <c r="B117" i="35"/>
  <c r="F117" i="35" s="1"/>
  <c r="D116" i="35"/>
  <c r="B116" i="35"/>
  <c r="F116" i="35" s="1"/>
  <c r="D115" i="35"/>
  <c r="B115" i="35"/>
  <c r="F115" i="35" s="1"/>
  <c r="D114" i="35"/>
  <c r="B114" i="35"/>
  <c r="F114" i="35" s="1"/>
  <c r="D113" i="35"/>
  <c r="B113" i="35"/>
  <c r="F113" i="35" s="1"/>
  <c r="D112" i="35"/>
  <c r="B112" i="35"/>
  <c r="F112" i="35" s="1"/>
  <c r="D111" i="35"/>
  <c r="B111" i="35"/>
  <c r="F111" i="35" s="1"/>
  <c r="D110" i="35"/>
  <c r="B110" i="35"/>
  <c r="F110" i="35" s="1"/>
  <c r="D109" i="35"/>
  <c r="B109" i="35"/>
  <c r="F109" i="35" s="1"/>
  <c r="D108" i="35"/>
  <c r="B108" i="35"/>
  <c r="F108" i="35" s="1"/>
  <c r="D107" i="35"/>
  <c r="B107" i="35"/>
  <c r="F107" i="35" s="1"/>
  <c r="D106" i="35"/>
  <c r="B106" i="35"/>
  <c r="F106" i="35" s="1"/>
  <c r="D105" i="35"/>
  <c r="B105" i="35"/>
  <c r="F105" i="35" s="1"/>
  <c r="D104" i="35"/>
  <c r="B104" i="35"/>
  <c r="F104" i="35" s="1"/>
  <c r="D103" i="35"/>
  <c r="B103" i="35"/>
  <c r="F103" i="35" s="1"/>
  <c r="D102" i="35"/>
  <c r="B102" i="35"/>
  <c r="F102" i="35" s="1"/>
  <c r="D101" i="35"/>
  <c r="B101" i="35"/>
  <c r="F101" i="35" s="1"/>
  <c r="D100" i="35"/>
  <c r="B100" i="35"/>
  <c r="F100" i="35" s="1"/>
  <c r="D99" i="35"/>
  <c r="B99" i="35"/>
  <c r="F99" i="35" s="1"/>
  <c r="D98" i="35"/>
  <c r="B98" i="35"/>
  <c r="F98" i="35" s="1"/>
  <c r="D97" i="35"/>
  <c r="B97" i="35"/>
  <c r="F97" i="35" s="1"/>
  <c r="D96" i="35"/>
  <c r="B96" i="35"/>
  <c r="F96" i="35" s="1"/>
  <c r="D95" i="35"/>
  <c r="B95" i="35"/>
  <c r="F95" i="35" s="1"/>
  <c r="D94" i="35"/>
  <c r="B94" i="35"/>
  <c r="F94" i="35" s="1"/>
  <c r="D93" i="35"/>
  <c r="B93" i="35"/>
  <c r="F93" i="35" s="1"/>
  <c r="D92" i="35"/>
  <c r="B92" i="35"/>
  <c r="F92" i="35" s="1"/>
  <c r="D91" i="35"/>
  <c r="B91" i="35"/>
  <c r="F91" i="35" s="1"/>
  <c r="D90" i="35"/>
  <c r="B90" i="35"/>
  <c r="F90" i="35" s="1"/>
  <c r="D89" i="35"/>
  <c r="B89" i="35"/>
  <c r="F89" i="35" s="1"/>
  <c r="D88" i="35"/>
  <c r="B88" i="35"/>
  <c r="F88" i="35" s="1"/>
  <c r="D87" i="35"/>
  <c r="B87" i="35"/>
  <c r="F87" i="35" s="1"/>
  <c r="D86" i="35"/>
  <c r="B86" i="35"/>
  <c r="F86" i="35" s="1"/>
  <c r="D85" i="35"/>
  <c r="B85" i="35"/>
  <c r="F85" i="35" s="1"/>
  <c r="D84" i="35"/>
  <c r="B84" i="35"/>
  <c r="F84" i="35" s="1"/>
  <c r="D83" i="35"/>
  <c r="B83" i="35"/>
  <c r="F83" i="35" s="1"/>
  <c r="D82" i="35"/>
  <c r="B82" i="35"/>
  <c r="F82" i="35" s="1"/>
  <c r="D81" i="35"/>
  <c r="B81" i="35"/>
  <c r="F81" i="35" s="1"/>
  <c r="D80" i="35"/>
  <c r="B80" i="35"/>
  <c r="F80" i="35" s="1"/>
  <c r="D79" i="35"/>
  <c r="B79" i="35"/>
  <c r="F79" i="35" s="1"/>
  <c r="D78" i="35"/>
  <c r="B78" i="35"/>
  <c r="F78" i="35" s="1"/>
  <c r="D77" i="35"/>
  <c r="B77" i="35"/>
  <c r="F77" i="35" s="1"/>
  <c r="D76" i="35"/>
  <c r="B76" i="35"/>
  <c r="F76" i="35" s="1"/>
  <c r="D75" i="35"/>
  <c r="B75" i="35"/>
  <c r="F75" i="35" s="1"/>
  <c r="D74" i="35"/>
  <c r="B74" i="35"/>
  <c r="F74" i="35" s="1"/>
  <c r="D73" i="35"/>
  <c r="B73" i="35"/>
  <c r="F73" i="35" s="1"/>
  <c r="D72" i="35"/>
  <c r="B72" i="35"/>
  <c r="F72" i="35" s="1"/>
  <c r="D71" i="35"/>
  <c r="B71" i="35"/>
  <c r="F71" i="35" s="1"/>
  <c r="D70" i="35"/>
  <c r="B70" i="35"/>
  <c r="F70" i="35" s="1"/>
  <c r="D69" i="35"/>
  <c r="B69" i="35"/>
  <c r="F69" i="35" s="1"/>
  <c r="D68" i="35"/>
  <c r="B68" i="35"/>
  <c r="F68" i="35" s="1"/>
  <c r="D67" i="35"/>
  <c r="B67" i="35"/>
  <c r="F67" i="35" s="1"/>
  <c r="D66" i="35"/>
  <c r="B66" i="35"/>
  <c r="F66" i="35" s="1"/>
  <c r="D65" i="35"/>
  <c r="B65" i="35"/>
  <c r="F65" i="35" s="1"/>
  <c r="D64" i="35"/>
  <c r="B64" i="35"/>
  <c r="F64" i="35" s="1"/>
  <c r="D63" i="35"/>
  <c r="B63" i="35"/>
  <c r="F63" i="35" s="1"/>
  <c r="D62" i="35"/>
  <c r="B62" i="35"/>
  <c r="F62" i="35" s="1"/>
  <c r="D61" i="35"/>
  <c r="B61" i="35"/>
  <c r="F61" i="35" s="1"/>
  <c r="D60" i="35"/>
  <c r="B60" i="35"/>
  <c r="F60" i="35" s="1"/>
  <c r="D59" i="35"/>
  <c r="B59" i="35"/>
  <c r="F59" i="35" s="1"/>
  <c r="D58" i="35"/>
  <c r="B58" i="35"/>
  <c r="F58" i="35" s="1"/>
  <c r="D57" i="35"/>
  <c r="B57" i="35"/>
  <c r="F57" i="35" s="1"/>
  <c r="D56" i="35"/>
  <c r="B56" i="35"/>
  <c r="F56" i="35" s="1"/>
  <c r="D55" i="35"/>
  <c r="B55" i="35"/>
  <c r="F55" i="35" s="1"/>
  <c r="D54" i="35"/>
  <c r="B54" i="35"/>
  <c r="F54" i="35" s="1"/>
  <c r="D53" i="35"/>
  <c r="B53" i="35"/>
  <c r="F53" i="35" s="1"/>
  <c r="D52" i="35"/>
  <c r="B52" i="35"/>
  <c r="F52" i="35" s="1"/>
  <c r="D51" i="35"/>
  <c r="B51" i="35"/>
  <c r="F51" i="35" s="1"/>
  <c r="D50" i="35"/>
  <c r="B50" i="35"/>
  <c r="F50" i="35" s="1"/>
  <c r="D49" i="35"/>
  <c r="B49" i="35"/>
  <c r="F49" i="35" s="1"/>
  <c r="D48" i="35"/>
  <c r="B48" i="35"/>
  <c r="F48" i="35" s="1"/>
  <c r="D47" i="35"/>
  <c r="B47" i="35"/>
  <c r="F47" i="35" s="1"/>
  <c r="D46" i="35"/>
  <c r="B46" i="35"/>
  <c r="F46" i="35" s="1"/>
  <c r="D45" i="35"/>
  <c r="B45" i="35"/>
  <c r="F45" i="35" s="1"/>
  <c r="D44" i="35"/>
  <c r="B44" i="35"/>
  <c r="F44" i="35" s="1"/>
  <c r="D43" i="35"/>
  <c r="B43" i="35"/>
  <c r="F43" i="35" s="1"/>
  <c r="D42" i="35"/>
  <c r="B42" i="35"/>
  <c r="F42" i="35" s="1"/>
  <c r="D41" i="35"/>
  <c r="B41" i="35"/>
  <c r="F41" i="35" s="1"/>
  <c r="D40" i="35"/>
  <c r="B40" i="35"/>
  <c r="F40" i="35" s="1"/>
  <c r="D39" i="35"/>
  <c r="B39" i="35"/>
  <c r="F39" i="35" s="1"/>
  <c r="D38" i="35"/>
  <c r="B38" i="35"/>
  <c r="F38" i="35" s="1"/>
  <c r="D37" i="35"/>
  <c r="B37" i="35"/>
  <c r="F37" i="35" s="1"/>
  <c r="D36" i="35"/>
  <c r="B36" i="35"/>
  <c r="F36" i="35" s="1"/>
  <c r="D35" i="35"/>
  <c r="B35" i="35"/>
  <c r="F35" i="35" s="1"/>
  <c r="D34" i="35"/>
  <c r="B34" i="35"/>
  <c r="F34" i="35" s="1"/>
  <c r="D33" i="35"/>
  <c r="B33" i="35"/>
  <c r="F33" i="35" s="1"/>
  <c r="D32" i="35"/>
  <c r="B32" i="35"/>
  <c r="F32" i="35" s="1"/>
  <c r="D31" i="35"/>
  <c r="B31" i="35"/>
  <c r="F31" i="35" s="1"/>
  <c r="D30" i="35"/>
  <c r="B30" i="35"/>
  <c r="F30" i="35" s="1"/>
  <c r="D29" i="35"/>
  <c r="B29" i="35"/>
  <c r="F29" i="35" s="1"/>
  <c r="D28" i="35"/>
  <c r="B28" i="35"/>
  <c r="F28" i="35" s="1"/>
  <c r="D27" i="35"/>
  <c r="B27" i="35"/>
  <c r="F27" i="35" s="1"/>
  <c r="D26" i="35"/>
  <c r="B26" i="35"/>
  <c r="F26" i="35" s="1"/>
  <c r="D25" i="35"/>
  <c r="B25" i="35"/>
  <c r="F25" i="35" s="1"/>
  <c r="D24" i="35"/>
  <c r="B24" i="35"/>
  <c r="F24" i="35" s="1"/>
  <c r="D23" i="35"/>
  <c r="B23" i="35"/>
  <c r="F23" i="35" s="1"/>
  <c r="D22" i="35"/>
  <c r="B22" i="35"/>
  <c r="F22" i="35" s="1"/>
  <c r="D21" i="35"/>
  <c r="B21" i="35"/>
  <c r="F21" i="35" s="1"/>
  <c r="D20" i="35"/>
  <c r="B20" i="35"/>
  <c r="F20" i="35" s="1"/>
  <c r="D19" i="35"/>
  <c r="B19" i="35"/>
  <c r="F19" i="35" s="1"/>
  <c r="D18" i="35"/>
  <c r="B18" i="35"/>
  <c r="F18" i="35" s="1"/>
  <c r="D17" i="35"/>
  <c r="B17" i="35"/>
  <c r="F17" i="35" s="1"/>
  <c r="D16" i="35"/>
  <c r="B16" i="35"/>
  <c r="F16" i="35" s="1"/>
  <c r="D15" i="35"/>
  <c r="B15" i="35"/>
  <c r="F15" i="35" s="1"/>
  <c r="D14" i="35"/>
  <c r="B14" i="35"/>
  <c r="F14" i="35" s="1"/>
  <c r="D13" i="35"/>
  <c r="B13" i="35"/>
  <c r="F13" i="35" s="1"/>
  <c r="D12" i="35"/>
  <c r="B12" i="35"/>
  <c r="F12" i="35" s="1"/>
  <c r="D11" i="35"/>
  <c r="B11" i="35"/>
  <c r="F11" i="35" s="1"/>
  <c r="D10" i="35"/>
  <c r="B10" i="35"/>
  <c r="F10" i="35" s="1"/>
  <c r="D9" i="35"/>
  <c r="B9" i="35"/>
  <c r="F9" i="35" s="1"/>
  <c r="D8" i="35"/>
  <c r="B8" i="35"/>
  <c r="F8" i="35" s="1"/>
  <c r="D7" i="35"/>
  <c r="B7" i="35"/>
  <c r="F7" i="35" s="1"/>
  <c r="D6" i="35"/>
  <c r="B6" i="35"/>
  <c r="F6" i="35" s="1"/>
  <c r="D5" i="35"/>
  <c r="B5" i="35"/>
  <c r="F5" i="35" s="1"/>
  <c r="D4" i="35"/>
  <c r="B4" i="35"/>
  <c r="F4" i="35" s="1"/>
  <c r="D3" i="35"/>
  <c r="B3" i="35"/>
  <c r="F3" i="35" s="1"/>
  <c r="I2" i="35"/>
  <c r="H2" i="35"/>
  <c r="G2" i="35"/>
  <c r="D15" i="8"/>
  <c r="C15" i="8"/>
  <c r="B15" i="8"/>
  <c r="A13" i="8"/>
  <c r="A20" i="8" s="1"/>
  <c r="A12" i="8"/>
  <c r="C282" i="38" s="1"/>
  <c r="A11" i="8"/>
  <c r="C280" i="38" s="1"/>
  <c r="A10" i="8"/>
  <c r="A3" i="53" s="1"/>
  <c r="A9" i="8"/>
  <c r="A16" i="8" s="1"/>
  <c r="D8" i="8"/>
  <c r="C8" i="8"/>
  <c r="B8" i="8"/>
  <c r="D3" i="8"/>
  <c r="C3" i="8"/>
  <c r="B3" i="8"/>
  <c r="N55" i="39"/>
  <c r="I55" i="39"/>
  <c r="F55" i="39"/>
  <c r="A55" i="39"/>
  <c r="N54" i="39"/>
  <c r="I54" i="39"/>
  <c r="F54" i="39"/>
  <c r="A54" i="39"/>
  <c r="N53" i="39"/>
  <c r="M53" i="39"/>
  <c r="L53" i="39"/>
  <c r="K53" i="39"/>
  <c r="I53" i="39"/>
  <c r="F53" i="39"/>
  <c r="E53" i="39"/>
  <c r="D53" i="39"/>
  <c r="C53" i="39"/>
  <c r="A53" i="39"/>
  <c r="N52" i="39"/>
  <c r="I52" i="39"/>
  <c r="F52" i="39"/>
  <c r="A52" i="39"/>
  <c r="N51" i="39"/>
  <c r="I51" i="39"/>
  <c r="F51" i="39"/>
  <c r="A51" i="39"/>
  <c r="N50" i="39"/>
  <c r="I50" i="39"/>
  <c r="F50" i="39"/>
  <c r="A50" i="39"/>
  <c r="N49" i="39"/>
  <c r="I49" i="39"/>
  <c r="F49" i="39"/>
  <c r="A49" i="39"/>
  <c r="N48" i="39"/>
  <c r="I48" i="39"/>
  <c r="F48" i="39"/>
  <c r="A48" i="39"/>
  <c r="N47" i="39"/>
  <c r="I47" i="39"/>
  <c r="F47" i="39"/>
  <c r="A47" i="39"/>
  <c r="N46" i="39"/>
  <c r="I46" i="39"/>
  <c r="F46" i="39"/>
  <c r="A46" i="39"/>
  <c r="N45" i="39"/>
  <c r="I45" i="39"/>
  <c r="F45" i="39"/>
  <c r="A45" i="39"/>
  <c r="N44" i="39"/>
  <c r="I44" i="39"/>
  <c r="F44" i="39"/>
  <c r="A44" i="39"/>
  <c r="N43" i="39"/>
  <c r="I43" i="39"/>
  <c r="F43" i="39"/>
  <c r="A43" i="39"/>
  <c r="N42" i="39"/>
  <c r="I42" i="39"/>
  <c r="F42" i="39"/>
  <c r="A42" i="39"/>
  <c r="N41" i="39"/>
  <c r="I41" i="39"/>
  <c r="F41" i="39"/>
  <c r="A41" i="39"/>
  <c r="N40" i="39"/>
  <c r="I40" i="39"/>
  <c r="F40" i="39"/>
  <c r="A40" i="39"/>
  <c r="N39" i="39"/>
  <c r="I39" i="39"/>
  <c r="F39" i="39"/>
  <c r="A39" i="39"/>
  <c r="M38" i="39"/>
  <c r="L38" i="39"/>
  <c r="K38" i="39"/>
  <c r="E38" i="39"/>
  <c r="D38" i="39"/>
  <c r="C38" i="39"/>
  <c r="N29" i="39"/>
  <c r="O28" i="39"/>
  <c r="I28" i="39"/>
  <c r="P28" i="39" s="1"/>
  <c r="Q28" i="39" s="1"/>
  <c r="H28" i="39"/>
  <c r="C28" i="39"/>
  <c r="O27" i="39"/>
  <c r="I27" i="39"/>
  <c r="P27" i="39" s="1"/>
  <c r="Q27" i="39" s="1"/>
  <c r="H27" i="39"/>
  <c r="C27" i="39"/>
  <c r="O26" i="39"/>
  <c r="I26" i="39"/>
  <c r="P26" i="39" s="1"/>
  <c r="Q26" i="39" s="1"/>
  <c r="H26" i="39"/>
  <c r="C26" i="39"/>
  <c r="O25" i="39"/>
  <c r="I25" i="39"/>
  <c r="P25" i="39" s="1"/>
  <c r="Q25" i="39" s="1"/>
  <c r="H25" i="39"/>
  <c r="C25" i="39"/>
  <c r="O24" i="39"/>
  <c r="I24" i="39"/>
  <c r="O51" i="39" s="1"/>
  <c r="H24" i="39"/>
  <c r="C24" i="39"/>
  <c r="O23" i="39"/>
  <c r="I23" i="39"/>
  <c r="P23" i="39" s="1"/>
  <c r="Q23" i="39" s="1"/>
  <c r="H23" i="39"/>
  <c r="C23" i="39"/>
  <c r="O22" i="39"/>
  <c r="N22" i="39"/>
  <c r="I22" i="39"/>
  <c r="O49" i="39" s="1"/>
  <c r="H22" i="39"/>
  <c r="C22" i="39"/>
  <c r="O21" i="39"/>
  <c r="I21" i="39"/>
  <c r="P21" i="39" s="1"/>
  <c r="Q21" i="39" s="1"/>
  <c r="H21" i="39"/>
  <c r="C21" i="39"/>
  <c r="O20" i="39"/>
  <c r="I20" i="39"/>
  <c r="O47" i="39" s="1"/>
  <c r="H20" i="39"/>
  <c r="C20" i="39"/>
  <c r="O19" i="39"/>
  <c r="N19" i="39"/>
  <c r="I19" i="39"/>
  <c r="G46" i="39" s="1"/>
  <c r="H19" i="39"/>
  <c r="C19" i="39"/>
  <c r="O18" i="39"/>
  <c r="N18" i="39"/>
  <c r="I18" i="39"/>
  <c r="O45" i="39" s="1"/>
  <c r="H18" i="39"/>
  <c r="C18" i="39"/>
  <c r="I17" i="39"/>
  <c r="O44" i="39" s="1"/>
  <c r="H17" i="39"/>
  <c r="I16" i="39"/>
  <c r="G43" i="39" s="1"/>
  <c r="H16" i="39"/>
  <c r="N15" i="39"/>
  <c r="I15" i="39"/>
  <c r="G42" i="39" s="1"/>
  <c r="H15" i="39"/>
  <c r="I14" i="39"/>
  <c r="O41" i="39" s="1"/>
  <c r="H14" i="39"/>
  <c r="N13" i="39"/>
  <c r="I13" i="39"/>
  <c r="O40" i="39" s="1"/>
  <c r="H13" i="39"/>
  <c r="N12" i="39"/>
  <c r="I12" i="39"/>
  <c r="O39" i="39" s="1"/>
  <c r="H12" i="39"/>
  <c r="L11" i="39"/>
  <c r="K11" i="39"/>
  <c r="J11" i="39"/>
  <c r="E11" i="39"/>
  <c r="D11" i="39"/>
  <c r="C11" i="39"/>
  <c r="AC2" i="39"/>
  <c r="AB2" i="39"/>
  <c r="AA2" i="39"/>
  <c r="D2" i="39"/>
  <c r="C2" i="39"/>
  <c r="B2" i="39"/>
  <c r="D31" i="6"/>
  <c r="C31" i="6"/>
  <c r="B31" i="6"/>
  <c r="D30" i="6"/>
  <c r="C30" i="6"/>
  <c r="D29" i="6"/>
  <c r="C29" i="6"/>
  <c r="D28" i="6"/>
  <c r="C28" i="6"/>
  <c r="D27" i="6"/>
  <c r="C27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D21" i="6"/>
  <c r="C21" i="6"/>
  <c r="B21" i="6"/>
  <c r="D20" i="6"/>
  <c r="C20" i="6"/>
  <c r="B20" i="6"/>
  <c r="D19" i="6"/>
  <c r="C19" i="6"/>
  <c r="D18" i="6"/>
  <c r="C18" i="6"/>
  <c r="D17" i="6"/>
  <c r="C17" i="6"/>
  <c r="D16" i="6"/>
  <c r="C16" i="6"/>
  <c r="B16" i="6"/>
  <c r="D13" i="6"/>
  <c r="C13" i="6"/>
  <c r="D12" i="6"/>
  <c r="C12" i="6"/>
  <c r="B12" i="6"/>
  <c r="D11" i="6"/>
  <c r="C11" i="6"/>
  <c r="B11" i="6"/>
  <c r="F7" i="6"/>
  <c r="F6" i="6"/>
  <c r="F5" i="6"/>
  <c r="J4" i="6"/>
  <c r="I4" i="6"/>
  <c r="H4" i="6"/>
  <c r="D4" i="6"/>
  <c r="C4" i="6"/>
  <c r="B4" i="6"/>
  <c r="G13" i="32"/>
  <c r="F13" i="32"/>
  <c r="E13" i="32"/>
  <c r="D13" i="32"/>
  <c r="C13" i="32"/>
  <c r="B13" i="32"/>
  <c r="G12" i="32"/>
  <c r="F12" i="32"/>
  <c r="E12" i="32"/>
  <c r="D12" i="32"/>
  <c r="C12" i="32"/>
  <c r="B12" i="32"/>
  <c r="G11" i="32"/>
  <c r="F11" i="32"/>
  <c r="E11" i="32"/>
  <c r="D11" i="32"/>
  <c r="C11" i="32"/>
  <c r="B11" i="32"/>
  <c r="E7" i="32"/>
  <c r="D7" i="32"/>
  <c r="C7" i="32"/>
  <c r="E6" i="32"/>
  <c r="D6" i="32"/>
  <c r="C6" i="32"/>
  <c r="E5" i="32"/>
  <c r="D5" i="32"/>
  <c r="C5" i="32"/>
  <c r="E4" i="32"/>
  <c r="D4" i="32"/>
  <c r="C4" i="32"/>
  <c r="E3" i="32"/>
  <c r="D3" i="32"/>
  <c r="C3" i="32"/>
  <c r="AJ310" i="72"/>
  <c r="AJ309" i="72"/>
  <c r="AI309" i="72"/>
  <c r="AJ308" i="72"/>
  <c r="AI308" i="72"/>
  <c r="AH308" i="72"/>
  <c r="AJ307" i="72"/>
  <c r="AI307" i="72"/>
  <c r="AH307" i="72"/>
  <c r="AG307" i="72"/>
  <c r="AJ306" i="72"/>
  <c r="AI306" i="72"/>
  <c r="AH306" i="72"/>
  <c r="AG306" i="72"/>
  <c r="AF306" i="72"/>
  <c r="AJ305" i="72"/>
  <c r="AI305" i="72"/>
  <c r="AH305" i="72"/>
  <c r="AG305" i="72"/>
  <c r="AF305" i="72"/>
  <c r="AE305" i="72"/>
  <c r="AJ304" i="72"/>
  <c r="AI304" i="72"/>
  <c r="AH304" i="72"/>
  <c r="AG304" i="72"/>
  <c r="AF304" i="72"/>
  <c r="AE304" i="72"/>
  <c r="AD304" i="72"/>
  <c r="AJ303" i="72"/>
  <c r="AI303" i="72"/>
  <c r="AH303" i="72"/>
  <c r="AG303" i="72"/>
  <c r="AF303" i="72"/>
  <c r="AE303" i="72"/>
  <c r="AD303" i="72"/>
  <c r="AC303" i="72"/>
  <c r="AJ302" i="72"/>
  <c r="AI302" i="72"/>
  <c r="AH302" i="72"/>
  <c r="AG302" i="72"/>
  <c r="AF302" i="72"/>
  <c r="AE302" i="72"/>
  <c r="AD302" i="72"/>
  <c r="AC302" i="72"/>
  <c r="AB302" i="72"/>
  <c r="AJ301" i="72"/>
  <c r="AI301" i="72"/>
  <c r="AH301" i="72"/>
  <c r="AG301" i="72"/>
  <c r="AF301" i="72"/>
  <c r="AE301" i="72"/>
  <c r="AD301" i="72"/>
  <c r="AC301" i="72"/>
  <c r="AB301" i="72"/>
  <c r="AA301" i="72"/>
  <c r="AJ300" i="72"/>
  <c r="AI300" i="72"/>
  <c r="AH300" i="72"/>
  <c r="AG300" i="72"/>
  <c r="AF300" i="72"/>
  <c r="AE300" i="72"/>
  <c r="AD300" i="72"/>
  <c r="AC300" i="72"/>
  <c r="AB300" i="72"/>
  <c r="AA300" i="72"/>
  <c r="Z300" i="72"/>
  <c r="AJ299" i="72"/>
  <c r="AI299" i="72"/>
  <c r="AH299" i="72"/>
  <c r="AG299" i="72"/>
  <c r="AF299" i="72"/>
  <c r="AE299" i="72"/>
  <c r="AD299" i="72"/>
  <c r="AC299" i="72"/>
  <c r="AB299" i="72"/>
  <c r="AA299" i="72"/>
  <c r="Z299" i="72"/>
  <c r="Y299" i="72"/>
  <c r="AJ298" i="72"/>
  <c r="AI298" i="72"/>
  <c r="AH298" i="72"/>
  <c r="AG298" i="72"/>
  <c r="AF298" i="72"/>
  <c r="AE298" i="72"/>
  <c r="AD298" i="72"/>
  <c r="AC298" i="72"/>
  <c r="AB298" i="72"/>
  <c r="AA298" i="72"/>
  <c r="Z298" i="72"/>
  <c r="Y298" i="72"/>
  <c r="X298" i="72"/>
  <c r="AJ297" i="72"/>
  <c r="AI297" i="72"/>
  <c r="AH297" i="72"/>
  <c r="AG297" i="72"/>
  <c r="AF297" i="72"/>
  <c r="AE297" i="72"/>
  <c r="AD297" i="72"/>
  <c r="AC297" i="72"/>
  <c r="AB297" i="72"/>
  <c r="AA297" i="72"/>
  <c r="Z297" i="72"/>
  <c r="Y297" i="72"/>
  <c r="X297" i="72"/>
  <c r="W297" i="72"/>
  <c r="AJ296" i="72"/>
  <c r="AI296" i="72"/>
  <c r="AH296" i="72"/>
  <c r="AG296" i="72"/>
  <c r="AF296" i="72"/>
  <c r="AE296" i="72"/>
  <c r="AD296" i="72"/>
  <c r="AC296" i="72"/>
  <c r="AB296" i="72"/>
  <c r="AA296" i="72"/>
  <c r="Z296" i="72"/>
  <c r="Y296" i="72"/>
  <c r="X296" i="72"/>
  <c r="W296" i="72"/>
  <c r="V296" i="72"/>
  <c r="AJ295" i="72"/>
  <c r="AI295" i="72"/>
  <c r="AH295" i="72"/>
  <c r="AG295" i="72"/>
  <c r="AF295" i="72"/>
  <c r="AE295" i="72"/>
  <c r="AD295" i="72"/>
  <c r="AC295" i="72"/>
  <c r="AB295" i="72"/>
  <c r="AA295" i="72"/>
  <c r="Z295" i="72"/>
  <c r="Y295" i="72"/>
  <c r="X295" i="72"/>
  <c r="W295" i="72"/>
  <c r="V295" i="72"/>
  <c r="U295" i="72"/>
  <c r="AJ294" i="72"/>
  <c r="AI294" i="72"/>
  <c r="AH294" i="72"/>
  <c r="AG294" i="72"/>
  <c r="AF294" i="72"/>
  <c r="AE294" i="72"/>
  <c r="AD294" i="72"/>
  <c r="AC294" i="72"/>
  <c r="AB294" i="72"/>
  <c r="AA294" i="72"/>
  <c r="Z294" i="72"/>
  <c r="Y294" i="72"/>
  <c r="X294" i="72"/>
  <c r="W294" i="72"/>
  <c r="V294" i="72"/>
  <c r="U294" i="72"/>
  <c r="T294" i="72"/>
  <c r="AJ293" i="72"/>
  <c r="AI293" i="72"/>
  <c r="AH293" i="72"/>
  <c r="AG293" i="72"/>
  <c r="AF293" i="72"/>
  <c r="AE293" i="72"/>
  <c r="AD293" i="72"/>
  <c r="AC293" i="72"/>
  <c r="AB293" i="72"/>
  <c r="AA293" i="72"/>
  <c r="Z293" i="72"/>
  <c r="Y293" i="72"/>
  <c r="X293" i="72"/>
  <c r="W293" i="72"/>
  <c r="V293" i="72"/>
  <c r="U293" i="72"/>
  <c r="T293" i="72"/>
  <c r="S293" i="72"/>
  <c r="AJ292" i="72"/>
  <c r="AI292" i="72"/>
  <c r="AH292" i="72"/>
  <c r="AG292" i="72"/>
  <c r="AF292" i="72"/>
  <c r="AE292" i="72"/>
  <c r="AD292" i="72"/>
  <c r="AC292" i="72"/>
  <c r="AB292" i="72"/>
  <c r="AA292" i="72"/>
  <c r="Z292" i="72"/>
  <c r="Y292" i="72"/>
  <c r="X292" i="72"/>
  <c r="W292" i="72"/>
  <c r="V292" i="72"/>
  <c r="U292" i="72"/>
  <c r="T292" i="72"/>
  <c r="S292" i="72"/>
  <c r="R292" i="72"/>
  <c r="AJ291" i="72"/>
  <c r="AI291" i="72"/>
  <c r="AH291" i="72"/>
  <c r="AG291" i="72"/>
  <c r="AF291" i="72"/>
  <c r="AE291" i="72"/>
  <c r="AD291" i="72"/>
  <c r="AC291" i="72"/>
  <c r="AB291" i="72"/>
  <c r="AA291" i="72"/>
  <c r="Z291" i="72"/>
  <c r="Y291" i="72"/>
  <c r="X291" i="72"/>
  <c r="W291" i="72"/>
  <c r="V291" i="72"/>
  <c r="U291" i="72"/>
  <c r="T291" i="72"/>
  <c r="S291" i="72"/>
  <c r="R291" i="72"/>
  <c r="Q291" i="72"/>
  <c r="AJ290" i="72"/>
  <c r="AI290" i="72"/>
  <c r="AH290" i="72"/>
  <c r="AG290" i="72"/>
  <c r="AF290" i="72"/>
  <c r="AE290" i="72"/>
  <c r="AD290" i="72"/>
  <c r="AC290" i="72"/>
  <c r="AB290" i="72"/>
  <c r="AA290" i="72"/>
  <c r="Z290" i="72"/>
  <c r="Y290" i="72"/>
  <c r="X290" i="72"/>
  <c r="W290" i="72"/>
  <c r="V290" i="72"/>
  <c r="U290" i="72"/>
  <c r="T290" i="72"/>
  <c r="S290" i="72"/>
  <c r="R290" i="72"/>
  <c r="Q290" i="72"/>
  <c r="P290" i="72"/>
  <c r="AJ289" i="72"/>
  <c r="AI289" i="72"/>
  <c r="AH289" i="72"/>
  <c r="AG289" i="72"/>
  <c r="AF289" i="72"/>
  <c r="AE289" i="72"/>
  <c r="AD289" i="72"/>
  <c r="AC289" i="72"/>
  <c r="AB289" i="72"/>
  <c r="AA289" i="72"/>
  <c r="Z289" i="72"/>
  <c r="Y289" i="72"/>
  <c r="X289" i="72"/>
  <c r="W289" i="72"/>
  <c r="V289" i="72"/>
  <c r="U289" i="72"/>
  <c r="T289" i="72"/>
  <c r="S289" i="72"/>
  <c r="R289" i="72"/>
  <c r="Q289" i="72"/>
  <c r="P289" i="72"/>
  <c r="O289" i="72"/>
  <c r="AJ288" i="72"/>
  <c r="AI288" i="72"/>
  <c r="AH288" i="72"/>
  <c r="AG288" i="72"/>
  <c r="AF288" i="72"/>
  <c r="AE288" i="72"/>
  <c r="AD288" i="72"/>
  <c r="AC288" i="72"/>
  <c r="AB288" i="72"/>
  <c r="AA288" i="72"/>
  <c r="Z288" i="72"/>
  <c r="Y288" i="72"/>
  <c r="X288" i="72"/>
  <c r="W288" i="72"/>
  <c r="V288" i="72"/>
  <c r="U288" i="72"/>
  <c r="T288" i="72"/>
  <c r="S288" i="72"/>
  <c r="R288" i="72"/>
  <c r="Q288" i="72"/>
  <c r="P288" i="72"/>
  <c r="O288" i="72"/>
  <c r="N288" i="72"/>
  <c r="AJ287" i="72"/>
  <c r="AI287" i="72"/>
  <c r="AH287" i="72"/>
  <c r="AG287" i="72"/>
  <c r="AF287" i="72"/>
  <c r="AE287" i="72"/>
  <c r="AD287" i="72"/>
  <c r="AC287" i="72"/>
  <c r="AB287" i="72"/>
  <c r="AA287" i="72"/>
  <c r="Z287" i="72"/>
  <c r="Y287" i="72"/>
  <c r="X287" i="72"/>
  <c r="W287" i="72"/>
  <c r="V287" i="72"/>
  <c r="U287" i="72"/>
  <c r="T287" i="72"/>
  <c r="S287" i="72"/>
  <c r="R287" i="72"/>
  <c r="Q287" i="72"/>
  <c r="P287" i="72"/>
  <c r="O287" i="72"/>
  <c r="N287" i="72"/>
  <c r="M287" i="72"/>
  <c r="AJ286" i="72"/>
  <c r="AI286" i="72"/>
  <c r="AH286" i="72"/>
  <c r="AG286" i="72"/>
  <c r="AF286" i="72"/>
  <c r="AE286" i="72"/>
  <c r="AD286" i="72"/>
  <c r="AC286" i="72"/>
  <c r="AB286" i="72"/>
  <c r="AA286" i="72"/>
  <c r="Z286" i="72"/>
  <c r="Y286" i="72"/>
  <c r="X286" i="72"/>
  <c r="W286" i="72"/>
  <c r="V286" i="72"/>
  <c r="U286" i="72"/>
  <c r="T286" i="72"/>
  <c r="S286" i="72"/>
  <c r="R286" i="72"/>
  <c r="Q286" i="72"/>
  <c r="P286" i="72"/>
  <c r="O286" i="72"/>
  <c r="N286" i="72"/>
  <c r="M286" i="72"/>
  <c r="L286" i="72"/>
  <c r="AJ285" i="72"/>
  <c r="AI285" i="72"/>
  <c r="AH285" i="72"/>
  <c r="AG285" i="72"/>
  <c r="AF285" i="72"/>
  <c r="AE285" i="72"/>
  <c r="AD285" i="72"/>
  <c r="AC285" i="72"/>
  <c r="AB285" i="72"/>
  <c r="AA285" i="72"/>
  <c r="Z285" i="72"/>
  <c r="Y285" i="72"/>
  <c r="X285" i="72"/>
  <c r="W285" i="72"/>
  <c r="V285" i="72"/>
  <c r="U285" i="72"/>
  <c r="T285" i="72"/>
  <c r="S285" i="72"/>
  <c r="R285" i="72"/>
  <c r="Q285" i="72"/>
  <c r="P285" i="72"/>
  <c r="O285" i="72"/>
  <c r="N285" i="72"/>
  <c r="M285" i="72"/>
  <c r="L285" i="72"/>
  <c r="K285" i="72"/>
  <c r="AJ284" i="72"/>
  <c r="AI284" i="72"/>
  <c r="AH284" i="72"/>
  <c r="AG284" i="72"/>
  <c r="AF284" i="72"/>
  <c r="AE284" i="72"/>
  <c r="AD284" i="72"/>
  <c r="AC284" i="72"/>
  <c r="AB284" i="72"/>
  <c r="AA284" i="72"/>
  <c r="Z284" i="72"/>
  <c r="Y284" i="72"/>
  <c r="X284" i="72"/>
  <c r="W284" i="72"/>
  <c r="V284" i="72"/>
  <c r="U284" i="72"/>
  <c r="T284" i="72"/>
  <c r="S284" i="72"/>
  <c r="R284" i="72"/>
  <c r="Q284" i="72"/>
  <c r="P284" i="72"/>
  <c r="O284" i="72"/>
  <c r="N284" i="72"/>
  <c r="M284" i="72"/>
  <c r="L284" i="72"/>
  <c r="K284" i="72"/>
  <c r="J284" i="72"/>
  <c r="AJ283" i="72"/>
  <c r="AI283" i="72"/>
  <c r="AH283" i="72"/>
  <c r="AG283" i="72"/>
  <c r="AF283" i="72"/>
  <c r="AE283" i="72"/>
  <c r="AD283" i="72"/>
  <c r="AC283" i="72"/>
  <c r="AB283" i="72"/>
  <c r="AA283" i="72"/>
  <c r="Z283" i="72"/>
  <c r="Y283" i="72"/>
  <c r="X283" i="72"/>
  <c r="W283" i="72"/>
  <c r="V283" i="72"/>
  <c r="U283" i="72"/>
  <c r="T283" i="72"/>
  <c r="S283" i="72"/>
  <c r="R283" i="72"/>
  <c r="Q283" i="72"/>
  <c r="P283" i="72"/>
  <c r="O283" i="72"/>
  <c r="N283" i="72"/>
  <c r="M283" i="72"/>
  <c r="L283" i="72"/>
  <c r="K283" i="72"/>
  <c r="J283" i="72"/>
  <c r="I283" i="72"/>
  <c r="AJ282" i="72"/>
  <c r="AI282" i="72"/>
  <c r="AH282" i="72"/>
  <c r="AG282" i="72"/>
  <c r="AF282" i="72"/>
  <c r="AE282" i="72"/>
  <c r="AD282" i="72"/>
  <c r="AC282" i="72"/>
  <c r="AB282" i="72"/>
  <c r="AA282" i="72"/>
  <c r="Z282" i="72"/>
  <c r="Y282" i="72"/>
  <c r="X282" i="72"/>
  <c r="W282" i="72"/>
  <c r="V282" i="72"/>
  <c r="U282" i="72"/>
  <c r="T282" i="72"/>
  <c r="S282" i="72"/>
  <c r="R282" i="72"/>
  <c r="Q282" i="72"/>
  <c r="P282" i="72"/>
  <c r="O282" i="72"/>
  <c r="N282" i="72"/>
  <c r="M282" i="72"/>
  <c r="L282" i="72"/>
  <c r="K282" i="72"/>
  <c r="J282" i="72"/>
  <c r="I282" i="72"/>
  <c r="H282" i="72"/>
  <c r="AJ281" i="72"/>
  <c r="AI281" i="72"/>
  <c r="AH281" i="72"/>
  <c r="AG281" i="72"/>
  <c r="AF281" i="72"/>
  <c r="AE281" i="72"/>
  <c r="AD281" i="72"/>
  <c r="AC281" i="72"/>
  <c r="AB281" i="72"/>
  <c r="AA281" i="72"/>
  <c r="Z281" i="72"/>
  <c r="Y281" i="72"/>
  <c r="X281" i="72"/>
  <c r="W281" i="72"/>
  <c r="V281" i="72"/>
  <c r="U281" i="72"/>
  <c r="T281" i="72"/>
  <c r="S281" i="72"/>
  <c r="R281" i="72"/>
  <c r="Q281" i="72"/>
  <c r="P281" i="72"/>
  <c r="O281" i="72"/>
  <c r="N281" i="72"/>
  <c r="M281" i="72"/>
  <c r="L281" i="72"/>
  <c r="K281" i="72"/>
  <c r="J281" i="72"/>
  <c r="I281" i="72"/>
  <c r="H281" i="72"/>
  <c r="G281" i="72"/>
  <c r="AJ279" i="72"/>
  <c r="AJ278" i="72"/>
  <c r="AI278" i="72"/>
  <c r="AJ277" i="72"/>
  <c r="AI277" i="72"/>
  <c r="AH277" i="72"/>
  <c r="AJ276" i="72"/>
  <c r="AI276" i="72"/>
  <c r="AH276" i="72"/>
  <c r="AG276" i="72"/>
  <c r="AJ275" i="72"/>
  <c r="AI275" i="72"/>
  <c r="AH275" i="72"/>
  <c r="AG275" i="72"/>
  <c r="AF275" i="72"/>
  <c r="AJ274" i="72"/>
  <c r="AI274" i="72"/>
  <c r="AH274" i="72"/>
  <c r="AG274" i="72"/>
  <c r="AF274" i="72"/>
  <c r="AE274" i="72"/>
  <c r="AJ273" i="72"/>
  <c r="AI273" i="72"/>
  <c r="AH273" i="72"/>
  <c r="AG273" i="72"/>
  <c r="AF273" i="72"/>
  <c r="AE273" i="72"/>
  <c r="AD273" i="72"/>
  <c r="AJ272" i="72"/>
  <c r="AI272" i="72"/>
  <c r="AH272" i="72"/>
  <c r="AG272" i="72"/>
  <c r="AF272" i="72"/>
  <c r="AE272" i="72"/>
  <c r="AD272" i="72"/>
  <c r="AC272" i="72"/>
  <c r="AJ271" i="72"/>
  <c r="AI271" i="72"/>
  <c r="AH271" i="72"/>
  <c r="AG271" i="72"/>
  <c r="AF271" i="72"/>
  <c r="AE271" i="72"/>
  <c r="AD271" i="72"/>
  <c r="AC271" i="72"/>
  <c r="AB271" i="72"/>
  <c r="AJ270" i="72"/>
  <c r="AI270" i="72"/>
  <c r="AH270" i="72"/>
  <c r="AG270" i="72"/>
  <c r="AF270" i="72"/>
  <c r="AE270" i="72"/>
  <c r="AD270" i="72"/>
  <c r="AC270" i="72"/>
  <c r="AB270" i="72"/>
  <c r="AA270" i="72"/>
  <c r="AJ269" i="72"/>
  <c r="AI269" i="72"/>
  <c r="AH269" i="72"/>
  <c r="AG269" i="72"/>
  <c r="AF269" i="72"/>
  <c r="AE269" i="72"/>
  <c r="AD269" i="72"/>
  <c r="AC269" i="72"/>
  <c r="AB269" i="72"/>
  <c r="AA269" i="72"/>
  <c r="Z269" i="72"/>
  <c r="AJ268" i="72"/>
  <c r="AI268" i="72"/>
  <c r="AH268" i="72"/>
  <c r="AG268" i="72"/>
  <c r="AF268" i="72"/>
  <c r="AE268" i="72"/>
  <c r="AD268" i="72"/>
  <c r="AC268" i="72"/>
  <c r="AB268" i="72"/>
  <c r="AA268" i="72"/>
  <c r="Z268" i="72"/>
  <c r="Y268" i="72"/>
  <c r="AJ267" i="72"/>
  <c r="AI267" i="72"/>
  <c r="AH267" i="72"/>
  <c r="AG267" i="72"/>
  <c r="AF267" i="72"/>
  <c r="AE267" i="72"/>
  <c r="AD267" i="72"/>
  <c r="AC267" i="72"/>
  <c r="AB267" i="72"/>
  <c r="AA267" i="72"/>
  <c r="Z267" i="72"/>
  <c r="Y267" i="72"/>
  <c r="X267" i="72"/>
  <c r="AJ266" i="72"/>
  <c r="AI266" i="72"/>
  <c r="AH266" i="72"/>
  <c r="AG266" i="72"/>
  <c r="AF266" i="72"/>
  <c r="AE266" i="72"/>
  <c r="AD266" i="72"/>
  <c r="AC266" i="72"/>
  <c r="AB266" i="72"/>
  <c r="AA266" i="72"/>
  <c r="Z266" i="72"/>
  <c r="Y266" i="72"/>
  <c r="X266" i="72"/>
  <c r="W266" i="72"/>
  <c r="AJ265" i="72"/>
  <c r="AI265" i="72"/>
  <c r="AH265" i="72"/>
  <c r="AG265" i="72"/>
  <c r="AF265" i="72"/>
  <c r="AE265" i="72"/>
  <c r="AD265" i="72"/>
  <c r="AC265" i="72"/>
  <c r="AB265" i="72"/>
  <c r="AA265" i="72"/>
  <c r="Z265" i="72"/>
  <c r="Y265" i="72"/>
  <c r="X265" i="72"/>
  <c r="W265" i="72"/>
  <c r="V265" i="72"/>
  <c r="AJ264" i="72"/>
  <c r="AI264" i="72"/>
  <c r="AH264" i="72"/>
  <c r="AG264" i="72"/>
  <c r="AF264" i="72"/>
  <c r="AE264" i="72"/>
  <c r="AD264" i="72"/>
  <c r="AC264" i="72"/>
  <c r="AB264" i="72"/>
  <c r="AA264" i="72"/>
  <c r="Z264" i="72"/>
  <c r="Y264" i="72"/>
  <c r="X264" i="72"/>
  <c r="W264" i="72"/>
  <c r="V264" i="72"/>
  <c r="U264" i="72"/>
  <c r="AJ263" i="72"/>
  <c r="AI263" i="72"/>
  <c r="AH263" i="72"/>
  <c r="AG263" i="72"/>
  <c r="AF263" i="72"/>
  <c r="AE263" i="72"/>
  <c r="AD263" i="72"/>
  <c r="AC263" i="72"/>
  <c r="AB263" i="72"/>
  <c r="AA263" i="72"/>
  <c r="Z263" i="72"/>
  <c r="Y263" i="72"/>
  <c r="X263" i="72"/>
  <c r="W263" i="72"/>
  <c r="V263" i="72"/>
  <c r="U263" i="72"/>
  <c r="T263" i="72"/>
  <c r="AJ262" i="72"/>
  <c r="AI262" i="72"/>
  <c r="AH262" i="72"/>
  <c r="AG262" i="72"/>
  <c r="AF262" i="72"/>
  <c r="AE262" i="72"/>
  <c r="AD262" i="72"/>
  <c r="AC262" i="72"/>
  <c r="AB262" i="72"/>
  <c r="AA262" i="72"/>
  <c r="Z262" i="72"/>
  <c r="Y262" i="72"/>
  <c r="X262" i="72"/>
  <c r="W262" i="72"/>
  <c r="V262" i="72"/>
  <c r="U262" i="72"/>
  <c r="T262" i="72"/>
  <c r="S262" i="72"/>
  <c r="AJ261" i="72"/>
  <c r="AI261" i="72"/>
  <c r="AH261" i="72"/>
  <c r="AG261" i="72"/>
  <c r="AF261" i="72"/>
  <c r="AE261" i="72"/>
  <c r="AD261" i="72"/>
  <c r="AC261" i="72"/>
  <c r="AB261" i="72"/>
  <c r="AA261" i="72"/>
  <c r="Z261" i="72"/>
  <c r="Y261" i="72"/>
  <c r="X261" i="72"/>
  <c r="W261" i="72"/>
  <c r="V261" i="72"/>
  <c r="U261" i="72"/>
  <c r="T261" i="72"/>
  <c r="S261" i="72"/>
  <c r="R261" i="72"/>
  <c r="AJ260" i="72"/>
  <c r="AI260" i="72"/>
  <c r="AH260" i="72"/>
  <c r="AG260" i="72"/>
  <c r="AF260" i="72"/>
  <c r="AE260" i="72"/>
  <c r="AD260" i="72"/>
  <c r="AC260" i="72"/>
  <c r="AB260" i="72"/>
  <c r="AA260" i="72"/>
  <c r="Z260" i="72"/>
  <c r="Y260" i="72"/>
  <c r="X260" i="72"/>
  <c r="W260" i="72"/>
  <c r="V260" i="72"/>
  <c r="U260" i="72"/>
  <c r="T260" i="72"/>
  <c r="S260" i="72"/>
  <c r="R260" i="72"/>
  <c r="Q260" i="72"/>
  <c r="AJ259" i="72"/>
  <c r="AI259" i="72"/>
  <c r="AH259" i="72"/>
  <c r="AG259" i="72"/>
  <c r="AF259" i="72"/>
  <c r="AE259" i="72"/>
  <c r="AD259" i="72"/>
  <c r="AC259" i="72"/>
  <c r="AB259" i="72"/>
  <c r="AA259" i="72"/>
  <c r="Z259" i="72"/>
  <c r="Y259" i="72"/>
  <c r="X259" i="72"/>
  <c r="W259" i="72"/>
  <c r="V259" i="72"/>
  <c r="U259" i="72"/>
  <c r="T259" i="72"/>
  <c r="S259" i="72"/>
  <c r="R259" i="72"/>
  <c r="Q259" i="72"/>
  <c r="P259" i="72"/>
  <c r="AJ258" i="72"/>
  <c r="AI258" i="72"/>
  <c r="AH258" i="72"/>
  <c r="AG258" i="72"/>
  <c r="AF258" i="72"/>
  <c r="AE258" i="72"/>
  <c r="AD258" i="72"/>
  <c r="AC258" i="72"/>
  <c r="AB258" i="72"/>
  <c r="AA258" i="72"/>
  <c r="Z258" i="72"/>
  <c r="Y258" i="72"/>
  <c r="X258" i="72"/>
  <c r="W258" i="72"/>
  <c r="V258" i="72"/>
  <c r="U258" i="72"/>
  <c r="T258" i="72"/>
  <c r="S258" i="72"/>
  <c r="R258" i="72"/>
  <c r="Q258" i="72"/>
  <c r="P258" i="72"/>
  <c r="O258" i="72"/>
  <c r="AJ257" i="72"/>
  <c r="AI257" i="72"/>
  <c r="AH257" i="72"/>
  <c r="AG257" i="72"/>
  <c r="AF257" i="72"/>
  <c r="AE257" i="72"/>
  <c r="AD257" i="72"/>
  <c r="AC257" i="72"/>
  <c r="AB257" i="72"/>
  <c r="AA257" i="72"/>
  <c r="Z257" i="72"/>
  <c r="Y257" i="72"/>
  <c r="X257" i="72"/>
  <c r="W257" i="72"/>
  <c r="V257" i="72"/>
  <c r="U257" i="72"/>
  <c r="T257" i="72"/>
  <c r="S257" i="72"/>
  <c r="R257" i="72"/>
  <c r="Q257" i="72"/>
  <c r="P257" i="72"/>
  <c r="O257" i="72"/>
  <c r="N257" i="72"/>
  <c r="AJ256" i="72"/>
  <c r="AI256" i="72"/>
  <c r="AH256" i="72"/>
  <c r="AG256" i="72"/>
  <c r="AF256" i="72"/>
  <c r="AE256" i="72"/>
  <c r="AD256" i="72"/>
  <c r="AC256" i="72"/>
  <c r="AB256" i="72"/>
  <c r="AA256" i="72"/>
  <c r="Z256" i="72"/>
  <c r="Y256" i="72"/>
  <c r="X256" i="72"/>
  <c r="W256" i="72"/>
  <c r="V256" i="72"/>
  <c r="U256" i="72"/>
  <c r="T256" i="72"/>
  <c r="S256" i="72"/>
  <c r="R256" i="72"/>
  <c r="Q256" i="72"/>
  <c r="P256" i="72"/>
  <c r="O256" i="72"/>
  <c r="N256" i="72"/>
  <c r="M256" i="72"/>
  <c r="AJ255" i="72"/>
  <c r="AI255" i="72"/>
  <c r="AH255" i="72"/>
  <c r="AG255" i="72"/>
  <c r="AF255" i="72"/>
  <c r="AE255" i="72"/>
  <c r="AD255" i="72"/>
  <c r="AC255" i="72"/>
  <c r="AB255" i="72"/>
  <c r="AA255" i="72"/>
  <c r="Z255" i="72"/>
  <c r="Y255" i="72"/>
  <c r="X255" i="72"/>
  <c r="W255" i="72"/>
  <c r="V255" i="72"/>
  <c r="U255" i="72"/>
  <c r="T255" i="72"/>
  <c r="S255" i="72"/>
  <c r="R255" i="72"/>
  <c r="Q255" i="72"/>
  <c r="P255" i="72"/>
  <c r="O255" i="72"/>
  <c r="N255" i="72"/>
  <c r="M255" i="72"/>
  <c r="L255" i="72"/>
  <c r="AJ254" i="72"/>
  <c r="AI254" i="72"/>
  <c r="AH254" i="72"/>
  <c r="AG254" i="72"/>
  <c r="AF254" i="72"/>
  <c r="AE254" i="72"/>
  <c r="AD254" i="72"/>
  <c r="AC254" i="72"/>
  <c r="AB254" i="72"/>
  <c r="AA254" i="72"/>
  <c r="Z254" i="72"/>
  <c r="Y254" i="72"/>
  <c r="X254" i="72"/>
  <c r="W254" i="72"/>
  <c r="V254" i="72"/>
  <c r="U254" i="72"/>
  <c r="T254" i="72"/>
  <c r="S254" i="72"/>
  <c r="R254" i="72"/>
  <c r="Q254" i="72"/>
  <c r="P254" i="72"/>
  <c r="O254" i="72"/>
  <c r="N254" i="72"/>
  <c r="M254" i="72"/>
  <c r="L254" i="72"/>
  <c r="K254" i="72"/>
  <c r="AJ253" i="72"/>
  <c r="AI253" i="72"/>
  <c r="AH253" i="72"/>
  <c r="AG253" i="72"/>
  <c r="AF253" i="72"/>
  <c r="AE253" i="72"/>
  <c r="AD253" i="72"/>
  <c r="AC253" i="72"/>
  <c r="AB253" i="72"/>
  <c r="AA253" i="72"/>
  <c r="Z253" i="72"/>
  <c r="Y253" i="72"/>
  <c r="X253" i="72"/>
  <c r="W253" i="72"/>
  <c r="V253" i="72"/>
  <c r="U253" i="72"/>
  <c r="T253" i="72"/>
  <c r="S253" i="72"/>
  <c r="R253" i="72"/>
  <c r="Q253" i="72"/>
  <c r="P253" i="72"/>
  <c r="O253" i="72"/>
  <c r="N253" i="72"/>
  <c r="M253" i="72"/>
  <c r="L253" i="72"/>
  <c r="K253" i="72"/>
  <c r="J253" i="72"/>
  <c r="AJ252" i="72"/>
  <c r="AI252" i="72"/>
  <c r="AH252" i="72"/>
  <c r="AG252" i="72"/>
  <c r="AF252" i="72"/>
  <c r="AE252" i="72"/>
  <c r="AD252" i="72"/>
  <c r="AC252" i="72"/>
  <c r="AB252" i="72"/>
  <c r="AA252" i="72"/>
  <c r="Z252" i="72"/>
  <c r="Y252" i="72"/>
  <c r="X252" i="72"/>
  <c r="W252" i="72"/>
  <c r="V252" i="72"/>
  <c r="U252" i="72"/>
  <c r="T252" i="72"/>
  <c r="S252" i="72"/>
  <c r="R252" i="72"/>
  <c r="Q252" i="72"/>
  <c r="P252" i="72"/>
  <c r="O252" i="72"/>
  <c r="N252" i="72"/>
  <c r="M252" i="72"/>
  <c r="L252" i="72"/>
  <c r="K252" i="72"/>
  <c r="J252" i="72"/>
  <c r="I252" i="72"/>
  <c r="AJ251" i="72"/>
  <c r="AI251" i="72"/>
  <c r="AH251" i="72"/>
  <c r="AG251" i="72"/>
  <c r="AF251" i="72"/>
  <c r="AE251" i="72"/>
  <c r="AD251" i="72"/>
  <c r="AC251" i="72"/>
  <c r="AB251" i="72"/>
  <c r="AA251" i="72"/>
  <c r="Z251" i="72"/>
  <c r="Y251" i="72"/>
  <c r="X251" i="72"/>
  <c r="W251" i="72"/>
  <c r="V251" i="72"/>
  <c r="U251" i="72"/>
  <c r="T251" i="72"/>
  <c r="S251" i="72"/>
  <c r="R251" i="72"/>
  <c r="Q251" i="72"/>
  <c r="P251" i="72"/>
  <c r="O251" i="72"/>
  <c r="N251" i="72"/>
  <c r="M251" i="72"/>
  <c r="L251" i="72"/>
  <c r="K251" i="72"/>
  <c r="J251" i="72"/>
  <c r="I251" i="72"/>
  <c r="H251" i="72"/>
  <c r="AJ250" i="72"/>
  <c r="AI250" i="72"/>
  <c r="AH250" i="72"/>
  <c r="AG250" i="72"/>
  <c r="AF250" i="72"/>
  <c r="AE250" i="72"/>
  <c r="AD250" i="72"/>
  <c r="AC250" i="72"/>
  <c r="AB250" i="72"/>
  <c r="AA250" i="72"/>
  <c r="Z250" i="72"/>
  <c r="Y250" i="72"/>
  <c r="X250" i="72"/>
  <c r="W250" i="72"/>
  <c r="V250" i="72"/>
  <c r="U250" i="72"/>
  <c r="T250" i="72"/>
  <c r="S250" i="72"/>
  <c r="R250" i="72"/>
  <c r="Q250" i="72"/>
  <c r="P250" i="72"/>
  <c r="O250" i="72"/>
  <c r="N250" i="72"/>
  <c r="M250" i="72"/>
  <c r="L250" i="72"/>
  <c r="K250" i="72"/>
  <c r="J250" i="72"/>
  <c r="I250" i="72"/>
  <c r="H250" i="72"/>
  <c r="G250" i="72"/>
  <c r="AJ248" i="72"/>
  <c r="AJ247" i="72"/>
  <c r="AI247" i="72"/>
  <c r="AJ246" i="72"/>
  <c r="AI246" i="72"/>
  <c r="AH246" i="72"/>
  <c r="AJ245" i="72"/>
  <c r="AI245" i="72"/>
  <c r="AH245" i="72"/>
  <c r="AG245" i="72"/>
  <c r="AJ244" i="72"/>
  <c r="AI244" i="72"/>
  <c r="AH244" i="72"/>
  <c r="AG244" i="72"/>
  <c r="AF244" i="72"/>
  <c r="AJ243" i="72"/>
  <c r="AI243" i="72"/>
  <c r="AH243" i="72"/>
  <c r="AG243" i="72"/>
  <c r="AF243" i="72"/>
  <c r="AE243" i="72"/>
  <c r="AJ242" i="72"/>
  <c r="AI242" i="72"/>
  <c r="AH242" i="72"/>
  <c r="AG242" i="72"/>
  <c r="AF242" i="72"/>
  <c r="AE242" i="72"/>
  <c r="AD242" i="72"/>
  <c r="AJ241" i="72"/>
  <c r="AI241" i="72"/>
  <c r="AH241" i="72"/>
  <c r="AG241" i="72"/>
  <c r="AF241" i="72"/>
  <c r="AE241" i="72"/>
  <c r="AD241" i="72"/>
  <c r="AC241" i="72"/>
  <c r="AJ240" i="72"/>
  <c r="AI240" i="72"/>
  <c r="AH240" i="72"/>
  <c r="AG240" i="72"/>
  <c r="AF240" i="72"/>
  <c r="AE240" i="72"/>
  <c r="AD240" i="72"/>
  <c r="AC240" i="72"/>
  <c r="AB240" i="72"/>
  <c r="AJ239" i="72"/>
  <c r="AI239" i="72"/>
  <c r="AH239" i="72"/>
  <c r="AG239" i="72"/>
  <c r="AF239" i="72"/>
  <c r="AE239" i="72"/>
  <c r="AD239" i="72"/>
  <c r="AC239" i="72"/>
  <c r="AB239" i="72"/>
  <c r="AA239" i="72"/>
  <c r="AJ238" i="72"/>
  <c r="AI238" i="72"/>
  <c r="AH238" i="72"/>
  <c r="AG238" i="72"/>
  <c r="AF238" i="72"/>
  <c r="AE238" i="72"/>
  <c r="AD238" i="72"/>
  <c r="AC238" i="72"/>
  <c r="AB238" i="72"/>
  <c r="AA238" i="72"/>
  <c r="Z238" i="72"/>
  <c r="AJ237" i="72"/>
  <c r="AI237" i="72"/>
  <c r="AH237" i="72"/>
  <c r="AG237" i="72"/>
  <c r="AF237" i="72"/>
  <c r="AE237" i="72"/>
  <c r="AD237" i="72"/>
  <c r="AC237" i="72"/>
  <c r="AB237" i="72"/>
  <c r="AA237" i="72"/>
  <c r="Z237" i="72"/>
  <c r="Y237" i="72"/>
  <c r="AJ236" i="72"/>
  <c r="AI236" i="72"/>
  <c r="AH236" i="72"/>
  <c r="AG236" i="72"/>
  <c r="AF236" i="72"/>
  <c r="AE236" i="72"/>
  <c r="AD236" i="72"/>
  <c r="AC236" i="72"/>
  <c r="AB236" i="72"/>
  <c r="AA236" i="72"/>
  <c r="Z236" i="72"/>
  <c r="Y236" i="72"/>
  <c r="X236" i="72"/>
  <c r="AJ235" i="72"/>
  <c r="AI235" i="72"/>
  <c r="AH235" i="72"/>
  <c r="AG235" i="72"/>
  <c r="AF235" i="72"/>
  <c r="AE235" i="72"/>
  <c r="AD235" i="72"/>
  <c r="AC235" i="72"/>
  <c r="AB235" i="72"/>
  <c r="AA235" i="72"/>
  <c r="Z235" i="72"/>
  <c r="Y235" i="72"/>
  <c r="X235" i="72"/>
  <c r="W235" i="72"/>
  <c r="AJ234" i="72"/>
  <c r="AI234" i="72"/>
  <c r="AH234" i="72"/>
  <c r="AG234" i="72"/>
  <c r="AF234" i="72"/>
  <c r="AE234" i="72"/>
  <c r="AD234" i="72"/>
  <c r="AC234" i="72"/>
  <c r="AB234" i="72"/>
  <c r="AA234" i="72"/>
  <c r="Z234" i="72"/>
  <c r="Y234" i="72"/>
  <c r="X234" i="72"/>
  <c r="W234" i="72"/>
  <c r="V234" i="72"/>
  <c r="AJ233" i="72"/>
  <c r="AI233" i="72"/>
  <c r="AH233" i="72"/>
  <c r="AG233" i="72"/>
  <c r="AF233" i="72"/>
  <c r="AE233" i="72"/>
  <c r="AD233" i="72"/>
  <c r="AC233" i="72"/>
  <c r="AB233" i="72"/>
  <c r="AA233" i="72"/>
  <c r="Z233" i="72"/>
  <c r="Y233" i="72"/>
  <c r="X233" i="72"/>
  <c r="W233" i="72"/>
  <c r="V233" i="72"/>
  <c r="U233" i="72"/>
  <c r="AJ232" i="72"/>
  <c r="AI232" i="72"/>
  <c r="AH232" i="72"/>
  <c r="AG232" i="72"/>
  <c r="AF232" i="72"/>
  <c r="AE232" i="72"/>
  <c r="AD232" i="72"/>
  <c r="AC232" i="72"/>
  <c r="AB232" i="72"/>
  <c r="AA232" i="72"/>
  <c r="Z232" i="72"/>
  <c r="Y232" i="72"/>
  <c r="X232" i="72"/>
  <c r="W232" i="72"/>
  <c r="V232" i="72"/>
  <c r="U232" i="72"/>
  <c r="T232" i="72"/>
  <c r="AJ231" i="72"/>
  <c r="AI231" i="72"/>
  <c r="AH231" i="72"/>
  <c r="AG231" i="72"/>
  <c r="AF231" i="72"/>
  <c r="AE231" i="72"/>
  <c r="AD231" i="72"/>
  <c r="AC231" i="72"/>
  <c r="AB231" i="72"/>
  <c r="AA231" i="72"/>
  <c r="Z231" i="72"/>
  <c r="Y231" i="72"/>
  <c r="X231" i="72"/>
  <c r="W231" i="72"/>
  <c r="V231" i="72"/>
  <c r="U231" i="72"/>
  <c r="T231" i="72"/>
  <c r="S231" i="72"/>
  <c r="AJ230" i="72"/>
  <c r="AI230" i="72"/>
  <c r="AH230" i="72"/>
  <c r="AG230" i="72"/>
  <c r="AF230" i="72"/>
  <c r="AE230" i="72"/>
  <c r="AD230" i="72"/>
  <c r="AC230" i="72"/>
  <c r="AB230" i="72"/>
  <c r="AA230" i="72"/>
  <c r="Z230" i="72"/>
  <c r="Y230" i="72"/>
  <c r="X230" i="72"/>
  <c r="W230" i="72"/>
  <c r="V230" i="72"/>
  <c r="U230" i="72"/>
  <c r="T230" i="72"/>
  <c r="S230" i="72"/>
  <c r="R230" i="72"/>
  <c r="AJ229" i="72"/>
  <c r="AI229" i="72"/>
  <c r="AH229" i="72"/>
  <c r="AG229" i="72"/>
  <c r="AF229" i="72"/>
  <c r="AE229" i="72"/>
  <c r="AD229" i="72"/>
  <c r="AC229" i="72"/>
  <c r="AB229" i="72"/>
  <c r="AA229" i="72"/>
  <c r="Z229" i="72"/>
  <c r="Y229" i="72"/>
  <c r="X229" i="72"/>
  <c r="W229" i="72"/>
  <c r="V229" i="72"/>
  <c r="U229" i="72"/>
  <c r="T229" i="72"/>
  <c r="S229" i="72"/>
  <c r="R229" i="72"/>
  <c r="Q229" i="72"/>
  <c r="AJ228" i="72"/>
  <c r="AI228" i="72"/>
  <c r="AH228" i="72"/>
  <c r="AG228" i="72"/>
  <c r="AF228" i="72"/>
  <c r="AE228" i="72"/>
  <c r="AD228" i="72"/>
  <c r="AC228" i="72"/>
  <c r="AB228" i="72"/>
  <c r="AA228" i="72"/>
  <c r="Z228" i="72"/>
  <c r="Y228" i="72"/>
  <c r="X228" i="72"/>
  <c r="W228" i="72"/>
  <c r="V228" i="72"/>
  <c r="U228" i="72"/>
  <c r="T228" i="72"/>
  <c r="S228" i="72"/>
  <c r="R228" i="72"/>
  <c r="Q228" i="72"/>
  <c r="P228" i="72"/>
  <c r="AJ227" i="72"/>
  <c r="AI227" i="72"/>
  <c r="AH227" i="72"/>
  <c r="AG227" i="72"/>
  <c r="AF227" i="72"/>
  <c r="AE227" i="72"/>
  <c r="AD227" i="72"/>
  <c r="AC227" i="72"/>
  <c r="AB227" i="72"/>
  <c r="AA227" i="72"/>
  <c r="Z227" i="72"/>
  <c r="Y227" i="72"/>
  <c r="X227" i="72"/>
  <c r="W227" i="72"/>
  <c r="V227" i="72"/>
  <c r="U227" i="72"/>
  <c r="T227" i="72"/>
  <c r="S227" i="72"/>
  <c r="R227" i="72"/>
  <c r="Q227" i="72"/>
  <c r="P227" i="72"/>
  <c r="O227" i="72"/>
  <c r="AJ226" i="72"/>
  <c r="AI226" i="72"/>
  <c r="AH226" i="72"/>
  <c r="AG226" i="72"/>
  <c r="AF226" i="72"/>
  <c r="AE226" i="72"/>
  <c r="AD226" i="72"/>
  <c r="AC226" i="72"/>
  <c r="AB226" i="72"/>
  <c r="AA226" i="72"/>
  <c r="Z226" i="72"/>
  <c r="Y226" i="72"/>
  <c r="X226" i="72"/>
  <c r="W226" i="72"/>
  <c r="V226" i="72"/>
  <c r="U226" i="72"/>
  <c r="T226" i="72"/>
  <c r="S226" i="72"/>
  <c r="R226" i="72"/>
  <c r="Q226" i="72"/>
  <c r="P226" i="72"/>
  <c r="O226" i="72"/>
  <c r="N226" i="72"/>
  <c r="AJ225" i="72"/>
  <c r="AI225" i="72"/>
  <c r="AH225" i="72"/>
  <c r="AG225" i="72"/>
  <c r="AF225" i="72"/>
  <c r="AE225" i="72"/>
  <c r="AD225" i="72"/>
  <c r="AC225" i="72"/>
  <c r="AB225" i="72"/>
  <c r="AA225" i="72"/>
  <c r="Z225" i="72"/>
  <c r="Y225" i="72"/>
  <c r="X225" i="72"/>
  <c r="W225" i="72"/>
  <c r="V225" i="72"/>
  <c r="U225" i="72"/>
  <c r="T225" i="72"/>
  <c r="S225" i="72"/>
  <c r="R225" i="72"/>
  <c r="Q225" i="72"/>
  <c r="P225" i="72"/>
  <c r="O225" i="72"/>
  <c r="N225" i="72"/>
  <c r="M225" i="72"/>
  <c r="AJ224" i="72"/>
  <c r="AI224" i="72"/>
  <c r="AH224" i="72"/>
  <c r="AG224" i="72"/>
  <c r="AF224" i="72"/>
  <c r="AE224" i="72"/>
  <c r="AD224" i="72"/>
  <c r="AC224" i="72"/>
  <c r="AB224" i="72"/>
  <c r="AA224" i="72"/>
  <c r="Z224" i="72"/>
  <c r="Y224" i="72"/>
  <c r="X224" i="72"/>
  <c r="W224" i="72"/>
  <c r="V224" i="72"/>
  <c r="U224" i="72"/>
  <c r="T224" i="72"/>
  <c r="S224" i="72"/>
  <c r="R224" i="72"/>
  <c r="Q224" i="72"/>
  <c r="P224" i="72"/>
  <c r="O224" i="72"/>
  <c r="N224" i="72"/>
  <c r="M224" i="72"/>
  <c r="L224" i="72"/>
  <c r="AJ223" i="72"/>
  <c r="AI223" i="72"/>
  <c r="AH223" i="72"/>
  <c r="AG223" i="72"/>
  <c r="AF223" i="72"/>
  <c r="AE223" i="72"/>
  <c r="AD223" i="72"/>
  <c r="AC223" i="72"/>
  <c r="AB223" i="72"/>
  <c r="AA223" i="72"/>
  <c r="Z223" i="72"/>
  <c r="Y223" i="72"/>
  <c r="X223" i="72"/>
  <c r="W223" i="72"/>
  <c r="V223" i="72"/>
  <c r="U223" i="72"/>
  <c r="T223" i="72"/>
  <c r="S223" i="72"/>
  <c r="R223" i="72"/>
  <c r="Q223" i="72"/>
  <c r="P223" i="72"/>
  <c r="O223" i="72"/>
  <c r="N223" i="72"/>
  <c r="M223" i="72"/>
  <c r="L223" i="72"/>
  <c r="K223" i="72"/>
  <c r="AJ222" i="72"/>
  <c r="AI222" i="72"/>
  <c r="AH222" i="72"/>
  <c r="AG222" i="72"/>
  <c r="AF222" i="72"/>
  <c r="AE222" i="72"/>
  <c r="AD222" i="72"/>
  <c r="AC222" i="72"/>
  <c r="AB222" i="72"/>
  <c r="AA222" i="72"/>
  <c r="Z222" i="72"/>
  <c r="Y222" i="72"/>
  <c r="X222" i="72"/>
  <c r="W222" i="72"/>
  <c r="V222" i="72"/>
  <c r="U222" i="72"/>
  <c r="T222" i="72"/>
  <c r="S222" i="72"/>
  <c r="R222" i="72"/>
  <c r="Q222" i="72"/>
  <c r="P222" i="72"/>
  <c r="O222" i="72"/>
  <c r="N222" i="72"/>
  <c r="M222" i="72"/>
  <c r="L222" i="72"/>
  <c r="K222" i="72"/>
  <c r="J222" i="72"/>
  <c r="AJ221" i="72"/>
  <c r="AI221" i="72"/>
  <c r="AH221" i="72"/>
  <c r="AG221" i="72"/>
  <c r="AF221" i="72"/>
  <c r="AE221" i="72"/>
  <c r="AD221" i="72"/>
  <c r="AC221" i="72"/>
  <c r="AB221" i="72"/>
  <c r="AA221" i="72"/>
  <c r="Z221" i="72"/>
  <c r="Y221" i="72"/>
  <c r="X221" i="72"/>
  <c r="W221" i="72"/>
  <c r="V221" i="72"/>
  <c r="U221" i="72"/>
  <c r="T221" i="72"/>
  <c r="S221" i="72"/>
  <c r="R221" i="72"/>
  <c r="Q221" i="72"/>
  <c r="P221" i="72"/>
  <c r="O221" i="72"/>
  <c r="N221" i="72"/>
  <c r="M221" i="72"/>
  <c r="L221" i="72"/>
  <c r="K221" i="72"/>
  <c r="J221" i="72"/>
  <c r="I221" i="72"/>
  <c r="AJ220" i="72"/>
  <c r="AI220" i="72"/>
  <c r="AH220" i="72"/>
  <c r="AG220" i="72"/>
  <c r="AF220" i="72"/>
  <c r="AE220" i="72"/>
  <c r="AD220" i="72"/>
  <c r="AC220" i="72"/>
  <c r="AB220" i="72"/>
  <c r="AA220" i="72"/>
  <c r="Z220" i="72"/>
  <c r="Y220" i="72"/>
  <c r="X220" i="72"/>
  <c r="W220" i="72"/>
  <c r="V220" i="72"/>
  <c r="U220" i="72"/>
  <c r="T220" i="72"/>
  <c r="S220" i="72"/>
  <c r="R220" i="72"/>
  <c r="Q220" i="72"/>
  <c r="P220" i="72"/>
  <c r="O220" i="72"/>
  <c r="N220" i="72"/>
  <c r="M220" i="72"/>
  <c r="L220" i="72"/>
  <c r="K220" i="72"/>
  <c r="J220" i="72"/>
  <c r="I220" i="72"/>
  <c r="H220" i="72"/>
  <c r="AJ219" i="72"/>
  <c r="AI219" i="72"/>
  <c r="AH219" i="72"/>
  <c r="AG219" i="72"/>
  <c r="AF219" i="72"/>
  <c r="AE219" i="72"/>
  <c r="AD219" i="72"/>
  <c r="AC219" i="72"/>
  <c r="AB219" i="72"/>
  <c r="AA219" i="72"/>
  <c r="Z219" i="72"/>
  <c r="Y219" i="72"/>
  <c r="X219" i="72"/>
  <c r="W219" i="72"/>
  <c r="V219" i="72"/>
  <c r="U219" i="72"/>
  <c r="T219" i="72"/>
  <c r="S219" i="72"/>
  <c r="R219" i="72"/>
  <c r="Q219" i="72"/>
  <c r="P219" i="72"/>
  <c r="O219" i="72"/>
  <c r="N219" i="72"/>
  <c r="M219" i="72"/>
  <c r="L219" i="72"/>
  <c r="K219" i="72"/>
  <c r="J219" i="72"/>
  <c r="I219" i="72"/>
  <c r="H219" i="72"/>
  <c r="G219" i="72"/>
  <c r="AJ217" i="72"/>
  <c r="AJ216" i="72"/>
  <c r="AI216" i="72"/>
  <c r="AJ215" i="72"/>
  <c r="AI215" i="72"/>
  <c r="AH215" i="72"/>
  <c r="AJ214" i="72"/>
  <c r="AI214" i="72"/>
  <c r="AH214" i="72"/>
  <c r="AG214" i="72"/>
  <c r="AJ213" i="72"/>
  <c r="AI213" i="72"/>
  <c r="AH213" i="72"/>
  <c r="AG213" i="72"/>
  <c r="AF213" i="72"/>
  <c r="AJ212" i="72"/>
  <c r="AI212" i="72"/>
  <c r="AH212" i="72"/>
  <c r="AG212" i="72"/>
  <c r="AF212" i="72"/>
  <c r="AE212" i="72"/>
  <c r="AJ211" i="72"/>
  <c r="AI211" i="72"/>
  <c r="AH211" i="72"/>
  <c r="AG211" i="72"/>
  <c r="AF211" i="72"/>
  <c r="AE211" i="72"/>
  <c r="AD211" i="72"/>
  <c r="AJ210" i="72"/>
  <c r="AI210" i="72"/>
  <c r="AH210" i="72"/>
  <c r="AG210" i="72"/>
  <c r="AF210" i="72"/>
  <c r="AE210" i="72"/>
  <c r="AD210" i="72"/>
  <c r="AC210" i="72"/>
  <c r="AJ209" i="72"/>
  <c r="AI209" i="72"/>
  <c r="AH209" i="72"/>
  <c r="AG209" i="72"/>
  <c r="AF209" i="72"/>
  <c r="AE209" i="72"/>
  <c r="AD209" i="72"/>
  <c r="AC209" i="72"/>
  <c r="AB209" i="72"/>
  <c r="AJ208" i="72"/>
  <c r="AI208" i="72"/>
  <c r="AH208" i="72"/>
  <c r="AG208" i="72"/>
  <c r="AF208" i="72"/>
  <c r="AE208" i="72"/>
  <c r="AD208" i="72"/>
  <c r="AC208" i="72"/>
  <c r="AB208" i="72"/>
  <c r="AA208" i="72"/>
  <c r="AJ207" i="72"/>
  <c r="AI207" i="72"/>
  <c r="AH207" i="72"/>
  <c r="AG207" i="72"/>
  <c r="AF207" i="72"/>
  <c r="AE207" i="72"/>
  <c r="AD207" i="72"/>
  <c r="AC207" i="72"/>
  <c r="AB207" i="72"/>
  <c r="AA207" i="72"/>
  <c r="Z207" i="72"/>
  <c r="AJ206" i="72"/>
  <c r="AI206" i="72"/>
  <c r="AH206" i="72"/>
  <c r="AG206" i="72"/>
  <c r="AF206" i="72"/>
  <c r="AE206" i="72"/>
  <c r="AD206" i="72"/>
  <c r="AC206" i="72"/>
  <c r="AB206" i="72"/>
  <c r="AA206" i="72"/>
  <c r="Z206" i="72"/>
  <c r="Y206" i="72"/>
  <c r="AJ205" i="72"/>
  <c r="AI205" i="72"/>
  <c r="AH205" i="72"/>
  <c r="AG205" i="72"/>
  <c r="AF205" i="72"/>
  <c r="AE205" i="72"/>
  <c r="AD205" i="72"/>
  <c r="AC205" i="72"/>
  <c r="AB205" i="72"/>
  <c r="AA205" i="72"/>
  <c r="Z205" i="72"/>
  <c r="Y205" i="72"/>
  <c r="X205" i="72"/>
  <c r="AJ204" i="72"/>
  <c r="AI204" i="72"/>
  <c r="AH204" i="72"/>
  <c r="AG204" i="72"/>
  <c r="AF204" i="72"/>
  <c r="AE204" i="72"/>
  <c r="AD204" i="72"/>
  <c r="AC204" i="72"/>
  <c r="AB204" i="72"/>
  <c r="AA204" i="72"/>
  <c r="Z204" i="72"/>
  <c r="Y204" i="72"/>
  <c r="X204" i="72"/>
  <c r="W204" i="72"/>
  <c r="AJ203" i="72"/>
  <c r="AI203" i="72"/>
  <c r="AH203" i="72"/>
  <c r="AG203" i="72"/>
  <c r="AF203" i="72"/>
  <c r="AE203" i="72"/>
  <c r="AD203" i="72"/>
  <c r="AC203" i="72"/>
  <c r="AB203" i="72"/>
  <c r="AA203" i="72"/>
  <c r="Z203" i="72"/>
  <c r="Y203" i="72"/>
  <c r="X203" i="72"/>
  <c r="W203" i="72"/>
  <c r="V203" i="72"/>
  <c r="AJ202" i="72"/>
  <c r="AI202" i="72"/>
  <c r="AH202" i="72"/>
  <c r="AG202" i="72"/>
  <c r="AF202" i="72"/>
  <c r="AE202" i="72"/>
  <c r="AD202" i="72"/>
  <c r="AC202" i="72"/>
  <c r="AB202" i="72"/>
  <c r="AA202" i="72"/>
  <c r="Z202" i="72"/>
  <c r="Y202" i="72"/>
  <c r="X202" i="72"/>
  <c r="W202" i="72"/>
  <c r="V202" i="72"/>
  <c r="U202" i="72"/>
  <c r="AJ201" i="72"/>
  <c r="AI201" i="72"/>
  <c r="AH201" i="72"/>
  <c r="AG201" i="72"/>
  <c r="AF201" i="72"/>
  <c r="AE201" i="72"/>
  <c r="AD201" i="72"/>
  <c r="AC201" i="72"/>
  <c r="AB201" i="72"/>
  <c r="AA201" i="72"/>
  <c r="Z201" i="72"/>
  <c r="Y201" i="72"/>
  <c r="X201" i="72"/>
  <c r="W201" i="72"/>
  <c r="V201" i="72"/>
  <c r="U201" i="72"/>
  <c r="T201" i="72"/>
  <c r="AJ200" i="72"/>
  <c r="AI200" i="72"/>
  <c r="AH200" i="72"/>
  <c r="AG200" i="72"/>
  <c r="AF200" i="72"/>
  <c r="AE200" i="72"/>
  <c r="AD200" i="72"/>
  <c r="AC200" i="72"/>
  <c r="AB200" i="72"/>
  <c r="AA200" i="72"/>
  <c r="Z200" i="72"/>
  <c r="Y200" i="72"/>
  <c r="X200" i="72"/>
  <c r="W200" i="72"/>
  <c r="V200" i="72"/>
  <c r="U200" i="72"/>
  <c r="T200" i="72"/>
  <c r="S200" i="72"/>
  <c r="AJ199" i="72"/>
  <c r="AI199" i="72"/>
  <c r="AH199" i="72"/>
  <c r="AG199" i="72"/>
  <c r="AF199" i="72"/>
  <c r="AE199" i="72"/>
  <c r="AD199" i="72"/>
  <c r="AC199" i="72"/>
  <c r="AB199" i="72"/>
  <c r="AA199" i="72"/>
  <c r="Z199" i="72"/>
  <c r="Y199" i="72"/>
  <c r="X199" i="72"/>
  <c r="W199" i="72"/>
  <c r="V199" i="72"/>
  <c r="U199" i="72"/>
  <c r="T199" i="72"/>
  <c r="S199" i="72"/>
  <c r="R199" i="72"/>
  <c r="AJ198" i="72"/>
  <c r="AI198" i="72"/>
  <c r="AH198" i="72"/>
  <c r="AG198" i="72"/>
  <c r="AF198" i="72"/>
  <c r="AE198" i="72"/>
  <c r="AD198" i="72"/>
  <c r="AC198" i="72"/>
  <c r="AB198" i="72"/>
  <c r="AA198" i="72"/>
  <c r="Z198" i="72"/>
  <c r="Y198" i="72"/>
  <c r="X198" i="72"/>
  <c r="W198" i="72"/>
  <c r="V198" i="72"/>
  <c r="U198" i="72"/>
  <c r="T198" i="72"/>
  <c r="S198" i="72"/>
  <c r="R198" i="72"/>
  <c r="Q198" i="72"/>
  <c r="AJ197" i="72"/>
  <c r="AI197" i="72"/>
  <c r="AH197" i="72"/>
  <c r="AG197" i="72"/>
  <c r="AF197" i="72"/>
  <c r="AE197" i="72"/>
  <c r="AD197" i="72"/>
  <c r="AC197" i="72"/>
  <c r="AB197" i="72"/>
  <c r="AA197" i="72"/>
  <c r="Z197" i="72"/>
  <c r="Y197" i="72"/>
  <c r="X197" i="72"/>
  <c r="W197" i="72"/>
  <c r="V197" i="72"/>
  <c r="U197" i="72"/>
  <c r="T197" i="72"/>
  <c r="S197" i="72"/>
  <c r="R197" i="72"/>
  <c r="Q197" i="72"/>
  <c r="P197" i="72"/>
  <c r="AJ196" i="72"/>
  <c r="AI196" i="72"/>
  <c r="AH196" i="72"/>
  <c r="AG196" i="72"/>
  <c r="AF196" i="72"/>
  <c r="AE196" i="72"/>
  <c r="AD196" i="72"/>
  <c r="AC196" i="72"/>
  <c r="AB196" i="72"/>
  <c r="AA196" i="72"/>
  <c r="Z196" i="72"/>
  <c r="Y196" i="72"/>
  <c r="X196" i="72"/>
  <c r="W196" i="72"/>
  <c r="V196" i="72"/>
  <c r="U196" i="72"/>
  <c r="T196" i="72"/>
  <c r="S196" i="72"/>
  <c r="R196" i="72"/>
  <c r="Q196" i="72"/>
  <c r="P196" i="72"/>
  <c r="O196" i="72"/>
  <c r="AJ195" i="72"/>
  <c r="AI195" i="72"/>
  <c r="AH195" i="72"/>
  <c r="AG195" i="72"/>
  <c r="AF195" i="72"/>
  <c r="AE195" i="72"/>
  <c r="AD195" i="72"/>
  <c r="AC195" i="72"/>
  <c r="AB195" i="72"/>
  <c r="AA195" i="72"/>
  <c r="Z195" i="72"/>
  <c r="Y195" i="72"/>
  <c r="X195" i="72"/>
  <c r="W195" i="72"/>
  <c r="V195" i="72"/>
  <c r="U195" i="72"/>
  <c r="T195" i="72"/>
  <c r="S195" i="72"/>
  <c r="R195" i="72"/>
  <c r="Q195" i="72"/>
  <c r="P195" i="72"/>
  <c r="O195" i="72"/>
  <c r="N195" i="72"/>
  <c r="AJ194" i="72"/>
  <c r="AI194" i="72"/>
  <c r="AH194" i="72"/>
  <c r="AG194" i="72"/>
  <c r="AF194" i="72"/>
  <c r="AE194" i="72"/>
  <c r="AD194" i="72"/>
  <c r="AC194" i="72"/>
  <c r="AB194" i="72"/>
  <c r="AA194" i="72"/>
  <c r="Z194" i="72"/>
  <c r="Y194" i="72"/>
  <c r="X194" i="72"/>
  <c r="W194" i="72"/>
  <c r="V194" i="72"/>
  <c r="U194" i="72"/>
  <c r="T194" i="72"/>
  <c r="S194" i="72"/>
  <c r="R194" i="72"/>
  <c r="Q194" i="72"/>
  <c r="P194" i="72"/>
  <c r="O194" i="72"/>
  <c r="N194" i="72"/>
  <c r="M194" i="72"/>
  <c r="AJ193" i="72"/>
  <c r="AI193" i="72"/>
  <c r="AH193" i="72"/>
  <c r="AG193" i="72"/>
  <c r="AF193" i="72"/>
  <c r="AE193" i="72"/>
  <c r="AD193" i="72"/>
  <c r="AC193" i="72"/>
  <c r="AB193" i="72"/>
  <c r="AA193" i="72"/>
  <c r="Z193" i="72"/>
  <c r="Y193" i="72"/>
  <c r="X193" i="72"/>
  <c r="W193" i="72"/>
  <c r="V193" i="72"/>
  <c r="U193" i="72"/>
  <c r="T193" i="72"/>
  <c r="S193" i="72"/>
  <c r="R193" i="72"/>
  <c r="Q193" i="72"/>
  <c r="P193" i="72"/>
  <c r="O193" i="72"/>
  <c r="N193" i="72"/>
  <c r="M193" i="72"/>
  <c r="L193" i="72"/>
  <c r="AJ192" i="72"/>
  <c r="AI192" i="72"/>
  <c r="AH192" i="72"/>
  <c r="AG192" i="72"/>
  <c r="AF192" i="72"/>
  <c r="AE192" i="72"/>
  <c r="AD192" i="72"/>
  <c r="AC192" i="72"/>
  <c r="AB192" i="72"/>
  <c r="AA192" i="72"/>
  <c r="Z192" i="72"/>
  <c r="Y192" i="72"/>
  <c r="X192" i="72"/>
  <c r="W192" i="72"/>
  <c r="V192" i="72"/>
  <c r="U192" i="72"/>
  <c r="T192" i="72"/>
  <c r="S192" i="72"/>
  <c r="R192" i="72"/>
  <c r="Q192" i="72"/>
  <c r="P192" i="72"/>
  <c r="O192" i="72"/>
  <c r="N192" i="72"/>
  <c r="M192" i="72"/>
  <c r="L192" i="72"/>
  <c r="K192" i="72"/>
  <c r="AJ191" i="72"/>
  <c r="AI191" i="72"/>
  <c r="AH191" i="72"/>
  <c r="AG191" i="72"/>
  <c r="AF191" i="72"/>
  <c r="AE191" i="72"/>
  <c r="AD191" i="72"/>
  <c r="AC191" i="72"/>
  <c r="AB191" i="72"/>
  <c r="AA191" i="72"/>
  <c r="Z191" i="72"/>
  <c r="Y191" i="72"/>
  <c r="X191" i="72"/>
  <c r="W191" i="72"/>
  <c r="V191" i="72"/>
  <c r="U191" i="72"/>
  <c r="T191" i="72"/>
  <c r="S191" i="72"/>
  <c r="R191" i="72"/>
  <c r="Q191" i="72"/>
  <c r="P191" i="72"/>
  <c r="O191" i="72"/>
  <c r="N191" i="72"/>
  <c r="M191" i="72"/>
  <c r="L191" i="72"/>
  <c r="K191" i="72"/>
  <c r="J191" i="72"/>
  <c r="AJ190" i="72"/>
  <c r="AI190" i="72"/>
  <c r="AH190" i="72"/>
  <c r="AG190" i="72"/>
  <c r="AF190" i="72"/>
  <c r="AE190" i="72"/>
  <c r="AD190" i="72"/>
  <c r="AC190" i="72"/>
  <c r="AB190" i="72"/>
  <c r="AA190" i="72"/>
  <c r="Z190" i="72"/>
  <c r="Y190" i="72"/>
  <c r="X190" i="72"/>
  <c r="W190" i="72"/>
  <c r="V190" i="72"/>
  <c r="U190" i="72"/>
  <c r="T190" i="72"/>
  <c r="S190" i="72"/>
  <c r="R190" i="72"/>
  <c r="Q190" i="72"/>
  <c r="P190" i="72"/>
  <c r="O190" i="72"/>
  <c r="N190" i="72"/>
  <c r="M190" i="72"/>
  <c r="L190" i="72"/>
  <c r="K190" i="72"/>
  <c r="J190" i="72"/>
  <c r="I190" i="72"/>
  <c r="AJ189" i="72"/>
  <c r="AI189" i="72"/>
  <c r="AH189" i="72"/>
  <c r="AG189" i="72"/>
  <c r="AF189" i="72"/>
  <c r="AE189" i="72"/>
  <c r="AD189" i="72"/>
  <c r="AC189" i="72"/>
  <c r="AB189" i="72"/>
  <c r="AA189" i="72"/>
  <c r="Z189" i="72"/>
  <c r="Y189" i="72"/>
  <c r="X189" i="72"/>
  <c r="W189" i="72"/>
  <c r="V189" i="72"/>
  <c r="U189" i="72"/>
  <c r="T189" i="72"/>
  <c r="S189" i="72"/>
  <c r="R189" i="72"/>
  <c r="Q189" i="72"/>
  <c r="P189" i="72"/>
  <c r="O189" i="72"/>
  <c r="N189" i="72"/>
  <c r="M189" i="72"/>
  <c r="L189" i="72"/>
  <c r="K189" i="72"/>
  <c r="J189" i="72"/>
  <c r="I189" i="72"/>
  <c r="H189" i="72"/>
  <c r="AJ188" i="72"/>
  <c r="AI188" i="72"/>
  <c r="AH188" i="72"/>
  <c r="AG188" i="72"/>
  <c r="AF188" i="72"/>
  <c r="AE188" i="72"/>
  <c r="AD188" i="72"/>
  <c r="AC188" i="72"/>
  <c r="AB188" i="72"/>
  <c r="AA188" i="72"/>
  <c r="Z188" i="72"/>
  <c r="Y188" i="72"/>
  <c r="X188" i="72"/>
  <c r="W188" i="72"/>
  <c r="V188" i="72"/>
  <c r="U188" i="72"/>
  <c r="T188" i="72"/>
  <c r="S188" i="72"/>
  <c r="R188" i="72"/>
  <c r="Q188" i="72"/>
  <c r="P188" i="72"/>
  <c r="O188" i="72"/>
  <c r="N188" i="72"/>
  <c r="M188" i="72"/>
  <c r="L188" i="72"/>
  <c r="K188" i="72"/>
  <c r="J188" i="72"/>
  <c r="I188" i="72"/>
  <c r="H188" i="72"/>
  <c r="G188" i="72"/>
  <c r="AJ186" i="72"/>
  <c r="AJ185" i="72"/>
  <c r="AI185" i="72"/>
  <c r="AJ184" i="72"/>
  <c r="AI184" i="72"/>
  <c r="AH184" i="72"/>
  <c r="AJ183" i="72"/>
  <c r="AI183" i="72"/>
  <c r="AH183" i="72"/>
  <c r="AG183" i="72"/>
  <c r="AJ182" i="72"/>
  <c r="AI182" i="72"/>
  <c r="AH182" i="72"/>
  <c r="AG182" i="72"/>
  <c r="AF182" i="72"/>
  <c r="AJ181" i="72"/>
  <c r="AI181" i="72"/>
  <c r="AH181" i="72"/>
  <c r="AG181" i="72"/>
  <c r="AF181" i="72"/>
  <c r="AE181" i="72"/>
  <c r="AJ180" i="72"/>
  <c r="AI180" i="72"/>
  <c r="AH180" i="72"/>
  <c r="AG180" i="72"/>
  <c r="AF180" i="72"/>
  <c r="AE180" i="72"/>
  <c r="AD180" i="72"/>
  <c r="AJ179" i="72"/>
  <c r="AI179" i="72"/>
  <c r="AH179" i="72"/>
  <c r="AG179" i="72"/>
  <c r="AF179" i="72"/>
  <c r="AE179" i="72"/>
  <c r="AD179" i="72"/>
  <c r="AC179" i="72"/>
  <c r="AJ178" i="72"/>
  <c r="AI178" i="72"/>
  <c r="AH178" i="72"/>
  <c r="AG178" i="72"/>
  <c r="AF178" i="72"/>
  <c r="AE178" i="72"/>
  <c r="AD178" i="72"/>
  <c r="AC178" i="72"/>
  <c r="AB178" i="72"/>
  <c r="AJ177" i="72"/>
  <c r="AI177" i="72"/>
  <c r="AH177" i="72"/>
  <c r="AG177" i="72"/>
  <c r="AF177" i="72"/>
  <c r="AE177" i="72"/>
  <c r="AD177" i="72"/>
  <c r="AC177" i="72"/>
  <c r="AB177" i="72"/>
  <c r="AA177" i="72"/>
  <c r="AJ176" i="72"/>
  <c r="AI176" i="72"/>
  <c r="AH176" i="72"/>
  <c r="AG176" i="72"/>
  <c r="AF176" i="72"/>
  <c r="AE176" i="72"/>
  <c r="AD176" i="72"/>
  <c r="AC176" i="72"/>
  <c r="AB176" i="72"/>
  <c r="AA176" i="72"/>
  <c r="Z176" i="72"/>
  <c r="AJ175" i="72"/>
  <c r="AI175" i="72"/>
  <c r="AH175" i="72"/>
  <c r="AG175" i="72"/>
  <c r="AF175" i="72"/>
  <c r="AE175" i="72"/>
  <c r="AD175" i="72"/>
  <c r="AC175" i="72"/>
  <c r="AB175" i="72"/>
  <c r="AA175" i="72"/>
  <c r="Z175" i="72"/>
  <c r="Y175" i="72"/>
  <c r="AJ174" i="72"/>
  <c r="AI174" i="72"/>
  <c r="AH174" i="72"/>
  <c r="AG174" i="72"/>
  <c r="AF174" i="72"/>
  <c r="AE174" i="72"/>
  <c r="AD174" i="72"/>
  <c r="AC174" i="72"/>
  <c r="AB174" i="72"/>
  <c r="AA174" i="72"/>
  <c r="Z174" i="72"/>
  <c r="Y174" i="72"/>
  <c r="X174" i="72"/>
  <c r="AJ173" i="72"/>
  <c r="AI173" i="72"/>
  <c r="AH173" i="72"/>
  <c r="AG173" i="72"/>
  <c r="AF173" i="72"/>
  <c r="AE173" i="72"/>
  <c r="AD173" i="72"/>
  <c r="AC173" i="72"/>
  <c r="AB173" i="72"/>
  <c r="AA173" i="72"/>
  <c r="Z173" i="72"/>
  <c r="Y173" i="72"/>
  <c r="X173" i="72"/>
  <c r="W173" i="72"/>
  <c r="AJ172" i="72"/>
  <c r="AI172" i="72"/>
  <c r="AH172" i="72"/>
  <c r="AG172" i="72"/>
  <c r="AF172" i="72"/>
  <c r="AE172" i="72"/>
  <c r="AD172" i="72"/>
  <c r="AC172" i="72"/>
  <c r="AB172" i="72"/>
  <c r="AA172" i="72"/>
  <c r="Z172" i="72"/>
  <c r="Y172" i="72"/>
  <c r="X172" i="72"/>
  <c r="W172" i="72"/>
  <c r="V172" i="72"/>
  <c r="AJ171" i="72"/>
  <c r="AI171" i="72"/>
  <c r="AH171" i="72"/>
  <c r="AG171" i="72"/>
  <c r="AF171" i="72"/>
  <c r="AE171" i="72"/>
  <c r="AD171" i="72"/>
  <c r="AC171" i="72"/>
  <c r="AB171" i="72"/>
  <c r="AA171" i="72"/>
  <c r="Z171" i="72"/>
  <c r="Y171" i="72"/>
  <c r="X171" i="72"/>
  <c r="W171" i="72"/>
  <c r="V171" i="72"/>
  <c r="U171" i="72"/>
  <c r="AJ170" i="72"/>
  <c r="AI170" i="72"/>
  <c r="AH170" i="72"/>
  <c r="AG170" i="72"/>
  <c r="AF170" i="72"/>
  <c r="AE170" i="72"/>
  <c r="AD170" i="72"/>
  <c r="AC170" i="72"/>
  <c r="AB170" i="72"/>
  <c r="AA170" i="72"/>
  <c r="Z170" i="72"/>
  <c r="Y170" i="72"/>
  <c r="X170" i="72"/>
  <c r="W170" i="72"/>
  <c r="V170" i="72"/>
  <c r="U170" i="72"/>
  <c r="T170" i="72"/>
  <c r="AJ169" i="72"/>
  <c r="AI169" i="72"/>
  <c r="AH169" i="72"/>
  <c r="AG169" i="72"/>
  <c r="AF169" i="72"/>
  <c r="AE169" i="72"/>
  <c r="AD169" i="72"/>
  <c r="AC169" i="72"/>
  <c r="AB169" i="72"/>
  <c r="AA169" i="72"/>
  <c r="Z169" i="72"/>
  <c r="Y169" i="72"/>
  <c r="X169" i="72"/>
  <c r="W169" i="72"/>
  <c r="V169" i="72"/>
  <c r="U169" i="72"/>
  <c r="T169" i="72"/>
  <c r="S169" i="72"/>
  <c r="AJ168" i="72"/>
  <c r="AI168" i="72"/>
  <c r="AH168" i="72"/>
  <c r="AG168" i="72"/>
  <c r="AF168" i="72"/>
  <c r="AE168" i="72"/>
  <c r="AD168" i="72"/>
  <c r="AC168" i="72"/>
  <c r="AB168" i="72"/>
  <c r="AA168" i="72"/>
  <c r="Z168" i="72"/>
  <c r="Y168" i="72"/>
  <c r="X168" i="72"/>
  <c r="W168" i="72"/>
  <c r="V168" i="72"/>
  <c r="U168" i="72"/>
  <c r="T168" i="72"/>
  <c r="S168" i="72"/>
  <c r="R168" i="72"/>
  <c r="AJ167" i="72"/>
  <c r="AI167" i="72"/>
  <c r="AH167" i="72"/>
  <c r="AG167" i="72"/>
  <c r="AF167" i="72"/>
  <c r="AE167" i="72"/>
  <c r="AD167" i="72"/>
  <c r="AC167" i="72"/>
  <c r="AB167" i="72"/>
  <c r="AA167" i="72"/>
  <c r="Z167" i="72"/>
  <c r="Y167" i="72"/>
  <c r="X167" i="72"/>
  <c r="W167" i="72"/>
  <c r="V167" i="72"/>
  <c r="U167" i="72"/>
  <c r="T167" i="72"/>
  <c r="S167" i="72"/>
  <c r="R167" i="72"/>
  <c r="Q167" i="72"/>
  <c r="AJ166" i="72"/>
  <c r="AI166" i="72"/>
  <c r="AH166" i="72"/>
  <c r="AG166" i="72"/>
  <c r="AF166" i="72"/>
  <c r="AE166" i="72"/>
  <c r="AD166" i="72"/>
  <c r="AC166" i="72"/>
  <c r="AB166" i="72"/>
  <c r="AA166" i="72"/>
  <c r="Z166" i="72"/>
  <c r="Y166" i="72"/>
  <c r="X166" i="72"/>
  <c r="W166" i="72"/>
  <c r="V166" i="72"/>
  <c r="U166" i="72"/>
  <c r="T166" i="72"/>
  <c r="S166" i="72"/>
  <c r="R166" i="72"/>
  <c r="Q166" i="72"/>
  <c r="P166" i="72"/>
  <c r="AJ165" i="72"/>
  <c r="AI165" i="72"/>
  <c r="AH165" i="72"/>
  <c r="AG165" i="72"/>
  <c r="AF165" i="72"/>
  <c r="AE165" i="72"/>
  <c r="AD165" i="72"/>
  <c r="AC165" i="72"/>
  <c r="AB165" i="72"/>
  <c r="AA165" i="72"/>
  <c r="Z165" i="72"/>
  <c r="Y165" i="72"/>
  <c r="X165" i="72"/>
  <c r="W165" i="72"/>
  <c r="V165" i="72"/>
  <c r="U165" i="72"/>
  <c r="T165" i="72"/>
  <c r="S165" i="72"/>
  <c r="R165" i="72"/>
  <c r="Q165" i="72"/>
  <c r="P165" i="72"/>
  <c r="O165" i="72"/>
  <c r="AJ164" i="72"/>
  <c r="AI164" i="72"/>
  <c r="AH164" i="72"/>
  <c r="AG164" i="72"/>
  <c r="AF164" i="72"/>
  <c r="AE164" i="72"/>
  <c r="AD164" i="72"/>
  <c r="AC164" i="72"/>
  <c r="AB164" i="72"/>
  <c r="AA164" i="72"/>
  <c r="Z164" i="72"/>
  <c r="Y164" i="72"/>
  <c r="X164" i="72"/>
  <c r="W164" i="72"/>
  <c r="V164" i="72"/>
  <c r="U164" i="72"/>
  <c r="T164" i="72"/>
  <c r="S164" i="72"/>
  <c r="R164" i="72"/>
  <c r="Q164" i="72"/>
  <c r="P164" i="72"/>
  <c r="O164" i="72"/>
  <c r="N164" i="72"/>
  <c r="AJ163" i="72"/>
  <c r="AI163" i="72"/>
  <c r="AH163" i="72"/>
  <c r="AG163" i="72"/>
  <c r="AF163" i="72"/>
  <c r="AE163" i="72"/>
  <c r="AD163" i="72"/>
  <c r="AC163" i="72"/>
  <c r="AB163" i="72"/>
  <c r="AA163" i="72"/>
  <c r="Z163" i="72"/>
  <c r="Y163" i="72"/>
  <c r="X163" i="72"/>
  <c r="W163" i="72"/>
  <c r="V163" i="72"/>
  <c r="U163" i="72"/>
  <c r="T163" i="72"/>
  <c r="S163" i="72"/>
  <c r="R163" i="72"/>
  <c r="Q163" i="72"/>
  <c r="P163" i="72"/>
  <c r="O163" i="72"/>
  <c r="N163" i="72"/>
  <c r="M163" i="72"/>
  <c r="AJ162" i="72"/>
  <c r="AI162" i="72"/>
  <c r="AH162" i="72"/>
  <c r="AG162" i="72"/>
  <c r="AF162" i="72"/>
  <c r="AE162" i="72"/>
  <c r="AD162" i="72"/>
  <c r="AC162" i="72"/>
  <c r="AB162" i="72"/>
  <c r="AA162" i="72"/>
  <c r="Z162" i="72"/>
  <c r="Y162" i="72"/>
  <c r="X162" i="72"/>
  <c r="W162" i="72"/>
  <c r="V162" i="72"/>
  <c r="U162" i="72"/>
  <c r="T162" i="72"/>
  <c r="S162" i="72"/>
  <c r="R162" i="72"/>
  <c r="Q162" i="72"/>
  <c r="P162" i="72"/>
  <c r="O162" i="72"/>
  <c r="N162" i="72"/>
  <c r="M162" i="72"/>
  <c r="L162" i="72"/>
  <c r="AJ161" i="72"/>
  <c r="AI161" i="72"/>
  <c r="AH161" i="72"/>
  <c r="AG161" i="72"/>
  <c r="AF161" i="72"/>
  <c r="AE161" i="72"/>
  <c r="AD161" i="72"/>
  <c r="AC161" i="72"/>
  <c r="AB161" i="72"/>
  <c r="AA161" i="72"/>
  <c r="Z161" i="72"/>
  <c r="Y161" i="72"/>
  <c r="X161" i="72"/>
  <c r="W161" i="72"/>
  <c r="V161" i="72"/>
  <c r="U161" i="72"/>
  <c r="T161" i="72"/>
  <c r="S161" i="72"/>
  <c r="R161" i="72"/>
  <c r="Q161" i="72"/>
  <c r="P161" i="72"/>
  <c r="O161" i="72"/>
  <c r="N161" i="72"/>
  <c r="M161" i="72"/>
  <c r="L161" i="72"/>
  <c r="K161" i="72"/>
  <c r="AJ160" i="72"/>
  <c r="AI160" i="72"/>
  <c r="AH160" i="72"/>
  <c r="AG160" i="72"/>
  <c r="AF160" i="72"/>
  <c r="AE160" i="72"/>
  <c r="AD160" i="72"/>
  <c r="AC160" i="72"/>
  <c r="AB160" i="72"/>
  <c r="AA160" i="72"/>
  <c r="Z160" i="72"/>
  <c r="Y160" i="72"/>
  <c r="X160" i="72"/>
  <c r="W160" i="72"/>
  <c r="V160" i="72"/>
  <c r="U160" i="72"/>
  <c r="T160" i="72"/>
  <c r="S160" i="72"/>
  <c r="R160" i="72"/>
  <c r="Q160" i="72"/>
  <c r="P160" i="72"/>
  <c r="O160" i="72"/>
  <c r="N160" i="72"/>
  <c r="M160" i="72"/>
  <c r="L160" i="72"/>
  <c r="K160" i="72"/>
  <c r="J160" i="72"/>
  <c r="AJ159" i="72"/>
  <c r="AI159" i="72"/>
  <c r="AH159" i="72"/>
  <c r="AG159" i="72"/>
  <c r="AF159" i="72"/>
  <c r="AE159" i="72"/>
  <c r="AD159" i="72"/>
  <c r="AC159" i="72"/>
  <c r="AB159" i="72"/>
  <c r="AA159" i="72"/>
  <c r="Z159" i="72"/>
  <c r="Y159" i="72"/>
  <c r="X159" i="72"/>
  <c r="W159" i="72"/>
  <c r="V159" i="72"/>
  <c r="U159" i="72"/>
  <c r="T159" i="72"/>
  <c r="S159" i="72"/>
  <c r="R159" i="72"/>
  <c r="Q159" i="72"/>
  <c r="P159" i="72"/>
  <c r="O159" i="72"/>
  <c r="N159" i="72"/>
  <c r="M159" i="72"/>
  <c r="L159" i="72"/>
  <c r="K159" i="72"/>
  <c r="J159" i="72"/>
  <c r="I159" i="72"/>
  <c r="AJ158" i="72"/>
  <c r="AI158" i="72"/>
  <c r="AH158" i="72"/>
  <c r="AG158" i="72"/>
  <c r="AF158" i="72"/>
  <c r="AE158" i="72"/>
  <c r="AD158" i="72"/>
  <c r="AC158" i="72"/>
  <c r="AB158" i="72"/>
  <c r="AA158" i="72"/>
  <c r="Z158" i="72"/>
  <c r="Y158" i="72"/>
  <c r="X158" i="72"/>
  <c r="W158" i="72"/>
  <c r="V158" i="72"/>
  <c r="U158" i="72"/>
  <c r="T158" i="72"/>
  <c r="S158" i="72"/>
  <c r="R158" i="72"/>
  <c r="Q158" i="72"/>
  <c r="P158" i="72"/>
  <c r="O158" i="72"/>
  <c r="N158" i="72"/>
  <c r="M158" i="72"/>
  <c r="L158" i="72"/>
  <c r="K158" i="72"/>
  <c r="J158" i="72"/>
  <c r="I158" i="72"/>
  <c r="H158" i="72"/>
  <c r="AJ157" i="72"/>
  <c r="AI157" i="72"/>
  <c r="AH157" i="72"/>
  <c r="AG157" i="72"/>
  <c r="AF157" i="72"/>
  <c r="AE157" i="72"/>
  <c r="AD157" i="72"/>
  <c r="AC157" i="72"/>
  <c r="AB157" i="72"/>
  <c r="AA157" i="72"/>
  <c r="Z157" i="72"/>
  <c r="Y157" i="72"/>
  <c r="X157" i="72"/>
  <c r="W157" i="72"/>
  <c r="V157" i="72"/>
  <c r="U157" i="72"/>
  <c r="T157" i="72"/>
  <c r="S157" i="72"/>
  <c r="R157" i="72"/>
  <c r="Q157" i="72"/>
  <c r="P157" i="72"/>
  <c r="O157" i="72"/>
  <c r="N157" i="72"/>
  <c r="M157" i="72"/>
  <c r="L157" i="72"/>
  <c r="K157" i="72"/>
  <c r="J157" i="72"/>
  <c r="I157" i="72"/>
  <c r="H157" i="72"/>
  <c r="G157" i="72"/>
  <c r="AJ155" i="72"/>
  <c r="AJ154" i="72"/>
  <c r="AI154" i="72"/>
  <c r="AJ153" i="72"/>
  <c r="AI153" i="72"/>
  <c r="AH153" i="72"/>
  <c r="AJ152" i="72"/>
  <c r="AI152" i="72"/>
  <c r="AH152" i="72"/>
  <c r="AG152" i="72"/>
  <c r="AJ151" i="72"/>
  <c r="AI151" i="72"/>
  <c r="AH151" i="72"/>
  <c r="AG151" i="72"/>
  <c r="AF151" i="72"/>
  <c r="AJ150" i="72"/>
  <c r="AI150" i="72"/>
  <c r="AH150" i="72"/>
  <c r="AG150" i="72"/>
  <c r="AF150" i="72"/>
  <c r="AE150" i="72"/>
  <c r="AJ149" i="72"/>
  <c r="AI149" i="72"/>
  <c r="AH149" i="72"/>
  <c r="AG149" i="72"/>
  <c r="AF149" i="72"/>
  <c r="AE149" i="72"/>
  <c r="AD149" i="72"/>
  <c r="AJ148" i="72"/>
  <c r="AI148" i="72"/>
  <c r="AH148" i="72"/>
  <c r="AG148" i="72"/>
  <c r="AF148" i="72"/>
  <c r="AE148" i="72"/>
  <c r="AD148" i="72"/>
  <c r="AC148" i="72"/>
  <c r="AJ147" i="72"/>
  <c r="AI147" i="72"/>
  <c r="AH147" i="72"/>
  <c r="AG147" i="72"/>
  <c r="AF147" i="72"/>
  <c r="AE147" i="72"/>
  <c r="AD147" i="72"/>
  <c r="AC147" i="72"/>
  <c r="AB147" i="72"/>
  <c r="AJ146" i="72"/>
  <c r="AI146" i="72"/>
  <c r="AH146" i="72"/>
  <c r="AG146" i="72"/>
  <c r="AF146" i="72"/>
  <c r="AE146" i="72"/>
  <c r="AD146" i="72"/>
  <c r="AC146" i="72"/>
  <c r="AB146" i="72"/>
  <c r="AA146" i="72"/>
  <c r="AJ145" i="72"/>
  <c r="AI145" i="72"/>
  <c r="AH145" i="72"/>
  <c r="AG145" i="72"/>
  <c r="AF145" i="72"/>
  <c r="AE145" i="72"/>
  <c r="AD145" i="72"/>
  <c r="AC145" i="72"/>
  <c r="AB145" i="72"/>
  <c r="AA145" i="72"/>
  <c r="Z145" i="72"/>
  <c r="AJ144" i="72"/>
  <c r="AI144" i="72"/>
  <c r="AH144" i="72"/>
  <c r="AG144" i="72"/>
  <c r="AF144" i="72"/>
  <c r="AE144" i="72"/>
  <c r="AD144" i="72"/>
  <c r="AC144" i="72"/>
  <c r="AB144" i="72"/>
  <c r="AA144" i="72"/>
  <c r="Z144" i="72"/>
  <c r="Y144" i="72"/>
  <c r="AJ143" i="72"/>
  <c r="AI143" i="72"/>
  <c r="AH143" i="72"/>
  <c r="AG143" i="72"/>
  <c r="AF143" i="72"/>
  <c r="AE143" i="72"/>
  <c r="AD143" i="72"/>
  <c r="AC143" i="72"/>
  <c r="AB143" i="72"/>
  <c r="AA143" i="72"/>
  <c r="Z143" i="72"/>
  <c r="Y143" i="72"/>
  <c r="X143" i="72"/>
  <c r="AJ142" i="72"/>
  <c r="AI142" i="72"/>
  <c r="AH142" i="72"/>
  <c r="AG142" i="72"/>
  <c r="AF142" i="72"/>
  <c r="AE142" i="72"/>
  <c r="AD142" i="72"/>
  <c r="AC142" i="72"/>
  <c r="AB142" i="72"/>
  <c r="AA142" i="72"/>
  <c r="Z142" i="72"/>
  <c r="Y142" i="72"/>
  <c r="X142" i="72"/>
  <c r="W142" i="72"/>
  <c r="AJ141" i="72"/>
  <c r="AI141" i="72"/>
  <c r="AH141" i="72"/>
  <c r="AG141" i="72"/>
  <c r="AF141" i="72"/>
  <c r="AE141" i="72"/>
  <c r="AD141" i="72"/>
  <c r="AC141" i="72"/>
  <c r="AB141" i="72"/>
  <c r="AA141" i="72"/>
  <c r="Z141" i="72"/>
  <c r="Y141" i="72"/>
  <c r="X141" i="72"/>
  <c r="W141" i="72"/>
  <c r="V141" i="72"/>
  <c r="AJ140" i="72"/>
  <c r="AI140" i="72"/>
  <c r="AH140" i="72"/>
  <c r="AG140" i="72"/>
  <c r="AF140" i="72"/>
  <c r="AE140" i="72"/>
  <c r="AD140" i="72"/>
  <c r="AC140" i="72"/>
  <c r="AB140" i="72"/>
  <c r="AA140" i="72"/>
  <c r="Z140" i="72"/>
  <c r="Y140" i="72"/>
  <c r="X140" i="72"/>
  <c r="W140" i="72"/>
  <c r="V140" i="72"/>
  <c r="U140" i="72"/>
  <c r="AJ139" i="72"/>
  <c r="AI139" i="72"/>
  <c r="AH139" i="72"/>
  <c r="AG139" i="72"/>
  <c r="AF139" i="72"/>
  <c r="AE139" i="72"/>
  <c r="AD139" i="72"/>
  <c r="AC139" i="72"/>
  <c r="AB139" i="72"/>
  <c r="AA139" i="72"/>
  <c r="Z139" i="72"/>
  <c r="Y139" i="72"/>
  <c r="X139" i="72"/>
  <c r="W139" i="72"/>
  <c r="V139" i="72"/>
  <c r="U139" i="72"/>
  <c r="T139" i="72"/>
  <c r="AJ138" i="72"/>
  <c r="AI138" i="72"/>
  <c r="AH138" i="72"/>
  <c r="AG138" i="72"/>
  <c r="AF138" i="72"/>
  <c r="AE138" i="72"/>
  <c r="AD138" i="72"/>
  <c r="AC138" i="72"/>
  <c r="AB138" i="72"/>
  <c r="AA138" i="72"/>
  <c r="Z138" i="72"/>
  <c r="Y138" i="72"/>
  <c r="X138" i="72"/>
  <c r="W138" i="72"/>
  <c r="V138" i="72"/>
  <c r="U138" i="72"/>
  <c r="T138" i="72"/>
  <c r="S138" i="72"/>
  <c r="AJ137" i="72"/>
  <c r="AI137" i="72"/>
  <c r="AH137" i="72"/>
  <c r="AG137" i="72"/>
  <c r="AF137" i="72"/>
  <c r="AE137" i="72"/>
  <c r="AD137" i="72"/>
  <c r="AC137" i="72"/>
  <c r="AB137" i="72"/>
  <c r="AA137" i="72"/>
  <c r="Z137" i="72"/>
  <c r="Y137" i="72"/>
  <c r="X137" i="72"/>
  <c r="W137" i="72"/>
  <c r="V137" i="72"/>
  <c r="U137" i="72"/>
  <c r="T137" i="72"/>
  <c r="S137" i="72"/>
  <c r="R137" i="72"/>
  <c r="AJ136" i="72"/>
  <c r="AI136" i="72"/>
  <c r="AH136" i="72"/>
  <c r="AG136" i="72"/>
  <c r="AF136" i="72"/>
  <c r="AE136" i="72"/>
  <c r="AD136" i="72"/>
  <c r="AC136" i="72"/>
  <c r="AB136" i="72"/>
  <c r="AA136" i="72"/>
  <c r="Z136" i="72"/>
  <c r="Y136" i="72"/>
  <c r="X136" i="72"/>
  <c r="W136" i="72"/>
  <c r="V136" i="72"/>
  <c r="U136" i="72"/>
  <c r="T136" i="72"/>
  <c r="S136" i="72"/>
  <c r="R136" i="72"/>
  <c r="Q136" i="72"/>
  <c r="AJ135" i="72"/>
  <c r="AI135" i="72"/>
  <c r="AH135" i="72"/>
  <c r="AG135" i="72"/>
  <c r="AF135" i="72"/>
  <c r="AE135" i="72"/>
  <c r="AD135" i="72"/>
  <c r="AC135" i="72"/>
  <c r="AB135" i="72"/>
  <c r="AA135" i="72"/>
  <c r="Z135" i="72"/>
  <c r="Y135" i="72"/>
  <c r="X135" i="72"/>
  <c r="W135" i="72"/>
  <c r="V135" i="72"/>
  <c r="U135" i="72"/>
  <c r="T135" i="72"/>
  <c r="S135" i="72"/>
  <c r="R135" i="72"/>
  <c r="Q135" i="72"/>
  <c r="P135" i="72"/>
  <c r="AJ134" i="72"/>
  <c r="AI134" i="72"/>
  <c r="AH134" i="72"/>
  <c r="AG134" i="72"/>
  <c r="AF134" i="72"/>
  <c r="AE134" i="72"/>
  <c r="AD134" i="72"/>
  <c r="AC134" i="72"/>
  <c r="AB134" i="72"/>
  <c r="AA134" i="72"/>
  <c r="Z134" i="72"/>
  <c r="Y134" i="72"/>
  <c r="X134" i="72"/>
  <c r="W134" i="72"/>
  <c r="V134" i="72"/>
  <c r="U134" i="72"/>
  <c r="T134" i="72"/>
  <c r="S134" i="72"/>
  <c r="R134" i="72"/>
  <c r="Q134" i="72"/>
  <c r="P134" i="72"/>
  <c r="O134" i="72"/>
  <c r="AJ133" i="72"/>
  <c r="AI133" i="72"/>
  <c r="AH133" i="72"/>
  <c r="AG133" i="72"/>
  <c r="AF133" i="72"/>
  <c r="AE133" i="72"/>
  <c r="AD133" i="72"/>
  <c r="AC133" i="72"/>
  <c r="AB133" i="72"/>
  <c r="AA133" i="72"/>
  <c r="Z133" i="72"/>
  <c r="Y133" i="72"/>
  <c r="X133" i="72"/>
  <c r="W133" i="72"/>
  <c r="V133" i="72"/>
  <c r="U133" i="72"/>
  <c r="T133" i="72"/>
  <c r="S133" i="72"/>
  <c r="R133" i="72"/>
  <c r="Q133" i="72"/>
  <c r="P133" i="72"/>
  <c r="O133" i="72"/>
  <c r="N133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AJ131" i="72"/>
  <c r="AI131" i="72"/>
  <c r="AH131" i="72"/>
  <c r="AG131" i="72"/>
  <c r="AF131" i="72"/>
  <c r="AE131" i="72"/>
  <c r="AD131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AJ128" i="72"/>
  <c r="AI128" i="72"/>
  <c r="AH128" i="72"/>
  <c r="AG128" i="72"/>
  <c r="AF128" i="72"/>
  <c r="AE128" i="72"/>
  <c r="AD128" i="72"/>
  <c r="AC128" i="72"/>
  <c r="AB128" i="72"/>
  <c r="AA128" i="72"/>
  <c r="Z128" i="72"/>
  <c r="Y128" i="72"/>
  <c r="X128" i="72"/>
  <c r="W128" i="72"/>
  <c r="V128" i="72"/>
  <c r="U128" i="72"/>
  <c r="T128" i="72"/>
  <c r="S128" i="72"/>
  <c r="R128" i="72"/>
  <c r="Q128" i="72"/>
  <c r="P128" i="72"/>
  <c r="O128" i="72"/>
  <c r="N128" i="72"/>
  <c r="M128" i="72"/>
  <c r="L128" i="72"/>
  <c r="K128" i="72"/>
  <c r="J128" i="72"/>
  <c r="I128" i="72"/>
  <c r="AJ127" i="72"/>
  <c r="AI127" i="72"/>
  <c r="AH127" i="72"/>
  <c r="AG127" i="72"/>
  <c r="AF127" i="72"/>
  <c r="AE127" i="72"/>
  <c r="AD127" i="72"/>
  <c r="AC127" i="72"/>
  <c r="AB127" i="72"/>
  <c r="AA127" i="72"/>
  <c r="Z127" i="72"/>
  <c r="Y127" i="72"/>
  <c r="X127" i="72"/>
  <c r="W127" i="72"/>
  <c r="V127" i="72"/>
  <c r="U127" i="72"/>
  <c r="T127" i="72"/>
  <c r="S127" i="72"/>
  <c r="R127" i="72"/>
  <c r="Q127" i="72"/>
  <c r="P127" i="72"/>
  <c r="O127" i="72"/>
  <c r="N127" i="72"/>
  <c r="M127" i="72"/>
  <c r="L127" i="72"/>
  <c r="K127" i="72"/>
  <c r="J127" i="72"/>
  <c r="I127" i="72"/>
  <c r="H127" i="72"/>
  <c r="AJ126" i="72"/>
  <c r="AI126" i="72"/>
  <c r="AH126" i="72"/>
  <c r="AG126" i="72"/>
  <c r="AF126" i="72"/>
  <c r="AE126" i="72"/>
  <c r="AD126" i="72"/>
  <c r="AC126" i="72"/>
  <c r="AB126" i="72"/>
  <c r="AA126" i="72"/>
  <c r="Z126" i="72"/>
  <c r="Y126" i="72"/>
  <c r="X126" i="72"/>
  <c r="W126" i="72"/>
  <c r="V126" i="72"/>
  <c r="U126" i="72"/>
  <c r="T126" i="72"/>
  <c r="S126" i="72"/>
  <c r="R126" i="72"/>
  <c r="Q126" i="72"/>
  <c r="P126" i="72"/>
  <c r="O126" i="72"/>
  <c r="N126" i="72"/>
  <c r="M126" i="72"/>
  <c r="L126" i="72"/>
  <c r="K126" i="72"/>
  <c r="J126" i="72"/>
  <c r="I126" i="72"/>
  <c r="H126" i="72"/>
  <c r="G126" i="72"/>
  <c r="AJ124" i="72"/>
  <c r="AJ123" i="72"/>
  <c r="AI123" i="72"/>
  <c r="AJ122" i="72"/>
  <c r="AI122" i="72"/>
  <c r="AH122" i="72"/>
  <c r="AJ121" i="72"/>
  <c r="AI121" i="72"/>
  <c r="AH121" i="72"/>
  <c r="AG121" i="72"/>
  <c r="AJ120" i="72"/>
  <c r="AI120" i="72"/>
  <c r="AH120" i="72"/>
  <c r="AG120" i="72"/>
  <c r="AF120" i="72"/>
  <c r="AJ119" i="72"/>
  <c r="AI119" i="72"/>
  <c r="AH119" i="72"/>
  <c r="AG119" i="72"/>
  <c r="AF119" i="72"/>
  <c r="AE119" i="72"/>
  <c r="AJ118" i="72"/>
  <c r="AI118" i="72"/>
  <c r="AH118" i="72"/>
  <c r="AG118" i="72"/>
  <c r="AF118" i="72"/>
  <c r="AE118" i="72"/>
  <c r="AD118" i="72"/>
  <c r="AJ117" i="72"/>
  <c r="AI117" i="72"/>
  <c r="AH117" i="72"/>
  <c r="AG117" i="72"/>
  <c r="AF117" i="72"/>
  <c r="AE117" i="72"/>
  <c r="AD117" i="72"/>
  <c r="AC117" i="72"/>
  <c r="AJ116" i="72"/>
  <c r="AI116" i="72"/>
  <c r="AH116" i="72"/>
  <c r="AG116" i="72"/>
  <c r="AF116" i="72"/>
  <c r="AE116" i="72"/>
  <c r="AD116" i="72"/>
  <c r="AC116" i="72"/>
  <c r="AB116" i="72"/>
  <c r="AJ115" i="72"/>
  <c r="AI115" i="72"/>
  <c r="AH115" i="72"/>
  <c r="AG115" i="72"/>
  <c r="AF115" i="72"/>
  <c r="AE115" i="72"/>
  <c r="AD115" i="72"/>
  <c r="AC115" i="72"/>
  <c r="AB115" i="72"/>
  <c r="AA115" i="72"/>
  <c r="AJ114" i="72"/>
  <c r="AI114" i="72"/>
  <c r="AH114" i="72"/>
  <c r="AG114" i="72"/>
  <c r="AF114" i="72"/>
  <c r="AE114" i="72"/>
  <c r="AD114" i="72"/>
  <c r="AC114" i="72"/>
  <c r="AB114" i="72"/>
  <c r="AA114" i="72"/>
  <c r="Z114" i="72"/>
  <c r="AJ113" i="72"/>
  <c r="AI113" i="72"/>
  <c r="AH113" i="72"/>
  <c r="AG113" i="72"/>
  <c r="AF113" i="72"/>
  <c r="AE113" i="72"/>
  <c r="AD113" i="72"/>
  <c r="AC113" i="72"/>
  <c r="AB113" i="72"/>
  <c r="AA113" i="72"/>
  <c r="Z113" i="72"/>
  <c r="Y113" i="72"/>
  <c r="AJ112" i="72"/>
  <c r="AI112" i="72"/>
  <c r="AH112" i="72"/>
  <c r="AG112" i="72"/>
  <c r="AF112" i="72"/>
  <c r="AE112" i="72"/>
  <c r="AD112" i="72"/>
  <c r="AC112" i="72"/>
  <c r="AB112" i="72"/>
  <c r="AA112" i="72"/>
  <c r="Z112" i="72"/>
  <c r="Y112" i="72"/>
  <c r="X112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AJ110" i="72"/>
  <c r="AI110" i="72"/>
  <c r="AH110" i="72"/>
  <c r="AG110" i="72"/>
  <c r="AF110" i="72"/>
  <c r="AE110" i="72"/>
  <c r="AD110" i="72"/>
  <c r="AC110" i="72"/>
  <c r="AB110" i="72"/>
  <c r="AA110" i="72"/>
  <c r="Z110" i="72"/>
  <c r="Y110" i="72"/>
  <c r="X110" i="72"/>
  <c r="W110" i="72"/>
  <c r="V110" i="72"/>
  <c r="AJ109" i="72"/>
  <c r="AI109" i="72"/>
  <c r="AH109" i="72"/>
  <c r="AG109" i="72"/>
  <c r="AF109" i="72"/>
  <c r="AE109" i="72"/>
  <c r="AD109" i="72"/>
  <c r="AC109" i="72"/>
  <c r="AB109" i="72"/>
  <c r="AA109" i="72"/>
  <c r="Z109" i="72"/>
  <c r="Y109" i="72"/>
  <c r="X109" i="72"/>
  <c r="W109" i="72"/>
  <c r="V109" i="72"/>
  <c r="U109" i="72"/>
  <c r="AJ108" i="72"/>
  <c r="AI108" i="72"/>
  <c r="AH108" i="72"/>
  <c r="AG108" i="72"/>
  <c r="AF108" i="72"/>
  <c r="AE108" i="72"/>
  <c r="AD108" i="72"/>
  <c r="AC108" i="72"/>
  <c r="AB108" i="72"/>
  <c r="AA108" i="72"/>
  <c r="Z108" i="72"/>
  <c r="Y108" i="72"/>
  <c r="X108" i="72"/>
  <c r="W108" i="72"/>
  <c r="V108" i="72"/>
  <c r="U108" i="72"/>
  <c r="T108" i="72"/>
  <c r="AJ107" i="72"/>
  <c r="AI107" i="72"/>
  <c r="AH107" i="72"/>
  <c r="AG107" i="72"/>
  <c r="AF107" i="72"/>
  <c r="AE107" i="72"/>
  <c r="AD107" i="72"/>
  <c r="AC107" i="72"/>
  <c r="AB107" i="72"/>
  <c r="AA107" i="72"/>
  <c r="Z107" i="72"/>
  <c r="Y107" i="72"/>
  <c r="X107" i="72"/>
  <c r="W107" i="72"/>
  <c r="V107" i="72"/>
  <c r="U107" i="72"/>
  <c r="T107" i="72"/>
  <c r="S107" i="72"/>
  <c r="AJ106" i="72"/>
  <c r="AI106" i="72"/>
  <c r="AH106" i="72"/>
  <c r="AG106" i="72"/>
  <c r="AF106" i="72"/>
  <c r="AE106" i="72"/>
  <c r="AD106" i="72"/>
  <c r="AC106" i="72"/>
  <c r="AB106" i="72"/>
  <c r="AA106" i="72"/>
  <c r="Z106" i="72"/>
  <c r="Y106" i="72"/>
  <c r="X106" i="72"/>
  <c r="W106" i="72"/>
  <c r="V106" i="72"/>
  <c r="U106" i="72"/>
  <c r="T106" i="72"/>
  <c r="S106" i="72"/>
  <c r="R106" i="72"/>
  <c r="AJ105" i="72"/>
  <c r="AI105" i="72"/>
  <c r="AH105" i="72"/>
  <c r="AG105" i="72"/>
  <c r="AF105" i="72"/>
  <c r="AE105" i="72"/>
  <c r="AD105" i="72"/>
  <c r="AC105" i="72"/>
  <c r="AB105" i="72"/>
  <c r="AA105" i="72"/>
  <c r="Z105" i="72"/>
  <c r="Y105" i="72"/>
  <c r="X105" i="72"/>
  <c r="W105" i="72"/>
  <c r="V105" i="72"/>
  <c r="U105" i="72"/>
  <c r="T105" i="72"/>
  <c r="S105" i="72"/>
  <c r="R105" i="72"/>
  <c r="Q105" i="72"/>
  <c r="AJ104" i="72"/>
  <c r="AI104" i="72"/>
  <c r="AH104" i="72"/>
  <c r="AG104" i="72"/>
  <c r="AF104" i="72"/>
  <c r="AE104" i="72"/>
  <c r="AD104" i="72"/>
  <c r="AC104" i="72"/>
  <c r="AB104" i="72"/>
  <c r="AA104" i="72"/>
  <c r="Z104" i="72"/>
  <c r="Y104" i="72"/>
  <c r="X104" i="72"/>
  <c r="W104" i="72"/>
  <c r="V104" i="72"/>
  <c r="U104" i="72"/>
  <c r="T104" i="72"/>
  <c r="S104" i="72"/>
  <c r="R104" i="72"/>
  <c r="Q104" i="72"/>
  <c r="P104" i="72"/>
  <c r="AJ103" i="72"/>
  <c r="AI103" i="72"/>
  <c r="AH103" i="72"/>
  <c r="AG103" i="72"/>
  <c r="AF103" i="72"/>
  <c r="AE103" i="72"/>
  <c r="AD103" i="72"/>
  <c r="AC103" i="72"/>
  <c r="AB103" i="72"/>
  <c r="AA103" i="72"/>
  <c r="Z103" i="72"/>
  <c r="Y103" i="72"/>
  <c r="X103" i="72"/>
  <c r="W103" i="72"/>
  <c r="V103" i="72"/>
  <c r="U103" i="72"/>
  <c r="T103" i="72"/>
  <c r="S103" i="72"/>
  <c r="R103" i="72"/>
  <c r="Q103" i="72"/>
  <c r="P103" i="72"/>
  <c r="O103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AJ101" i="72"/>
  <c r="AI101" i="72"/>
  <c r="AH101" i="72"/>
  <c r="AG101" i="72"/>
  <c r="AF101" i="72"/>
  <c r="AE101" i="72"/>
  <c r="AD101" i="72"/>
  <c r="AC101" i="72"/>
  <c r="AB101" i="72"/>
  <c r="AA101" i="72"/>
  <c r="Z101" i="72"/>
  <c r="Y101" i="72"/>
  <c r="X101" i="72"/>
  <c r="W101" i="72"/>
  <c r="V101" i="72"/>
  <c r="U101" i="72"/>
  <c r="T101" i="72"/>
  <c r="S101" i="72"/>
  <c r="R101" i="72"/>
  <c r="Q101" i="72"/>
  <c r="P101" i="72"/>
  <c r="O101" i="72"/>
  <c r="N101" i="72"/>
  <c r="M101" i="72"/>
  <c r="AJ100" i="72"/>
  <c r="AI100" i="72"/>
  <c r="AH100" i="72"/>
  <c r="AG100" i="72"/>
  <c r="AF100" i="72"/>
  <c r="AE100" i="72"/>
  <c r="AD100" i="72"/>
  <c r="AC100" i="72"/>
  <c r="AB100" i="72"/>
  <c r="AA100" i="72"/>
  <c r="Z100" i="72"/>
  <c r="Y100" i="72"/>
  <c r="X100" i="72"/>
  <c r="W100" i="72"/>
  <c r="V100" i="72"/>
  <c r="U100" i="72"/>
  <c r="T100" i="72"/>
  <c r="S100" i="72"/>
  <c r="R100" i="72"/>
  <c r="Q100" i="72"/>
  <c r="P100" i="72"/>
  <c r="O100" i="72"/>
  <c r="N100" i="72"/>
  <c r="M100" i="72"/>
  <c r="L100" i="72"/>
  <c r="AJ99" i="72"/>
  <c r="AI99" i="72"/>
  <c r="AH99" i="72"/>
  <c r="AG99" i="72"/>
  <c r="AF99" i="72"/>
  <c r="AE99" i="72"/>
  <c r="AD99" i="72"/>
  <c r="AC99" i="72"/>
  <c r="AB99" i="72"/>
  <c r="AA99" i="72"/>
  <c r="Z99" i="72"/>
  <c r="Y99" i="72"/>
  <c r="X99" i="72"/>
  <c r="W99" i="72"/>
  <c r="V99" i="72"/>
  <c r="U99" i="72"/>
  <c r="T99" i="72"/>
  <c r="S99" i="72"/>
  <c r="R99" i="72"/>
  <c r="Q99" i="72"/>
  <c r="P99" i="72"/>
  <c r="O99" i="72"/>
  <c r="N99" i="72"/>
  <c r="M99" i="72"/>
  <c r="L99" i="72"/>
  <c r="K99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AJ97" i="72"/>
  <c r="AI97" i="72"/>
  <c r="AH97" i="72"/>
  <c r="AG97" i="72"/>
  <c r="AF97" i="72"/>
  <c r="AE97" i="72"/>
  <c r="AD97" i="72"/>
  <c r="AC97" i="72"/>
  <c r="AB97" i="72"/>
  <c r="AA97" i="72"/>
  <c r="Z97" i="72"/>
  <c r="Y97" i="72"/>
  <c r="X97" i="72"/>
  <c r="W97" i="72"/>
  <c r="V97" i="72"/>
  <c r="U97" i="72"/>
  <c r="T97" i="72"/>
  <c r="S97" i="72"/>
  <c r="R97" i="72"/>
  <c r="Q97" i="72"/>
  <c r="P97" i="72"/>
  <c r="O97" i="72"/>
  <c r="N97" i="72"/>
  <c r="M97" i="72"/>
  <c r="L97" i="72"/>
  <c r="K97" i="72"/>
  <c r="J97" i="72"/>
  <c r="I97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G95" i="72"/>
  <c r="AJ93" i="72"/>
  <c r="AJ92" i="72"/>
  <c r="AI92" i="72"/>
  <c r="AJ91" i="72"/>
  <c r="AI91" i="72"/>
  <c r="AH91" i="72"/>
  <c r="AJ90" i="72"/>
  <c r="AI90" i="72"/>
  <c r="AH90" i="72"/>
  <c r="AG90" i="72"/>
  <c r="AJ89" i="72"/>
  <c r="AI89" i="72"/>
  <c r="AH89" i="72"/>
  <c r="AG89" i="72"/>
  <c r="AF89" i="72"/>
  <c r="AJ88" i="72"/>
  <c r="AI88" i="72"/>
  <c r="AH88" i="72"/>
  <c r="AG88" i="72"/>
  <c r="AF88" i="72"/>
  <c r="AE88" i="72"/>
  <c r="AJ87" i="72"/>
  <c r="AI87" i="72"/>
  <c r="AH87" i="72"/>
  <c r="AG87" i="72"/>
  <c r="AF87" i="72"/>
  <c r="AE87" i="72"/>
  <c r="AD87" i="72"/>
  <c r="AJ86" i="72"/>
  <c r="AI86" i="72"/>
  <c r="AH86" i="72"/>
  <c r="AG86" i="72"/>
  <c r="AF86" i="72"/>
  <c r="AE86" i="72"/>
  <c r="AD86" i="72"/>
  <c r="AC86" i="72"/>
  <c r="AJ85" i="72"/>
  <c r="AI85" i="72"/>
  <c r="AH85" i="72"/>
  <c r="AG85" i="72"/>
  <c r="AF85" i="72"/>
  <c r="AE85" i="72"/>
  <c r="AD85" i="72"/>
  <c r="AC85" i="72"/>
  <c r="AB85" i="72"/>
  <c r="AJ84" i="72"/>
  <c r="AI84" i="72"/>
  <c r="AH84" i="72"/>
  <c r="AG84" i="72"/>
  <c r="AF84" i="72"/>
  <c r="AE84" i="72"/>
  <c r="AD84" i="72"/>
  <c r="AC84" i="72"/>
  <c r="AB84" i="72"/>
  <c r="AA84" i="72"/>
  <c r="AJ83" i="72"/>
  <c r="AI83" i="72"/>
  <c r="AH83" i="72"/>
  <c r="AG83" i="72"/>
  <c r="AF83" i="72"/>
  <c r="AE83" i="72"/>
  <c r="AD83" i="72"/>
  <c r="AC83" i="72"/>
  <c r="AB83" i="72"/>
  <c r="AA83" i="72"/>
  <c r="Z83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AJ62" i="72"/>
  <c r="AJ61" i="72"/>
  <c r="AI61" i="72"/>
  <c r="AJ60" i="72"/>
  <c r="AI60" i="72"/>
  <c r="AH60" i="72"/>
  <c r="AJ59" i="72"/>
  <c r="AI59" i="72"/>
  <c r="AH59" i="72"/>
  <c r="AG59" i="72"/>
  <c r="AJ58" i="72"/>
  <c r="AI58" i="72"/>
  <c r="AH58" i="72"/>
  <c r="AG58" i="72"/>
  <c r="AF58" i="72"/>
  <c r="AJ57" i="72"/>
  <c r="AI57" i="72"/>
  <c r="AH57" i="72"/>
  <c r="AG57" i="72"/>
  <c r="AF57" i="72"/>
  <c r="AE57" i="72"/>
  <c r="AJ56" i="72"/>
  <c r="AI56" i="72"/>
  <c r="AH56" i="72"/>
  <c r="AG56" i="72"/>
  <c r="AF56" i="72"/>
  <c r="AE56" i="72"/>
  <c r="AD56" i="72"/>
  <c r="AJ55" i="72"/>
  <c r="AI55" i="72"/>
  <c r="AH55" i="72"/>
  <c r="AG55" i="72"/>
  <c r="AF55" i="72"/>
  <c r="AE55" i="72"/>
  <c r="AD55" i="72"/>
  <c r="AC55" i="72"/>
  <c r="AJ54" i="72"/>
  <c r="AI54" i="72"/>
  <c r="AH54" i="72"/>
  <c r="AG54" i="72"/>
  <c r="AF54" i="72"/>
  <c r="AE54" i="72"/>
  <c r="AD54" i="72"/>
  <c r="AC54" i="72"/>
  <c r="AB54" i="72"/>
  <c r="AJ53" i="72"/>
  <c r="AI53" i="72"/>
  <c r="AH53" i="72"/>
  <c r="AG53" i="72"/>
  <c r="AF53" i="72"/>
  <c r="AE53" i="72"/>
  <c r="AD53" i="72"/>
  <c r="AC53" i="72"/>
  <c r="AB53" i="72"/>
  <c r="AA53" i="72"/>
  <c r="AJ52" i="72"/>
  <c r="AI52" i="72"/>
  <c r="AH52" i="72"/>
  <c r="AG52" i="72"/>
  <c r="AF52" i="72"/>
  <c r="AE52" i="72"/>
  <c r="AD52" i="72"/>
  <c r="AC52" i="72"/>
  <c r="AB52" i="72"/>
  <c r="AA52" i="72"/>
  <c r="Z52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AJ44" i="72"/>
  <c r="AI44" i="72"/>
  <c r="AH44" i="72"/>
  <c r="AG44" i="72"/>
  <c r="AF44" i="72"/>
  <c r="AE44" i="72"/>
  <c r="AD44" i="72"/>
  <c r="AC44" i="72"/>
  <c r="AB44" i="72"/>
  <c r="AA44" i="72"/>
  <c r="Z44" i="72"/>
  <c r="Y44" i="72"/>
  <c r="X44" i="72"/>
  <c r="W44" i="72"/>
  <c r="V44" i="72"/>
  <c r="U44" i="72"/>
  <c r="T44" i="72"/>
  <c r="S44" i="72"/>
  <c r="R44" i="72"/>
  <c r="AJ43" i="72"/>
  <c r="AI43" i="72"/>
  <c r="AH43" i="72"/>
  <c r="AG43" i="72"/>
  <c r="AF43" i="72"/>
  <c r="AE43" i="72"/>
  <c r="AD43" i="72"/>
  <c r="AC43" i="72"/>
  <c r="AB43" i="72"/>
  <c r="AA43" i="72"/>
  <c r="Z43" i="72"/>
  <c r="Y43" i="72"/>
  <c r="X43" i="72"/>
  <c r="W43" i="72"/>
  <c r="V43" i="72"/>
  <c r="U43" i="72"/>
  <c r="T43" i="72"/>
  <c r="S43" i="72"/>
  <c r="R43" i="72"/>
  <c r="Q43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AJ41" i="72"/>
  <c r="AI41" i="72"/>
  <c r="AH41" i="72"/>
  <c r="AG41" i="72"/>
  <c r="AF41" i="72"/>
  <c r="AE41" i="72"/>
  <c r="AD41" i="72"/>
  <c r="AC41" i="72"/>
  <c r="AB41" i="72"/>
  <c r="AA41" i="72"/>
  <c r="Z41" i="72"/>
  <c r="Y41" i="72"/>
  <c r="X41" i="72"/>
  <c r="W41" i="72"/>
  <c r="V41" i="72"/>
  <c r="U41" i="72"/>
  <c r="T41" i="72"/>
  <c r="S41" i="72"/>
  <c r="R41" i="72"/>
  <c r="Q41" i="72"/>
  <c r="P41" i="72"/>
  <c r="O41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AJ35" i="72"/>
  <c r="AI35" i="72"/>
  <c r="AH35" i="72"/>
  <c r="AG35" i="72"/>
  <c r="AF35" i="72"/>
  <c r="AE35" i="72"/>
  <c r="AD35" i="72"/>
  <c r="AC35" i="72"/>
  <c r="AB35" i="72"/>
  <c r="AA35" i="72"/>
  <c r="Z35" i="72"/>
  <c r="Y35" i="72"/>
  <c r="X35" i="72"/>
  <c r="W35" i="72"/>
  <c r="V35" i="72"/>
  <c r="U35" i="72"/>
  <c r="T35" i="72"/>
  <c r="S35" i="72"/>
  <c r="R35" i="72"/>
  <c r="Q35" i="72"/>
  <c r="P35" i="72"/>
  <c r="O35" i="72"/>
  <c r="N35" i="72"/>
  <c r="M35" i="72"/>
  <c r="L35" i="72"/>
  <c r="K35" i="72"/>
  <c r="J35" i="72"/>
  <c r="I35" i="72"/>
  <c r="AJ34" i="72"/>
  <c r="AI34" i="72"/>
  <c r="AH34" i="72"/>
  <c r="AG34" i="72"/>
  <c r="AF34" i="72"/>
  <c r="AE34" i="72"/>
  <c r="AD34" i="72"/>
  <c r="AC34" i="72"/>
  <c r="AB34" i="72"/>
  <c r="AA34" i="72"/>
  <c r="Z34" i="72"/>
  <c r="Y34" i="72"/>
  <c r="X34" i="72"/>
  <c r="W34" i="72"/>
  <c r="V34" i="72"/>
  <c r="U34" i="72"/>
  <c r="T34" i="72"/>
  <c r="S34" i="72"/>
  <c r="R34" i="72"/>
  <c r="Q34" i="72"/>
  <c r="P34" i="72"/>
  <c r="O34" i="72"/>
  <c r="N34" i="72"/>
  <c r="M34" i="72"/>
  <c r="L34" i="72"/>
  <c r="K34" i="72"/>
  <c r="J34" i="72"/>
  <c r="I34" i="72"/>
  <c r="H34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AJ31" i="72"/>
  <c r="AJ30" i="72"/>
  <c r="AI30" i="72"/>
  <c r="AJ29" i="72"/>
  <c r="AI29" i="72"/>
  <c r="AH29" i="72"/>
  <c r="AJ28" i="72"/>
  <c r="AI28" i="72"/>
  <c r="AH28" i="72"/>
  <c r="AG28" i="72"/>
  <c r="AJ27" i="72"/>
  <c r="AI27" i="72"/>
  <c r="AH27" i="72"/>
  <c r="AG27" i="72"/>
  <c r="AF27" i="72"/>
  <c r="AJ26" i="72"/>
  <c r="AI26" i="72"/>
  <c r="AH26" i="72"/>
  <c r="AG26" i="72"/>
  <c r="AF26" i="72"/>
  <c r="AE26" i="72"/>
  <c r="AJ25" i="72"/>
  <c r="AI25" i="72"/>
  <c r="AH25" i="72"/>
  <c r="AG25" i="72"/>
  <c r="AF25" i="72"/>
  <c r="AE25" i="72"/>
  <c r="AD25" i="72"/>
  <c r="AJ24" i="72"/>
  <c r="AI24" i="72"/>
  <c r="AH24" i="72"/>
  <c r="AG24" i="72"/>
  <c r="AF24" i="72"/>
  <c r="AE24" i="72"/>
  <c r="AD24" i="72"/>
  <c r="AC24" i="72"/>
  <c r="AJ23" i="72"/>
  <c r="AI23" i="72"/>
  <c r="AH23" i="72"/>
  <c r="AG23" i="72"/>
  <c r="AF23" i="72"/>
  <c r="AE23" i="72"/>
  <c r="AD23" i="72"/>
  <c r="AC23" i="72"/>
  <c r="AB23" i="72"/>
  <c r="AJ22" i="72"/>
  <c r="AI22" i="72"/>
  <c r="AH22" i="72"/>
  <c r="AG22" i="72"/>
  <c r="AF22" i="72"/>
  <c r="AE22" i="72"/>
  <c r="AD22" i="72"/>
  <c r="AC22" i="72"/>
  <c r="AB22" i="72"/>
  <c r="AA22" i="72"/>
  <c r="AJ21" i="72"/>
  <c r="AI21" i="72"/>
  <c r="AH21" i="72"/>
  <c r="AG21" i="72"/>
  <c r="AF21" i="72"/>
  <c r="AE21" i="72"/>
  <c r="AD21" i="72"/>
  <c r="AC21" i="72"/>
  <c r="AB21" i="72"/>
  <c r="AA21" i="72"/>
  <c r="Z21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AJ18" i="72"/>
  <c r="AI18" i="72"/>
  <c r="AH18" i="72"/>
  <c r="AG18" i="72"/>
  <c r="AF18" i="72"/>
  <c r="AE18" i="72"/>
  <c r="AD18" i="72"/>
  <c r="AC18" i="72"/>
  <c r="AB18" i="72"/>
  <c r="AA18" i="72"/>
  <c r="Z18" i="72"/>
  <c r="Y18" i="72"/>
  <c r="X18" i="72"/>
  <c r="W18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AJ15" i="72"/>
  <c r="AI15" i="72"/>
  <c r="AH15" i="72"/>
  <c r="AG15" i="72"/>
  <c r="AF15" i="72"/>
  <c r="AE15" i="72"/>
  <c r="AD15" i="72"/>
  <c r="AC15" i="72"/>
  <c r="AB15" i="72"/>
  <c r="AA15" i="72"/>
  <c r="Z15" i="72"/>
  <c r="Y15" i="72"/>
  <c r="X15" i="72"/>
  <c r="W15" i="72"/>
  <c r="V15" i="72"/>
  <c r="U15" i="72"/>
  <c r="T15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AJ2" i="72"/>
  <c r="AI2" i="72"/>
  <c r="AH2" i="72"/>
  <c r="AG2" i="72"/>
  <c r="AF2" i="72"/>
  <c r="AE2" i="72"/>
  <c r="AD2" i="72"/>
  <c r="AC2" i="72"/>
  <c r="AB2" i="72"/>
  <c r="AA2" i="72"/>
  <c r="Z2" i="72"/>
  <c r="Y2" i="72"/>
  <c r="X2" i="72"/>
  <c r="W2" i="72"/>
  <c r="V2" i="72"/>
  <c r="U2" i="72"/>
  <c r="T2" i="72"/>
  <c r="S2" i="72"/>
  <c r="R2" i="72"/>
  <c r="Q2" i="72"/>
  <c r="P2" i="72"/>
  <c r="O2" i="72"/>
  <c r="N2" i="72"/>
  <c r="M2" i="72"/>
  <c r="L2" i="72"/>
  <c r="K2" i="72"/>
  <c r="J2" i="72"/>
  <c r="I2" i="72"/>
  <c r="H2" i="72"/>
  <c r="G2" i="72"/>
  <c r="B60" i="26"/>
  <c r="C60" i="26" s="1"/>
  <c r="D60" i="26" s="1"/>
  <c r="B59" i="26"/>
  <c r="D58" i="26"/>
  <c r="C58" i="26"/>
  <c r="B58" i="26"/>
  <c r="B54" i="26"/>
  <c r="B53" i="26"/>
  <c r="B52" i="26"/>
  <c r="B51" i="26"/>
  <c r="B50" i="26"/>
  <c r="J48" i="26"/>
  <c r="I48" i="26"/>
  <c r="H48" i="26"/>
  <c r="G48" i="26"/>
  <c r="F48" i="26"/>
  <c r="E48" i="26"/>
  <c r="D48" i="26"/>
  <c r="C48" i="26"/>
  <c r="B48" i="26"/>
  <c r="H21" i="26"/>
  <c r="G21" i="26"/>
  <c r="F21" i="26"/>
  <c r="E21" i="26"/>
  <c r="D21" i="26"/>
  <c r="C21" i="26"/>
  <c r="D18" i="26"/>
  <c r="C18" i="26"/>
  <c r="D12" i="26"/>
  <c r="C12" i="26"/>
  <c r="B12" i="26"/>
  <c r="A17" i="34"/>
  <c r="C202" i="38" s="1"/>
  <c r="C217" i="38" s="1"/>
  <c r="C232" i="38" s="1"/>
  <c r="A16" i="34"/>
  <c r="C16" i="34" s="1"/>
  <c r="E16" i="34" s="1"/>
  <c r="A15" i="34"/>
  <c r="C200" i="38" s="1"/>
  <c r="C215" i="38" s="1"/>
  <c r="C230" i="38" s="1"/>
  <c r="A14" i="34"/>
  <c r="C199" i="38" s="1"/>
  <c r="C214" i="38" s="1"/>
  <c r="A13" i="34"/>
  <c r="C13" i="34" s="1"/>
  <c r="A12" i="34"/>
  <c r="C197" i="38" s="1"/>
  <c r="C212" i="38" s="1"/>
  <c r="A11" i="34"/>
  <c r="C11" i="34" s="1"/>
  <c r="E11" i="34" s="1"/>
  <c r="A10" i="34"/>
  <c r="C10" i="34" s="1"/>
  <c r="E10" i="34" s="1"/>
  <c r="A9" i="34"/>
  <c r="C9" i="34" s="1"/>
  <c r="A8" i="34"/>
  <c r="C193" i="38" s="1"/>
  <c r="C208" i="38" s="1"/>
  <c r="A7" i="34"/>
  <c r="C192" i="38" s="1"/>
  <c r="C207" i="38" s="1"/>
  <c r="C222" i="38" s="1"/>
  <c r="A6" i="34"/>
  <c r="C6" i="34" s="1"/>
  <c r="A5" i="34"/>
  <c r="C190" i="38" s="1"/>
  <c r="C205" i="38" s="1"/>
  <c r="C220" i="38" s="1"/>
  <c r="A4" i="34"/>
  <c r="C4" i="34" s="1"/>
  <c r="E4" i="34" s="1"/>
  <c r="A3" i="34"/>
  <c r="C3" i="34" s="1"/>
  <c r="E2" i="34"/>
  <c r="D2" i="34"/>
  <c r="C2" i="34"/>
  <c r="G31" i="76"/>
  <c r="D31" i="76"/>
  <c r="G30" i="76"/>
  <c r="D30" i="76"/>
  <c r="G29" i="76"/>
  <c r="D29" i="76"/>
  <c r="G28" i="76"/>
  <c r="D28" i="76"/>
  <c r="G27" i="76"/>
  <c r="D27" i="76"/>
  <c r="G26" i="76"/>
  <c r="D26" i="76"/>
  <c r="G25" i="76"/>
  <c r="D25" i="76"/>
  <c r="G24" i="76"/>
  <c r="D24" i="76"/>
  <c r="G23" i="76"/>
  <c r="D23" i="76"/>
  <c r="G22" i="76"/>
  <c r="D22" i="76"/>
  <c r="G21" i="76"/>
  <c r="D21" i="76"/>
  <c r="G20" i="76"/>
  <c r="D20" i="76"/>
  <c r="G19" i="76"/>
  <c r="D19" i="76"/>
  <c r="G18" i="76"/>
  <c r="D18" i="76"/>
  <c r="D17" i="76"/>
  <c r="D16" i="76"/>
  <c r="D15" i="76"/>
  <c r="G14" i="76"/>
  <c r="G13" i="76" s="1"/>
  <c r="F13" i="76" s="1"/>
  <c r="D14" i="76"/>
  <c r="D13" i="76"/>
  <c r="D12" i="76"/>
  <c r="D11" i="76"/>
  <c r="D10" i="76"/>
  <c r="D9" i="76"/>
  <c r="D8" i="76"/>
  <c r="D7" i="76"/>
  <c r="D6" i="76"/>
  <c r="D5" i="76"/>
  <c r="G4" i="76"/>
  <c r="G5" i="76" s="1"/>
  <c r="D4" i="76"/>
  <c r="D3" i="76"/>
  <c r="G2" i="76"/>
  <c r="F2" i="76"/>
  <c r="E2" i="76"/>
  <c r="C51" i="17"/>
  <c r="E50" i="17"/>
  <c r="D50" i="17"/>
  <c r="C50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E31" i="17"/>
  <c r="D31" i="17"/>
  <c r="C31" i="17"/>
  <c r="B27" i="17"/>
  <c r="B26" i="17"/>
  <c r="B25" i="17"/>
  <c r="B24" i="17"/>
  <c r="B23" i="17"/>
  <c r="B22" i="17"/>
  <c r="E21" i="17"/>
  <c r="D21" i="17"/>
  <c r="C21" i="17"/>
  <c r="E18" i="17"/>
  <c r="E17" i="17"/>
  <c r="D17" i="17"/>
  <c r="E16" i="17"/>
  <c r="E15" i="17"/>
  <c r="D15" i="17"/>
  <c r="D18" i="17" s="1"/>
  <c r="C15" i="17"/>
  <c r="D16" i="17" s="1"/>
  <c r="I12" i="17"/>
  <c r="I10" i="17" s="1"/>
  <c r="E12" i="17" s="1"/>
  <c r="H12" i="17"/>
  <c r="E10" i="17"/>
  <c r="D10" i="17"/>
  <c r="C10" i="17"/>
  <c r="D5" i="17"/>
  <c r="C5" i="17"/>
  <c r="E4" i="17"/>
  <c r="D4" i="17"/>
  <c r="C4" i="17"/>
  <c r="J39" i="9"/>
  <c r="E51" i="22" s="1"/>
  <c r="I39" i="9"/>
  <c r="I38" i="9"/>
  <c r="I37" i="9"/>
  <c r="I36" i="9"/>
  <c r="I35" i="9"/>
  <c r="R34" i="9"/>
  <c r="Q34" i="9"/>
  <c r="P34" i="9"/>
  <c r="O34" i="9"/>
  <c r="N34" i="9"/>
  <c r="M34" i="9"/>
  <c r="L34" i="9"/>
  <c r="K34" i="9"/>
  <c r="J34" i="9"/>
  <c r="R33" i="9"/>
  <c r="Q33" i="9"/>
  <c r="P33" i="9"/>
  <c r="L33" i="9"/>
  <c r="K33" i="9"/>
  <c r="J33" i="9"/>
  <c r="I29" i="9"/>
  <c r="I28" i="9"/>
  <c r="I27" i="9"/>
  <c r="I26" i="9"/>
  <c r="I25" i="9"/>
  <c r="R24" i="9"/>
  <c r="Q24" i="9"/>
  <c r="P24" i="9"/>
  <c r="O24" i="9"/>
  <c r="N24" i="9"/>
  <c r="M24" i="9"/>
  <c r="L24" i="9"/>
  <c r="K24" i="9"/>
  <c r="J24" i="9"/>
  <c r="R23" i="9"/>
  <c r="Q23" i="9"/>
  <c r="P23" i="9"/>
  <c r="O23" i="9"/>
  <c r="N23" i="9"/>
  <c r="M23" i="9"/>
  <c r="L23" i="9"/>
  <c r="K23" i="9"/>
  <c r="J23" i="9"/>
  <c r="T14" i="9"/>
  <c r="L9" i="9"/>
  <c r="K9" i="9"/>
  <c r="I9" i="9"/>
  <c r="I8" i="9"/>
  <c r="L7" i="9"/>
  <c r="K7" i="9"/>
  <c r="I7" i="9"/>
  <c r="I6" i="9"/>
  <c r="L5" i="9"/>
  <c r="K5" i="9"/>
  <c r="I5" i="9"/>
  <c r="R4" i="9"/>
  <c r="Q4" i="9"/>
  <c r="P4" i="9"/>
  <c r="O4" i="9"/>
  <c r="N4" i="9"/>
  <c r="M4" i="9"/>
  <c r="L4" i="9"/>
  <c r="K4" i="9"/>
  <c r="J4" i="9"/>
  <c r="R3" i="9"/>
  <c r="Q3" i="9"/>
  <c r="P3" i="9"/>
  <c r="O3" i="9"/>
  <c r="N3" i="9"/>
  <c r="M3" i="9"/>
  <c r="L3" i="9"/>
  <c r="K3" i="9"/>
  <c r="J3" i="9"/>
  <c r="D2" i="9"/>
  <c r="C6" i="9" s="1"/>
  <c r="C2" i="9"/>
  <c r="P38" i="70"/>
  <c r="P37" i="70"/>
  <c r="P36" i="70"/>
  <c r="Q38" i="70"/>
  <c r="Q37" i="70"/>
  <c r="Q36" i="70"/>
  <c r="C91" i="74" l="1"/>
  <c r="C80" i="74"/>
  <c r="C92" i="74"/>
  <c r="G50" i="39"/>
  <c r="C58" i="74"/>
  <c r="C64" i="74"/>
  <c r="C56" i="74"/>
  <c r="C67" i="74"/>
  <c r="C83" i="74"/>
  <c r="C94" i="74"/>
  <c r="C59" i="74"/>
  <c r="C70" i="74"/>
  <c r="I13" i="17"/>
  <c r="G7" i="76" s="1"/>
  <c r="C68" i="74"/>
  <c r="C79" i="74"/>
  <c r="C95" i="74"/>
  <c r="C283" i="38"/>
  <c r="C289" i="38" s="1"/>
  <c r="C301" i="38" s="1"/>
  <c r="C313" i="38" s="1"/>
  <c r="C325" i="38" s="1"/>
  <c r="C337" i="38" s="1"/>
  <c r="C349" i="38" s="1"/>
  <c r="I14" i="17"/>
  <c r="F3" i="76"/>
  <c r="F5" i="76"/>
  <c r="F26" i="76"/>
  <c r="F14" i="76"/>
  <c r="F22" i="76"/>
  <c r="F16" i="76"/>
  <c r="F18" i="76"/>
  <c r="F30" i="76"/>
  <c r="F15" i="76"/>
  <c r="F29" i="76"/>
  <c r="C5" i="34"/>
  <c r="E5" i="34" s="1"/>
  <c r="H14" i="17"/>
  <c r="G44" i="39"/>
  <c r="G47" i="39"/>
  <c r="C66" i="74"/>
  <c r="C78" i="74"/>
  <c r="C90" i="74"/>
  <c r="A105" i="74"/>
  <c r="C105" i="74" s="1"/>
  <c r="A117" i="74"/>
  <c r="C117" i="74" s="1"/>
  <c r="A129" i="74"/>
  <c r="C129" i="74" s="1"/>
  <c r="A141" i="74"/>
  <c r="C141" i="74" s="1"/>
  <c r="A103" i="74"/>
  <c r="A110" i="74"/>
  <c r="C110" i="74" s="1"/>
  <c r="A122" i="74"/>
  <c r="C122" i="74" s="1"/>
  <c r="A134" i="74"/>
  <c r="C134" i="74" s="1"/>
  <c r="A146" i="74"/>
  <c r="C146" i="74" s="1"/>
  <c r="X6" i="20"/>
  <c r="C52" i="20"/>
  <c r="C17" i="34"/>
  <c r="D17" i="34" s="1"/>
  <c r="O50" i="39"/>
  <c r="C55" i="74"/>
  <c r="A101" i="74"/>
  <c r="C101" i="74" s="1"/>
  <c r="A108" i="74"/>
  <c r="C108" i="74" s="1"/>
  <c r="A120" i="74"/>
  <c r="C120" i="74" s="1"/>
  <c r="A132" i="74"/>
  <c r="C132" i="74" s="1"/>
  <c r="A144" i="74"/>
  <c r="C144" i="74" s="1"/>
  <c r="P20" i="39"/>
  <c r="Q20" i="39" s="1"/>
  <c r="A113" i="74"/>
  <c r="C113" i="74" s="1"/>
  <c r="A125" i="74"/>
  <c r="C125" i="74" s="1"/>
  <c r="A137" i="74"/>
  <c r="C137" i="74" s="1"/>
  <c r="G40" i="39"/>
  <c r="B61" i="26"/>
  <c r="A111" i="74"/>
  <c r="C111" i="74" s="1"/>
  <c r="A123" i="74"/>
  <c r="C123" i="74" s="1"/>
  <c r="A135" i="74"/>
  <c r="C135" i="74" s="1"/>
  <c r="A147" i="74"/>
  <c r="C147" i="74" s="1"/>
  <c r="H13" i="17"/>
  <c r="G9" i="76" s="1"/>
  <c r="F9" i="76" s="1"/>
  <c r="C198" i="38"/>
  <c r="C213" i="38" s="1"/>
  <c r="C228" i="38" s="1"/>
  <c r="A102" i="74"/>
  <c r="C102" i="74" s="1"/>
  <c r="A109" i="74"/>
  <c r="C109" i="74" s="1"/>
  <c r="A121" i="74"/>
  <c r="C121" i="74" s="1"/>
  <c r="A133" i="74"/>
  <c r="C133" i="74" s="1"/>
  <c r="A145" i="74"/>
  <c r="C145" i="74" s="1"/>
  <c r="E250" i="72"/>
  <c r="G52" i="39"/>
  <c r="A2" i="53"/>
  <c r="A8" i="53" s="1"/>
  <c r="C15" i="34"/>
  <c r="D15" i="34" s="1"/>
  <c r="D14" i="34" s="1"/>
  <c r="O53" i="39"/>
  <c r="C7" i="34"/>
  <c r="E7" i="34" s="1"/>
  <c r="P19" i="39"/>
  <c r="Q19" i="39" s="1"/>
  <c r="O52" i="39"/>
  <c r="O43" i="39"/>
  <c r="G48" i="39"/>
  <c r="C194" i="38"/>
  <c r="C209" i="38" s="1"/>
  <c r="C224" i="38" s="1"/>
  <c r="O46" i="39"/>
  <c r="P18" i="39"/>
  <c r="Q18" i="39" s="1"/>
  <c r="G49" i="39"/>
  <c r="G55" i="39"/>
  <c r="J8" i="58"/>
  <c r="I8" i="58"/>
  <c r="I9" i="58"/>
  <c r="I10" i="58"/>
  <c r="I7" i="37"/>
  <c r="H9" i="58"/>
  <c r="G192" i="66" s="1"/>
  <c r="H25" i="37"/>
  <c r="H7" i="37"/>
  <c r="G32" i="66" s="1"/>
  <c r="J10" i="58"/>
  <c r="I6" i="37"/>
  <c r="J7" i="37"/>
  <c r="G128" i="66" s="1"/>
  <c r="H6" i="37"/>
  <c r="D10" i="34"/>
  <c r="A9" i="53"/>
  <c r="C286" i="38"/>
  <c r="C298" i="38" s="1"/>
  <c r="C292" i="38"/>
  <c r="D4" i="34"/>
  <c r="C288" i="38"/>
  <c r="C294" i="38"/>
  <c r="C188" i="38"/>
  <c r="C203" i="38" s="1"/>
  <c r="C218" i="38" s="1"/>
  <c r="A16" i="41"/>
  <c r="O42" i="39"/>
  <c r="I7" i="58"/>
  <c r="G224" i="66" s="1"/>
  <c r="E95" i="72"/>
  <c r="D7" i="34"/>
  <c r="P22" i="39"/>
  <c r="Q22" i="39" s="1"/>
  <c r="P24" i="39"/>
  <c r="Q24" i="39" s="1"/>
  <c r="G54" i="39"/>
  <c r="C189" i="38"/>
  <c r="C195" i="38"/>
  <c r="C210" i="38" s="1"/>
  <c r="C201" i="38"/>
  <c r="C216" i="38" s="1"/>
  <c r="A4" i="53"/>
  <c r="A10" i="53" s="1"/>
  <c r="A16" i="53" s="1"/>
  <c r="H5" i="37"/>
  <c r="G21" i="66" s="1"/>
  <c r="J6" i="37"/>
  <c r="D437" i="41"/>
  <c r="C12" i="66" s="1"/>
  <c r="G39" i="39"/>
  <c r="G41" i="39"/>
  <c r="G53" i="39"/>
  <c r="O55" i="39"/>
  <c r="I5" i="37"/>
  <c r="G69" i="66" s="1"/>
  <c r="D431" i="41"/>
  <c r="J9" i="58"/>
  <c r="G288" i="66" s="1"/>
  <c r="B21" i="41"/>
  <c r="C59" i="26"/>
  <c r="E188" i="72"/>
  <c r="C8" i="34"/>
  <c r="C12" i="34"/>
  <c r="D12" i="34" s="1"/>
  <c r="E64" i="72"/>
  <c r="C196" i="38"/>
  <c r="C211" i="38" s="1"/>
  <c r="C226" i="38" s="1"/>
  <c r="C278" i="38"/>
  <c r="G70" i="66"/>
  <c r="G49" i="66"/>
  <c r="G145" i="66"/>
  <c r="G64" i="66"/>
  <c r="G97" i="66"/>
  <c r="G16" i="66"/>
  <c r="G123" i="66"/>
  <c r="F3" i="41"/>
  <c r="J5" i="37"/>
  <c r="G117" i="66" s="1"/>
  <c r="H10" i="37"/>
  <c r="A436" i="41"/>
  <c r="J7" i="58"/>
  <c r="G272" i="66" s="1"/>
  <c r="H7" i="58"/>
  <c r="E157" i="72"/>
  <c r="A6" i="53"/>
  <c r="A430" i="41"/>
  <c r="A494" i="41"/>
  <c r="A4" i="41"/>
  <c r="G45" i="39"/>
  <c r="O48" i="39"/>
  <c r="I10" i="37"/>
  <c r="E281" i="72"/>
  <c r="C191" i="38"/>
  <c r="C206" i="38" s="1"/>
  <c r="C221" i="38" s="1"/>
  <c r="C279" i="38"/>
  <c r="C291" i="38" s="1"/>
  <c r="H9" i="37"/>
  <c r="G48" i="66" s="1"/>
  <c r="G48" i="74" s="1"/>
  <c r="J10" i="37"/>
  <c r="J6" i="58"/>
  <c r="F5" i="41"/>
  <c r="E33" i="72"/>
  <c r="O54" i="39"/>
  <c r="A17" i="8"/>
  <c r="A7" i="53"/>
  <c r="I9" i="37"/>
  <c r="G96" i="66" s="1"/>
  <c r="J3" i="58"/>
  <c r="G51" i="39"/>
  <c r="A18" i="8"/>
  <c r="H8" i="37"/>
  <c r="J9" i="37"/>
  <c r="G144" i="66" s="1"/>
  <c r="G144" i="74" s="1"/>
  <c r="H8" i="58"/>
  <c r="J3" i="37"/>
  <c r="A19" i="8"/>
  <c r="I8" i="37"/>
  <c r="A32" i="41"/>
  <c r="E126" i="72"/>
  <c r="C14" i="34"/>
  <c r="E2" i="72"/>
  <c r="J8" i="37"/>
  <c r="H49" i="37"/>
  <c r="H61" i="37"/>
  <c r="H85" i="37"/>
  <c r="A429" i="41"/>
  <c r="E219" i="72"/>
  <c r="J5" i="58"/>
  <c r="H10" i="58"/>
  <c r="H6" i="58"/>
  <c r="I6" i="58"/>
  <c r="I6" i="41" s="1"/>
  <c r="H5" i="58"/>
  <c r="I5" i="58"/>
  <c r="G219" i="66"/>
  <c r="G160" i="66"/>
  <c r="G214" i="66"/>
  <c r="G70" i="74" s="1"/>
  <c r="G241" i="66"/>
  <c r="G193" i="66"/>
  <c r="G289" i="66"/>
  <c r="G166" i="66"/>
  <c r="G208" i="66"/>
  <c r="C51" i="20"/>
  <c r="P20" i="18" s="1"/>
  <c r="P31" i="18"/>
  <c r="G262" i="66"/>
  <c r="R36" i="70"/>
  <c r="R38" i="70"/>
  <c r="R37" i="70"/>
  <c r="F4" i="76"/>
  <c r="C306" i="38"/>
  <c r="D9" i="34"/>
  <c r="J25" i="9"/>
  <c r="J29" i="9"/>
  <c r="F12" i="76"/>
  <c r="F21" i="76"/>
  <c r="F25" i="76"/>
  <c r="D6" i="34"/>
  <c r="D16" i="34"/>
  <c r="D13" i="17"/>
  <c r="F17" i="76"/>
  <c r="D3" i="34"/>
  <c r="D13" i="34"/>
  <c r="E12" i="38"/>
  <c r="E24" i="38"/>
  <c r="E36" i="38"/>
  <c r="E48" i="38"/>
  <c r="E60" i="38"/>
  <c r="E72" i="38"/>
  <c r="E84" i="38"/>
  <c r="C235" i="38"/>
  <c r="C243" i="38"/>
  <c r="E6" i="38"/>
  <c r="E18" i="38"/>
  <c r="E30" i="38"/>
  <c r="E42" i="38"/>
  <c r="E54" i="38"/>
  <c r="E66" i="38"/>
  <c r="E78" i="38"/>
  <c r="E7" i="38"/>
  <c r="E13" i="38"/>
  <c r="E19" i="38"/>
  <c r="E25" i="38"/>
  <c r="E31" i="38"/>
  <c r="E37" i="38"/>
  <c r="E43" i="38"/>
  <c r="E49" i="38"/>
  <c r="E55" i="38"/>
  <c r="E61" i="38"/>
  <c r="E67" i="38"/>
  <c r="E73" i="38"/>
  <c r="E79" i="38"/>
  <c r="E85" i="38"/>
  <c r="C223" i="38"/>
  <c r="C229" i="38"/>
  <c r="C237" i="38"/>
  <c r="C245" i="38"/>
  <c r="E8" i="38"/>
  <c r="E20" i="38"/>
  <c r="E32" i="38"/>
  <c r="E56" i="38"/>
  <c r="E68" i="38"/>
  <c r="E80" i="38"/>
  <c r="J27" i="9"/>
  <c r="H109" i="58"/>
  <c r="H103" i="58"/>
  <c r="H97" i="58"/>
  <c r="H135" i="58"/>
  <c r="H129" i="58"/>
  <c r="H123" i="58"/>
  <c r="H117" i="58"/>
  <c r="H110" i="58"/>
  <c r="H104" i="58"/>
  <c r="H98" i="58"/>
  <c r="H136" i="58"/>
  <c r="H130" i="58"/>
  <c r="H124" i="58"/>
  <c r="H118" i="58"/>
  <c r="H111" i="58"/>
  <c r="H105" i="58"/>
  <c r="H99" i="58"/>
  <c r="H137" i="58"/>
  <c r="H131" i="58"/>
  <c r="H125" i="58"/>
  <c r="H119" i="58"/>
  <c r="H112" i="58"/>
  <c r="H106" i="58"/>
  <c r="H100" i="58"/>
  <c r="H138" i="58"/>
  <c r="H132" i="58"/>
  <c r="H126" i="58"/>
  <c r="H120" i="58"/>
  <c r="H113" i="58"/>
  <c r="H107" i="58"/>
  <c r="H101" i="58"/>
  <c r="H95" i="58"/>
  <c r="H114" i="58"/>
  <c r="H108" i="58"/>
  <c r="H102" i="58"/>
  <c r="H96" i="58"/>
  <c r="H140" i="58"/>
  <c r="H115" i="58"/>
  <c r="H138" i="37"/>
  <c r="H132" i="37"/>
  <c r="H126" i="37"/>
  <c r="H121" i="58"/>
  <c r="H127" i="58"/>
  <c r="H116" i="58"/>
  <c r="H133" i="58"/>
  <c r="H122" i="58"/>
  <c r="H139" i="58"/>
  <c r="H128" i="58"/>
  <c r="H134" i="58"/>
  <c r="H133" i="37"/>
  <c r="H101" i="37"/>
  <c r="H96" i="37"/>
  <c r="H125" i="37"/>
  <c r="H106" i="37"/>
  <c r="H129" i="37"/>
  <c r="H121" i="37"/>
  <c r="H116" i="37"/>
  <c r="H111" i="37"/>
  <c r="H102" i="37"/>
  <c r="H97" i="37"/>
  <c r="H107" i="37"/>
  <c r="H134" i="37"/>
  <c r="H130" i="37"/>
  <c r="H112" i="37"/>
  <c r="H139" i="37"/>
  <c r="H117" i="37"/>
  <c r="H108" i="37"/>
  <c r="H103" i="37"/>
  <c r="H98" i="37"/>
  <c r="H131" i="37"/>
  <c r="H122" i="37"/>
  <c r="H113" i="37"/>
  <c r="H135" i="37"/>
  <c r="H127" i="37"/>
  <c r="H118" i="37"/>
  <c r="H114" i="37"/>
  <c r="H109" i="37"/>
  <c r="H104" i="37"/>
  <c r="H99" i="37"/>
  <c r="H140" i="37"/>
  <c r="H136" i="37"/>
  <c r="H123" i="37"/>
  <c r="H119" i="37"/>
  <c r="H100" i="37"/>
  <c r="H95" i="37"/>
  <c r="H137" i="37"/>
  <c r="H128" i="37"/>
  <c r="H124" i="37"/>
  <c r="H120" i="37"/>
  <c r="H115" i="37"/>
  <c r="H110" i="37"/>
  <c r="H105" i="37"/>
  <c r="F27" i="76"/>
  <c r="E2" i="38"/>
  <c r="E14" i="38"/>
  <c r="E26" i="38"/>
  <c r="E38" i="38"/>
  <c r="E50" i="38"/>
  <c r="E62" i="38"/>
  <c r="E74" i="38"/>
  <c r="E117" i="38"/>
  <c r="I472" i="37" s="1"/>
  <c r="E100" i="38"/>
  <c r="H472" i="37" s="1"/>
  <c r="G202" i="35"/>
  <c r="G196" i="35"/>
  <c r="G190" i="35"/>
  <c r="G201" i="35"/>
  <c r="G195" i="35"/>
  <c r="G189" i="35"/>
  <c r="G205" i="35"/>
  <c r="G199" i="35"/>
  <c r="G193" i="35"/>
  <c r="G187" i="35"/>
  <c r="G204" i="35"/>
  <c r="G198" i="35"/>
  <c r="G192" i="35"/>
  <c r="G186" i="35"/>
  <c r="E3" i="38"/>
  <c r="E9" i="38"/>
  <c r="E15" i="38"/>
  <c r="E21" i="38"/>
  <c r="E27" i="38"/>
  <c r="E33" i="38"/>
  <c r="E39" i="38"/>
  <c r="E45" i="38"/>
  <c r="E51" i="38"/>
  <c r="E57" i="38"/>
  <c r="E63" i="38"/>
  <c r="E69" i="38"/>
  <c r="E75" i="38"/>
  <c r="E81" i="38"/>
  <c r="C225" i="38"/>
  <c r="C231" i="38"/>
  <c r="C239" i="38"/>
  <c r="C247" i="38"/>
  <c r="D11" i="17"/>
  <c r="F23" i="76"/>
  <c r="D11" i="34"/>
  <c r="D5" i="34"/>
  <c r="G191" i="35"/>
  <c r="G200" i="35"/>
  <c r="F6" i="76"/>
  <c r="F19" i="76"/>
  <c r="F31" i="76"/>
  <c r="D12" i="17"/>
  <c r="F11" i="76"/>
  <c r="F20" i="76"/>
  <c r="F24" i="76"/>
  <c r="F28" i="76"/>
  <c r="E4" i="38"/>
  <c r="E16" i="38"/>
  <c r="E28" i="38"/>
  <c r="E40" i="38"/>
  <c r="E52" i="38"/>
  <c r="E64" i="38"/>
  <c r="E76" i="38"/>
  <c r="E134" i="38"/>
  <c r="J472" i="37" s="1"/>
  <c r="E168" i="38"/>
  <c r="I472" i="58" s="1"/>
  <c r="E151" i="38"/>
  <c r="H472" i="58" s="1"/>
  <c r="E10" i="38"/>
  <c r="E22" i="38"/>
  <c r="E34" i="38"/>
  <c r="E46" i="38"/>
  <c r="E58" i="38"/>
  <c r="E70" i="38"/>
  <c r="E82" i="38"/>
  <c r="E185" i="38"/>
  <c r="J472" i="58" s="1"/>
  <c r="C241" i="38"/>
  <c r="E5" i="38"/>
  <c r="E11" i="38"/>
  <c r="E17" i="38"/>
  <c r="E23" i="38"/>
  <c r="E29" i="38"/>
  <c r="E35" i="38"/>
  <c r="E41" i="38"/>
  <c r="E47" i="38"/>
  <c r="E53" i="38"/>
  <c r="E59" i="38"/>
  <c r="E65" i="38"/>
  <c r="E71" i="38"/>
  <c r="E77" i="38"/>
  <c r="E83" i="38"/>
  <c r="C227" i="38"/>
  <c r="C303" i="38"/>
  <c r="C310" i="38"/>
  <c r="C204" i="38"/>
  <c r="C285" i="38"/>
  <c r="A12" i="53"/>
  <c r="C295" i="38"/>
  <c r="C307" i="38" s="1"/>
  <c r="C319" i="38" s="1"/>
  <c r="C331" i="38" s="1"/>
  <c r="C343" i="38" s="1"/>
  <c r="C304" i="38"/>
  <c r="H9" i="41"/>
  <c r="E44" i="38"/>
  <c r="C300" i="38"/>
  <c r="A15" i="53"/>
  <c r="I139" i="74"/>
  <c r="I75" i="74"/>
  <c r="G27" i="66"/>
  <c r="I93" i="74"/>
  <c r="I45" i="74"/>
  <c r="I76" i="74"/>
  <c r="I28" i="74"/>
  <c r="C287" i="66"/>
  <c r="P287" i="66" s="1"/>
  <c r="C89" i="66"/>
  <c r="C73" i="66"/>
  <c r="P73" i="66" s="1"/>
  <c r="I120" i="74"/>
  <c r="I72" i="74"/>
  <c r="I108" i="74"/>
  <c r="I60" i="74"/>
  <c r="I12" i="74"/>
  <c r="I58" i="74"/>
  <c r="I16" i="74"/>
  <c r="I64" i="74"/>
  <c r="I70" i="74"/>
  <c r="I22" i="74"/>
  <c r="G22" i="66"/>
  <c r="I114" i="74"/>
  <c r="I18" i="74"/>
  <c r="I121" i="74"/>
  <c r="I73" i="74"/>
  <c r="I126" i="74"/>
  <c r="I78" i="74"/>
  <c r="I30" i="74"/>
  <c r="I101" i="74"/>
  <c r="I127" i="74"/>
  <c r="I79" i="74"/>
  <c r="I31" i="74"/>
  <c r="I32" i="74"/>
  <c r="I131" i="74"/>
  <c r="I103" i="74"/>
  <c r="I55" i="74"/>
  <c r="I7" i="74"/>
  <c r="I11" i="74"/>
  <c r="I109" i="74"/>
  <c r="I61" i="74"/>
  <c r="I13" i="74"/>
  <c r="I23" i="74"/>
  <c r="I115" i="74"/>
  <c r="I19" i="74"/>
  <c r="I81" i="74"/>
  <c r="I134" i="74"/>
  <c r="I86" i="74"/>
  <c r="I38" i="74"/>
  <c r="I138" i="74"/>
  <c r="I88" i="74"/>
  <c r="G75" i="66"/>
  <c r="G112" i="66"/>
  <c r="I113" i="74"/>
  <c r="I65" i="74"/>
  <c r="I17" i="74"/>
  <c r="I92" i="74"/>
  <c r="I44" i="74"/>
  <c r="I95" i="74"/>
  <c r="I47" i="74"/>
  <c r="I146" i="74"/>
  <c r="I50" i="74"/>
  <c r="I84" i="74"/>
  <c r="I48" i="74"/>
  <c r="I9" i="74"/>
  <c r="I29" i="74"/>
  <c r="I137" i="74"/>
  <c r="I135" i="74"/>
  <c r="I147" i="74"/>
  <c r="I51" i="74"/>
  <c r="I133" i="74"/>
  <c r="I85" i="74"/>
  <c r="I97" i="74"/>
  <c r="I49" i="74"/>
  <c r="G80" i="66"/>
  <c r="G118" i="66"/>
  <c r="I14" i="74"/>
  <c r="I142" i="74"/>
  <c r="I46" i="74"/>
  <c r="G171" i="66"/>
  <c r="I25" i="74"/>
  <c r="G240" i="66"/>
  <c r="I10" i="74"/>
  <c r="I83" i="74"/>
  <c r="G267" i="66"/>
  <c r="G256" i="66"/>
  <c r="I41" i="74"/>
  <c r="I24" i="74"/>
  <c r="I26" i="74"/>
  <c r="I15" i="74"/>
  <c r="I27" i="74"/>
  <c r="I59" i="74"/>
  <c r="I5" i="74"/>
  <c r="I40" i="74"/>
  <c r="I8" i="74"/>
  <c r="I21" i="74"/>
  <c r="I90" i="74"/>
  <c r="I39" i="74"/>
  <c r="I4" i="74"/>
  <c r="I63" i="74"/>
  <c r="I71" i="74"/>
  <c r="I6" i="74"/>
  <c r="I69" i="74"/>
  <c r="I56" i="74"/>
  <c r="I82" i="74"/>
  <c r="I89" i="74"/>
  <c r="I62" i="74"/>
  <c r="I74" i="74"/>
  <c r="I96" i="74"/>
  <c r="I66" i="74"/>
  <c r="I80" i="74"/>
  <c r="I87" i="74"/>
  <c r="I57" i="74"/>
  <c r="I37" i="74"/>
  <c r="I54" i="74"/>
  <c r="I77" i="74"/>
  <c r="I33" i="74"/>
  <c r="I34" i="74"/>
  <c r="I35" i="74"/>
  <c r="I36" i="74"/>
  <c r="I43" i="74"/>
  <c r="I52" i="74"/>
  <c r="I42" i="74"/>
  <c r="I53" i="74"/>
  <c r="I67" i="74"/>
  <c r="I100" i="74"/>
  <c r="I106" i="74"/>
  <c r="I118" i="74"/>
  <c r="I128" i="74"/>
  <c r="I119" i="74"/>
  <c r="I91" i="74"/>
  <c r="I112" i="74"/>
  <c r="I102" i="74"/>
  <c r="P3" i="18"/>
  <c r="X4" i="20"/>
  <c r="I110" i="74"/>
  <c r="I125" i="74"/>
  <c r="I107" i="74"/>
  <c r="I94" i="74"/>
  <c r="I99" i="74"/>
  <c r="I98" i="74"/>
  <c r="I104" i="74"/>
  <c r="I132" i="74"/>
  <c r="P12" i="18"/>
  <c r="X7" i="20"/>
  <c r="P13" i="18"/>
  <c r="C26" i="20"/>
  <c r="X8" i="20"/>
  <c r="I143" i="74"/>
  <c r="F16" i="63"/>
  <c r="F26" i="63" s="1"/>
  <c r="F36" i="63" s="1"/>
  <c r="F46" i="63" s="1"/>
  <c r="F56" i="63" s="1"/>
  <c r="I122" i="74"/>
  <c r="I124" i="74"/>
  <c r="I136" i="74"/>
  <c r="I130" i="74"/>
  <c r="F14" i="63"/>
  <c r="F24" i="63" s="1"/>
  <c r="F34" i="63" s="1"/>
  <c r="F44" i="63" s="1"/>
  <c r="F54" i="63" s="1"/>
  <c r="F15" i="63"/>
  <c r="F25" i="63" s="1"/>
  <c r="F35" i="63" s="1"/>
  <c r="F45" i="63" s="1"/>
  <c r="F55" i="63" s="1"/>
  <c r="I140" i="74"/>
  <c r="I144" i="74"/>
  <c r="I123" i="74"/>
  <c r="I141" i="74"/>
  <c r="C24" i="20"/>
  <c r="P11" i="18"/>
  <c r="E6" i="53" l="1"/>
  <c r="I105" i="74"/>
  <c r="I145" i="74"/>
  <c r="F7" i="76"/>
  <c r="G8" i="76"/>
  <c r="G97" i="74"/>
  <c r="H137" i="41"/>
  <c r="I117" i="74"/>
  <c r="C60" i="66"/>
  <c r="C274" i="66"/>
  <c r="P274" i="66" s="1"/>
  <c r="C5" i="66"/>
  <c r="P5" i="66" s="1"/>
  <c r="D81" i="74"/>
  <c r="P81" i="74" s="1"/>
  <c r="R81" i="74" s="1"/>
  <c r="C48" i="66"/>
  <c r="C90" i="66"/>
  <c r="D108" i="74"/>
  <c r="C132" i="66"/>
  <c r="C157" i="66"/>
  <c r="P157" i="66" s="1"/>
  <c r="V157" i="66" s="1"/>
  <c r="C8" i="66"/>
  <c r="P8" i="66" s="1"/>
  <c r="V8" i="66" s="1"/>
  <c r="C210" i="66"/>
  <c r="P210" i="66" s="1"/>
  <c r="R210" i="66" s="1"/>
  <c r="C42" i="66"/>
  <c r="C139" i="66"/>
  <c r="P139" i="66" s="1"/>
  <c r="V139" i="66" s="1"/>
  <c r="I129" i="74"/>
  <c r="C56" i="66"/>
  <c r="P56" i="66" s="1"/>
  <c r="C180" i="66"/>
  <c r="I111" i="74"/>
  <c r="C79" i="66"/>
  <c r="P79" i="66" s="1"/>
  <c r="C190" i="66"/>
  <c r="G49" i="74"/>
  <c r="J9" i="41"/>
  <c r="M55" i="39" s="1"/>
  <c r="E187" i="38" s="1"/>
  <c r="C47" i="63"/>
  <c r="I9" i="41"/>
  <c r="L55" i="39" s="1"/>
  <c r="E170" i="38" s="1"/>
  <c r="I10" i="41"/>
  <c r="H5" i="41"/>
  <c r="G123" i="74"/>
  <c r="G16" i="74"/>
  <c r="G75" i="74"/>
  <c r="C7" i="63"/>
  <c r="G128" i="74"/>
  <c r="C31" i="66"/>
  <c r="P31" i="66" s="1"/>
  <c r="V31" i="66" s="1"/>
  <c r="C109" i="66"/>
  <c r="P109" i="66" s="1"/>
  <c r="R109" i="66" s="1"/>
  <c r="C119" i="66"/>
  <c r="C28" i="66"/>
  <c r="C95" i="66"/>
  <c r="P95" i="66" s="1"/>
  <c r="V95" i="66" s="1"/>
  <c r="C131" i="66"/>
  <c r="C161" i="66"/>
  <c r="C192" i="66"/>
  <c r="D17" i="74"/>
  <c r="D53" i="74"/>
  <c r="P53" i="74" s="1"/>
  <c r="V53" i="74" s="1"/>
  <c r="C32" i="66"/>
  <c r="C75" i="66"/>
  <c r="P75" i="66" s="1"/>
  <c r="R75" i="66" s="1"/>
  <c r="C41" i="66"/>
  <c r="C70" i="66"/>
  <c r="P70" i="66" s="1"/>
  <c r="V70" i="66" s="1"/>
  <c r="C105" i="66"/>
  <c r="C147" i="66"/>
  <c r="P147" i="66" s="1"/>
  <c r="V147" i="66" s="1"/>
  <c r="C233" i="66"/>
  <c r="C209" i="66"/>
  <c r="D54" i="74"/>
  <c r="D95" i="74"/>
  <c r="P95" i="74" s="1"/>
  <c r="R95" i="74" s="1"/>
  <c r="C7" i="66"/>
  <c r="C67" i="66"/>
  <c r="P67" i="66" s="1"/>
  <c r="V67" i="66" s="1"/>
  <c r="C86" i="66"/>
  <c r="P86" i="66" s="1"/>
  <c r="V86" i="66" s="1"/>
  <c r="C78" i="66"/>
  <c r="C155" i="66"/>
  <c r="P155" i="66" s="1"/>
  <c r="R155" i="66" s="1"/>
  <c r="C175" i="66"/>
  <c r="P175" i="66" s="1"/>
  <c r="R175" i="66" s="1"/>
  <c r="C129" i="66"/>
  <c r="P129" i="66" s="1"/>
  <c r="R129" i="66" s="1"/>
  <c r="C264" i="66"/>
  <c r="P264" i="66" s="1"/>
  <c r="R264" i="66" s="1"/>
  <c r="D9" i="74"/>
  <c r="D122" i="74"/>
  <c r="C10" i="66"/>
  <c r="C9" i="66"/>
  <c r="C72" i="66"/>
  <c r="P72" i="66" s="1"/>
  <c r="R72" i="66" s="1"/>
  <c r="C63" i="66"/>
  <c r="P63" i="66" s="1"/>
  <c r="V63" i="66" s="1"/>
  <c r="C83" i="66"/>
  <c r="C97" i="66"/>
  <c r="C146" i="66"/>
  <c r="C141" i="66"/>
  <c r="C223" i="66"/>
  <c r="P223" i="66" s="1"/>
  <c r="R223" i="66" s="1"/>
  <c r="D61" i="74"/>
  <c r="P61" i="74" s="1"/>
  <c r="R61" i="74" s="1"/>
  <c r="D114" i="74"/>
  <c r="P114" i="74" s="1"/>
  <c r="V114" i="74" s="1"/>
  <c r="C16" i="66"/>
  <c r="C23" i="66"/>
  <c r="C76" i="66"/>
  <c r="C124" i="66"/>
  <c r="C116" i="66"/>
  <c r="C199" i="66"/>
  <c r="C154" i="66"/>
  <c r="C178" i="66"/>
  <c r="P178" i="66" s="1"/>
  <c r="R178" i="66" s="1"/>
  <c r="C257" i="66"/>
  <c r="D72" i="74"/>
  <c r="P72" i="74" s="1"/>
  <c r="R72" i="74" s="1"/>
  <c r="D112" i="74"/>
  <c r="C22" i="66"/>
  <c r="P22" i="66" s="1"/>
  <c r="R22" i="66" s="1"/>
  <c r="C46" i="66"/>
  <c r="C144" i="66"/>
  <c r="C91" i="66"/>
  <c r="P91" i="66" s="1"/>
  <c r="V91" i="66" s="1"/>
  <c r="C103" i="66"/>
  <c r="C13" i="66"/>
  <c r="P13" i="66" s="1"/>
  <c r="V13" i="66" s="1"/>
  <c r="C53" i="66"/>
  <c r="P53" i="66" s="1"/>
  <c r="R53" i="66" s="1"/>
  <c r="C239" i="66"/>
  <c r="P239" i="66" s="1"/>
  <c r="V239" i="66" s="1"/>
  <c r="C236" i="66"/>
  <c r="P236" i="66" s="1"/>
  <c r="V236" i="66" s="1"/>
  <c r="D106" i="74"/>
  <c r="D129" i="74"/>
  <c r="P129" i="74" s="1"/>
  <c r="V129" i="74" s="1"/>
  <c r="C55" i="66"/>
  <c r="C17" i="66"/>
  <c r="C65" i="66"/>
  <c r="C94" i="66"/>
  <c r="C80" i="66"/>
  <c r="C25" i="66"/>
  <c r="P25" i="66" s="1"/>
  <c r="C123" i="66"/>
  <c r="P123" i="66" s="1"/>
  <c r="V123" i="66" s="1"/>
  <c r="C197" i="66"/>
  <c r="P197" i="66" s="1"/>
  <c r="V197" i="66" s="1"/>
  <c r="D12" i="74"/>
  <c r="D46" i="74"/>
  <c r="D121" i="74"/>
  <c r="P121" i="74" s="1"/>
  <c r="R121" i="74" s="1"/>
  <c r="C29" i="66"/>
  <c r="P29" i="66" s="1"/>
  <c r="R29" i="66" s="1"/>
  <c r="C19" i="66"/>
  <c r="P19" i="66" s="1"/>
  <c r="V19" i="66" s="1"/>
  <c r="C82" i="66"/>
  <c r="P82" i="66" s="1"/>
  <c r="V82" i="66" s="1"/>
  <c r="C66" i="66"/>
  <c r="P66" i="66" s="1"/>
  <c r="R66" i="66" s="1"/>
  <c r="C85" i="66"/>
  <c r="C112" i="66"/>
  <c r="C138" i="66"/>
  <c r="C207" i="66"/>
  <c r="P207" i="66" s="1"/>
  <c r="R207" i="66" s="1"/>
  <c r="D18" i="74"/>
  <c r="P18" i="74" s="1"/>
  <c r="V18" i="74" s="1"/>
  <c r="D23" i="74"/>
  <c r="D146" i="74"/>
  <c r="C114" i="66"/>
  <c r="P114" i="66" s="1"/>
  <c r="V114" i="66" s="1"/>
  <c r="C21" i="66"/>
  <c r="C24" i="66"/>
  <c r="P24" i="66" s="1"/>
  <c r="R24" i="66" s="1"/>
  <c r="C71" i="66"/>
  <c r="C98" i="66"/>
  <c r="C128" i="66"/>
  <c r="C134" i="66"/>
  <c r="P134" i="66" s="1"/>
  <c r="R134" i="66" s="1"/>
  <c r="C271" i="66"/>
  <c r="P271" i="66" s="1"/>
  <c r="V271" i="66" s="1"/>
  <c r="C250" i="66"/>
  <c r="D24" i="74"/>
  <c r="P24" i="74" s="1"/>
  <c r="R24" i="74" s="1"/>
  <c r="D120" i="74"/>
  <c r="P120" i="74" s="1"/>
  <c r="V120" i="74" s="1"/>
  <c r="C49" i="66"/>
  <c r="C34" i="66"/>
  <c r="P34" i="66" s="1"/>
  <c r="V34" i="66" s="1"/>
  <c r="C44" i="66"/>
  <c r="P44" i="66" s="1"/>
  <c r="R44" i="66" s="1"/>
  <c r="C88" i="66"/>
  <c r="P88" i="66" s="1"/>
  <c r="R88" i="66" s="1"/>
  <c r="C126" i="66"/>
  <c r="C104" i="66"/>
  <c r="P104" i="66" s="1"/>
  <c r="R104" i="66" s="1"/>
  <c r="C162" i="66"/>
  <c r="P162" i="66" s="1"/>
  <c r="V162" i="66" s="1"/>
  <c r="C286" i="66"/>
  <c r="C266" i="66"/>
  <c r="D102" i="74"/>
  <c r="H135" i="41"/>
  <c r="H113" i="41"/>
  <c r="C27" i="63"/>
  <c r="J8" i="41"/>
  <c r="H8" i="41"/>
  <c r="G64" i="74"/>
  <c r="H129" i="41"/>
  <c r="C69" i="66"/>
  <c r="C35" i="66"/>
  <c r="C101" i="66"/>
  <c r="P101" i="66" s="1"/>
  <c r="C150" i="66"/>
  <c r="C111" i="66"/>
  <c r="P111" i="66" s="1"/>
  <c r="V111" i="66" s="1"/>
  <c r="C113" i="66"/>
  <c r="C120" i="66"/>
  <c r="P120" i="66" s="1"/>
  <c r="V120" i="66" s="1"/>
  <c r="C107" i="66"/>
  <c r="P107" i="66" s="1"/>
  <c r="V107" i="66" s="1"/>
  <c r="C130" i="66"/>
  <c r="P130" i="66" s="1"/>
  <c r="V130" i="66" s="1"/>
  <c r="C229" i="66"/>
  <c r="C216" i="66"/>
  <c r="P216" i="66" s="1"/>
  <c r="V216" i="66" s="1"/>
  <c r="C133" i="66"/>
  <c r="C121" i="66"/>
  <c r="P121" i="66" s="1"/>
  <c r="V121" i="66" s="1"/>
  <c r="C238" i="66"/>
  <c r="C196" i="66"/>
  <c r="P196" i="66" s="1"/>
  <c r="C285" i="66"/>
  <c r="C189" i="66"/>
  <c r="C203" i="66"/>
  <c r="P203" i="66" s="1"/>
  <c r="V203" i="66" s="1"/>
  <c r="C222" i="66"/>
  <c r="C230" i="66"/>
  <c r="P230" i="66" s="1"/>
  <c r="V230" i="66" s="1"/>
  <c r="D16" i="74"/>
  <c r="C265" i="66"/>
  <c r="P265" i="66" s="1"/>
  <c r="V265" i="66" s="1"/>
  <c r="C280" i="66"/>
  <c r="P280" i="66" s="1"/>
  <c r="R280" i="66" s="1"/>
  <c r="D32" i="74"/>
  <c r="D57" i="74"/>
  <c r="D44" i="74"/>
  <c r="P44" i="74" s="1"/>
  <c r="V44" i="74" s="1"/>
  <c r="D92" i="74"/>
  <c r="P92" i="74" s="1"/>
  <c r="D88" i="74"/>
  <c r="P88" i="74" s="1"/>
  <c r="V88" i="74" s="1"/>
  <c r="D75" i="74"/>
  <c r="P75" i="74" s="1"/>
  <c r="V75" i="74" s="1"/>
  <c r="D101" i="74"/>
  <c r="P101" i="74" s="1"/>
  <c r="V101" i="74" s="1"/>
  <c r="D117" i="74"/>
  <c r="D130" i="74"/>
  <c r="P130" i="74" s="1"/>
  <c r="R130" i="74" s="1"/>
  <c r="D141" i="74"/>
  <c r="G165" i="66"/>
  <c r="G21" i="74" s="1"/>
  <c r="C30" i="66"/>
  <c r="C15" i="66"/>
  <c r="P15" i="66" s="1"/>
  <c r="R15" i="66" s="1"/>
  <c r="C43" i="66"/>
  <c r="P43" i="66" s="1"/>
  <c r="V43" i="66" s="1"/>
  <c r="C47" i="66"/>
  <c r="P47" i="66" s="1"/>
  <c r="R47" i="66" s="1"/>
  <c r="C68" i="66"/>
  <c r="C20" i="66"/>
  <c r="C125" i="66"/>
  <c r="P125" i="66" s="1"/>
  <c r="V125" i="66" s="1"/>
  <c r="C36" i="66"/>
  <c r="C92" i="66"/>
  <c r="P92" i="66" s="1"/>
  <c r="R92" i="66" s="1"/>
  <c r="C117" i="66"/>
  <c r="C143" i="66"/>
  <c r="P143" i="66" s="1"/>
  <c r="V143" i="66" s="1"/>
  <c r="C122" i="66"/>
  <c r="C158" i="66"/>
  <c r="P158" i="66" s="1"/>
  <c r="V158" i="66" s="1"/>
  <c r="C145" i="66"/>
  <c r="C135" i="66"/>
  <c r="P135" i="66" s="1"/>
  <c r="R135" i="66" s="1"/>
  <c r="C177" i="66"/>
  <c r="P177" i="66" s="1"/>
  <c r="V177" i="66" s="1"/>
  <c r="C272" i="66"/>
  <c r="C290" i="66"/>
  <c r="C191" i="66"/>
  <c r="P191" i="66" s="1"/>
  <c r="R191" i="66" s="1"/>
  <c r="C215" i="66"/>
  <c r="C253" i="66"/>
  <c r="P253" i="66" s="1"/>
  <c r="R253" i="66" s="1"/>
  <c r="C242" i="66"/>
  <c r="C246" i="66"/>
  <c r="C273" i="66"/>
  <c r="P273" i="66" s="1"/>
  <c r="R273" i="66" s="1"/>
  <c r="C291" i="66"/>
  <c r="P291" i="66" s="1"/>
  <c r="R291" i="66" s="1"/>
  <c r="C288" i="66"/>
  <c r="D65" i="74"/>
  <c r="D45" i="74"/>
  <c r="D69" i="74"/>
  <c r="D105" i="74"/>
  <c r="D93" i="74"/>
  <c r="D97" i="74"/>
  <c r="D111" i="74"/>
  <c r="P111" i="74" s="1"/>
  <c r="V111" i="74" s="1"/>
  <c r="D144" i="74"/>
  <c r="D147" i="74"/>
  <c r="P147" i="74" s="1"/>
  <c r="S103" i="74"/>
  <c r="C103" i="74"/>
  <c r="B18" i="77" s="1" a="1"/>
  <c r="B18" i="77" s="1"/>
  <c r="H6" i="41"/>
  <c r="C40" i="66"/>
  <c r="P40" i="66" s="1"/>
  <c r="R40" i="66" s="1"/>
  <c r="C38" i="66"/>
  <c r="P38" i="66" s="1"/>
  <c r="V38" i="66" s="1"/>
  <c r="C58" i="66"/>
  <c r="C115" i="66"/>
  <c r="P115" i="66" s="1"/>
  <c r="V115" i="66" s="1"/>
  <c r="C136" i="66"/>
  <c r="P136" i="66" s="1"/>
  <c r="V136" i="66" s="1"/>
  <c r="C149" i="66"/>
  <c r="P149" i="66" s="1"/>
  <c r="R149" i="66" s="1"/>
  <c r="C152" i="66"/>
  <c r="P152" i="66" s="1"/>
  <c r="R152" i="66" s="1"/>
  <c r="C169" i="66"/>
  <c r="P169" i="66" s="1"/>
  <c r="V169" i="66" s="1"/>
  <c r="C167" i="66"/>
  <c r="C165" i="66"/>
  <c r="C201" i="66"/>
  <c r="C248" i="66"/>
  <c r="P248" i="66" s="1"/>
  <c r="V248" i="66" s="1"/>
  <c r="C181" i="66"/>
  <c r="C193" i="66"/>
  <c r="C240" i="66"/>
  <c r="D10" i="74"/>
  <c r="C243" i="66"/>
  <c r="P243" i="66" s="1"/>
  <c r="R243" i="66" s="1"/>
  <c r="C256" i="66"/>
  <c r="C267" i="66"/>
  <c r="P267" i="66" s="1"/>
  <c r="R267" i="66" s="1"/>
  <c r="D6" i="74"/>
  <c r="D15" i="74"/>
  <c r="P15" i="74" s="1"/>
  <c r="V15" i="74" s="1"/>
  <c r="D78" i="74"/>
  <c r="D47" i="74"/>
  <c r="P47" i="74" s="1"/>
  <c r="V47" i="74" s="1"/>
  <c r="D25" i="74"/>
  <c r="P25" i="74" s="1"/>
  <c r="R25" i="74" s="1"/>
  <c r="D115" i="74"/>
  <c r="P115" i="74" s="1"/>
  <c r="R115" i="74" s="1"/>
  <c r="D68" i="74"/>
  <c r="D132" i="74"/>
  <c r="D113" i="74"/>
  <c r="D124" i="74"/>
  <c r="D126" i="74"/>
  <c r="C84" i="66"/>
  <c r="C39" i="66"/>
  <c r="P39" i="66" s="1"/>
  <c r="R39" i="66" s="1"/>
  <c r="C52" i="66"/>
  <c r="P52" i="66" s="1"/>
  <c r="R52" i="66" s="1"/>
  <c r="C50" i="66"/>
  <c r="C74" i="66"/>
  <c r="C127" i="66"/>
  <c r="P127" i="66" s="1"/>
  <c r="R127" i="66" s="1"/>
  <c r="C137" i="66"/>
  <c r="C159" i="66"/>
  <c r="P159" i="66" s="1"/>
  <c r="R159" i="66" s="1"/>
  <c r="C198" i="66"/>
  <c r="C100" i="66"/>
  <c r="P100" i="66" s="1"/>
  <c r="V100" i="66" s="1"/>
  <c r="C213" i="66"/>
  <c r="C171" i="66"/>
  <c r="P171" i="66" s="1"/>
  <c r="V171" i="66" s="1"/>
  <c r="C151" i="66"/>
  <c r="C252" i="66"/>
  <c r="C182" i="66"/>
  <c r="P182" i="66" s="1"/>
  <c r="R182" i="66" s="1"/>
  <c r="C194" i="66"/>
  <c r="C259" i="66"/>
  <c r="P259" i="66" s="1"/>
  <c r="V259" i="66" s="1"/>
  <c r="D19" i="74"/>
  <c r="P19" i="74" s="1"/>
  <c r="V19" i="74" s="1"/>
  <c r="C245" i="66"/>
  <c r="P245" i="66" s="1"/>
  <c r="R245" i="66" s="1"/>
  <c r="C262" i="66"/>
  <c r="P262" i="66" s="1"/>
  <c r="R262" i="66" s="1"/>
  <c r="C275" i="66"/>
  <c r="D56" i="74"/>
  <c r="P56" i="74" s="1"/>
  <c r="V56" i="74" s="1"/>
  <c r="D21" i="74"/>
  <c r="D100" i="74"/>
  <c r="P100" i="74" s="1"/>
  <c r="R100" i="74" s="1"/>
  <c r="D48" i="74"/>
  <c r="D26" i="74"/>
  <c r="D135" i="74"/>
  <c r="P135" i="74" s="1"/>
  <c r="R135" i="74" s="1"/>
  <c r="D85" i="74"/>
  <c r="D59" i="74"/>
  <c r="P59" i="74" s="1"/>
  <c r="R59" i="74" s="1"/>
  <c r="D123" i="74"/>
  <c r="P123" i="74" s="1"/>
  <c r="D136" i="74"/>
  <c r="P136" i="74" s="1"/>
  <c r="V136" i="74" s="1"/>
  <c r="D138" i="74"/>
  <c r="C37" i="66"/>
  <c r="H123" i="41"/>
  <c r="C51" i="66"/>
  <c r="P51" i="66" s="1"/>
  <c r="R51" i="66" s="1"/>
  <c r="C62" i="66"/>
  <c r="P62" i="66" s="1"/>
  <c r="R62" i="66" s="1"/>
  <c r="C81" i="66"/>
  <c r="P81" i="66" s="1"/>
  <c r="V81" i="66" s="1"/>
  <c r="C106" i="66"/>
  <c r="C61" i="66"/>
  <c r="P61" i="66" s="1"/>
  <c r="R61" i="66" s="1"/>
  <c r="C54" i="66"/>
  <c r="C59" i="66"/>
  <c r="P59" i="66" s="1"/>
  <c r="R59" i="66" s="1"/>
  <c r="C77" i="66"/>
  <c r="P77" i="66" s="1"/>
  <c r="V77" i="66" s="1"/>
  <c r="C140" i="66"/>
  <c r="P140" i="66" s="1"/>
  <c r="R140" i="66" s="1"/>
  <c r="C102" i="66"/>
  <c r="C168" i="66"/>
  <c r="P168" i="66" s="1"/>
  <c r="V168" i="66" s="1"/>
  <c r="C206" i="66"/>
  <c r="P206" i="66" s="1"/>
  <c r="V206" i="66" s="1"/>
  <c r="C153" i="66"/>
  <c r="C218" i="66"/>
  <c r="C179" i="66"/>
  <c r="C176" i="66"/>
  <c r="C258" i="66"/>
  <c r="P258" i="66" s="1"/>
  <c r="V258" i="66" s="1"/>
  <c r="C183" i="66"/>
  <c r="P183" i="66" s="1"/>
  <c r="R183" i="66" s="1"/>
  <c r="C195" i="66"/>
  <c r="P195" i="66" s="1"/>
  <c r="V195" i="66" s="1"/>
  <c r="C270" i="66"/>
  <c r="D8" i="74"/>
  <c r="P8" i="74" s="1"/>
  <c r="C247" i="66"/>
  <c r="C268" i="66"/>
  <c r="C276" i="66"/>
  <c r="D62" i="74"/>
  <c r="P62" i="74" s="1"/>
  <c r="V62" i="74" s="1"/>
  <c r="D33" i="74"/>
  <c r="P33" i="74" s="1"/>
  <c r="V33" i="74" s="1"/>
  <c r="D104" i="74"/>
  <c r="P104" i="74" s="1"/>
  <c r="D49" i="74"/>
  <c r="D27" i="74"/>
  <c r="P27" i="74" s="1"/>
  <c r="R27" i="74" s="1"/>
  <c r="D51" i="74"/>
  <c r="P51" i="74" s="1"/>
  <c r="D89" i="74"/>
  <c r="D71" i="74"/>
  <c r="D109" i="74"/>
  <c r="P109" i="74" s="1"/>
  <c r="R109" i="74" s="1"/>
  <c r="D99" i="74"/>
  <c r="P99" i="74" s="1"/>
  <c r="D91" i="74"/>
  <c r="P91" i="74" s="1"/>
  <c r="C156" i="66"/>
  <c r="C160" i="66"/>
  <c r="C244" i="66"/>
  <c r="P244" i="66" s="1"/>
  <c r="R244" i="66" s="1"/>
  <c r="C212" i="66"/>
  <c r="C219" i="66"/>
  <c r="P219" i="66" s="1"/>
  <c r="V219" i="66" s="1"/>
  <c r="C263" i="66"/>
  <c r="C184" i="66"/>
  <c r="P184" i="66" s="1"/>
  <c r="R184" i="66" s="1"/>
  <c r="C202" i="66"/>
  <c r="C205" i="66"/>
  <c r="P205" i="66" s="1"/>
  <c r="V205" i="66" s="1"/>
  <c r="C254" i="66"/>
  <c r="P254" i="66" s="1"/>
  <c r="R254" i="66" s="1"/>
  <c r="C249" i="66"/>
  <c r="D4" i="74"/>
  <c r="P4" i="74" s="1"/>
  <c r="C277" i="66"/>
  <c r="D74" i="74"/>
  <c r="D34" i="74"/>
  <c r="P34" i="74" s="1"/>
  <c r="V34" i="74" s="1"/>
  <c r="D39" i="74"/>
  <c r="P39" i="74" s="1"/>
  <c r="R39" i="74" s="1"/>
  <c r="D52" i="74"/>
  <c r="P52" i="74" s="1"/>
  <c r="V52" i="74" s="1"/>
  <c r="D80" i="74"/>
  <c r="D58" i="74"/>
  <c r="D98" i="74"/>
  <c r="D77" i="74"/>
  <c r="P77" i="74" s="1"/>
  <c r="R77" i="74" s="1"/>
  <c r="D110" i="74"/>
  <c r="P110" i="74" s="1"/>
  <c r="V110" i="74" s="1"/>
  <c r="D128" i="74"/>
  <c r="D103" i="74"/>
  <c r="J3" i="41"/>
  <c r="C164" i="66"/>
  <c r="C172" i="66"/>
  <c r="C231" i="66"/>
  <c r="P231" i="66" s="1"/>
  <c r="V231" i="66" s="1"/>
  <c r="C251" i="66"/>
  <c r="P251" i="66" s="1"/>
  <c r="R251" i="66" s="1"/>
  <c r="C204" i="66"/>
  <c r="C281" i="66"/>
  <c r="C185" i="66"/>
  <c r="C208" i="66"/>
  <c r="C211" i="66"/>
  <c r="P211" i="66" s="1"/>
  <c r="V211" i="66" s="1"/>
  <c r="C260" i="66"/>
  <c r="C255" i="66"/>
  <c r="P255" i="66" s="1"/>
  <c r="V255" i="66" s="1"/>
  <c r="D20" i="74"/>
  <c r="C278" i="66"/>
  <c r="P278" i="66" s="1"/>
  <c r="V278" i="66" s="1"/>
  <c r="D28" i="74"/>
  <c r="D35" i="74"/>
  <c r="D40" i="74"/>
  <c r="P40" i="74" s="1"/>
  <c r="R40" i="74" s="1"/>
  <c r="D60" i="74"/>
  <c r="D83" i="74"/>
  <c r="D70" i="74"/>
  <c r="P70" i="74" s="1"/>
  <c r="R70" i="74" s="1"/>
  <c r="D116" i="74"/>
  <c r="D82" i="74"/>
  <c r="P82" i="74" s="1"/>
  <c r="V82" i="74" s="1"/>
  <c r="D131" i="74"/>
  <c r="D140" i="74"/>
  <c r="P140" i="74" s="1"/>
  <c r="D107" i="74"/>
  <c r="P107" i="74" s="1"/>
  <c r="V107" i="74" s="1"/>
  <c r="C6" i="66"/>
  <c r="P21" i="18"/>
  <c r="C7" i="17"/>
  <c r="C225" i="66"/>
  <c r="P225" i="66" s="1"/>
  <c r="V225" i="66" s="1"/>
  <c r="C282" i="66"/>
  <c r="C186" i="66"/>
  <c r="C214" i="66"/>
  <c r="P214" i="66" s="1"/>
  <c r="V214" i="66" s="1"/>
  <c r="C217" i="66"/>
  <c r="P217" i="66" s="1"/>
  <c r="R217" i="66" s="1"/>
  <c r="D5" i="74"/>
  <c r="P5" i="74" s="1"/>
  <c r="R5" i="74" s="1"/>
  <c r="C261" i="66"/>
  <c r="D22" i="74"/>
  <c r="P22" i="74" s="1"/>
  <c r="R22" i="74" s="1"/>
  <c r="D13" i="74"/>
  <c r="P13" i="74" s="1"/>
  <c r="R13" i="74" s="1"/>
  <c r="D29" i="74"/>
  <c r="P29" i="74" s="1"/>
  <c r="V29" i="74" s="1"/>
  <c r="D36" i="74"/>
  <c r="D41" i="74"/>
  <c r="D118" i="74"/>
  <c r="P118" i="74" s="1"/>
  <c r="R118" i="74" s="1"/>
  <c r="D87" i="74"/>
  <c r="P87" i="74" s="1"/>
  <c r="V87" i="74" s="1"/>
  <c r="D76" i="74"/>
  <c r="D73" i="74"/>
  <c r="P73" i="74" s="1"/>
  <c r="V73" i="74" s="1"/>
  <c r="D86" i="74"/>
  <c r="P86" i="74" s="1"/>
  <c r="R86" i="74" s="1"/>
  <c r="D139" i="74"/>
  <c r="P139" i="74" s="1"/>
  <c r="V139" i="74" s="1"/>
  <c r="D142" i="74"/>
  <c r="D119" i="74"/>
  <c r="C4" i="66"/>
  <c r="P4" i="66" s="1"/>
  <c r="R4" i="66" s="1"/>
  <c r="C14" i="66"/>
  <c r="P14" i="66" s="1"/>
  <c r="C64" i="66"/>
  <c r="C96" i="66"/>
  <c r="C108" i="66"/>
  <c r="C110" i="66"/>
  <c r="P110" i="66" s="1"/>
  <c r="R110" i="66" s="1"/>
  <c r="C33" i="66"/>
  <c r="P33" i="66" s="1"/>
  <c r="V33" i="66" s="1"/>
  <c r="C163" i="66"/>
  <c r="P163" i="66" s="1"/>
  <c r="R163" i="66" s="1"/>
  <c r="C166" i="66"/>
  <c r="P166" i="66" s="1"/>
  <c r="R166" i="66" s="1"/>
  <c r="C148" i="66"/>
  <c r="P148" i="66" s="1"/>
  <c r="R148" i="66" s="1"/>
  <c r="C174" i="66"/>
  <c r="C226" i="66"/>
  <c r="P226" i="66" s="1"/>
  <c r="V226" i="66" s="1"/>
  <c r="C228" i="66"/>
  <c r="C232" i="66"/>
  <c r="P232" i="66" s="1"/>
  <c r="R232" i="66" s="1"/>
  <c r="C283" i="66"/>
  <c r="P283" i="66" s="1"/>
  <c r="V283" i="66" s="1"/>
  <c r="C187" i="66"/>
  <c r="P187" i="66" s="1"/>
  <c r="V187" i="66" s="1"/>
  <c r="C241" i="66"/>
  <c r="C220" i="66"/>
  <c r="D7" i="74"/>
  <c r="C289" i="66"/>
  <c r="D11" i="74"/>
  <c r="P11" i="74" s="1"/>
  <c r="R11" i="74" s="1"/>
  <c r="D55" i="74"/>
  <c r="D30" i="74"/>
  <c r="D37" i="74"/>
  <c r="D42" i="74"/>
  <c r="D64" i="74"/>
  <c r="D127" i="74"/>
  <c r="P127" i="74" s="1"/>
  <c r="R127" i="74" s="1"/>
  <c r="D50" i="74"/>
  <c r="D79" i="74"/>
  <c r="P79" i="74" s="1"/>
  <c r="V79" i="74" s="1"/>
  <c r="D90" i="74"/>
  <c r="D143" i="74"/>
  <c r="P143" i="74" s="1"/>
  <c r="R143" i="74" s="1"/>
  <c r="D145" i="74"/>
  <c r="D125" i="74"/>
  <c r="P125" i="74" s="1"/>
  <c r="R125" i="74" s="1"/>
  <c r="C27" i="66"/>
  <c r="P27" i="66" s="1"/>
  <c r="V27" i="66" s="1"/>
  <c r="C18" i="66"/>
  <c r="P18" i="66" s="1"/>
  <c r="R18" i="66" s="1"/>
  <c r="C11" i="66"/>
  <c r="P11" i="66" s="1"/>
  <c r="R11" i="66" s="1"/>
  <c r="C57" i="66"/>
  <c r="C26" i="66"/>
  <c r="C87" i="66"/>
  <c r="P87" i="66" s="1"/>
  <c r="V87" i="66" s="1"/>
  <c r="C93" i="66"/>
  <c r="C99" i="66"/>
  <c r="P99" i="66" s="1"/>
  <c r="R99" i="66" s="1"/>
  <c r="C118" i="66"/>
  <c r="P118" i="66" s="1"/>
  <c r="V118" i="66" s="1"/>
  <c r="C142" i="66"/>
  <c r="C45" i="66"/>
  <c r="C170" i="66"/>
  <c r="C173" i="66"/>
  <c r="P173" i="66" s="1"/>
  <c r="R173" i="66" s="1"/>
  <c r="C200" i="66"/>
  <c r="P200" i="66" s="1"/>
  <c r="R200" i="66" s="1"/>
  <c r="C227" i="66"/>
  <c r="C235" i="66"/>
  <c r="P235" i="66" s="1"/>
  <c r="R235" i="66" s="1"/>
  <c r="C237" i="66"/>
  <c r="C234" i="66"/>
  <c r="C284" i="66"/>
  <c r="P284" i="66" s="1"/>
  <c r="R284" i="66" s="1"/>
  <c r="C188" i="66"/>
  <c r="P188" i="66" s="1"/>
  <c r="V188" i="66" s="1"/>
  <c r="C269" i="66"/>
  <c r="P269" i="66" s="1"/>
  <c r="R269" i="66" s="1"/>
  <c r="C221" i="66"/>
  <c r="P221" i="66" s="1"/>
  <c r="V221" i="66" s="1"/>
  <c r="C224" i="66"/>
  <c r="D14" i="74"/>
  <c r="P14" i="74" s="1"/>
  <c r="R14" i="74" s="1"/>
  <c r="D66" i="74"/>
  <c r="P66" i="74" s="1"/>
  <c r="V66" i="74" s="1"/>
  <c r="C279" i="66"/>
  <c r="P279" i="66" s="1"/>
  <c r="V279" i="66" s="1"/>
  <c r="D31" i="74"/>
  <c r="P31" i="74" s="1"/>
  <c r="R31" i="74" s="1"/>
  <c r="D38" i="74"/>
  <c r="P38" i="74" s="1"/>
  <c r="R38" i="74" s="1"/>
  <c r="D43" i="74"/>
  <c r="P43" i="74" s="1"/>
  <c r="V43" i="74" s="1"/>
  <c r="D67" i="74"/>
  <c r="P67" i="74" s="1"/>
  <c r="V67" i="74" s="1"/>
  <c r="D84" i="74"/>
  <c r="D63" i="74"/>
  <c r="P63" i="74" s="1"/>
  <c r="R63" i="74" s="1"/>
  <c r="D94" i="74"/>
  <c r="D96" i="74"/>
  <c r="D134" i="74"/>
  <c r="P134" i="74" s="1"/>
  <c r="V134" i="74" s="1"/>
  <c r="D133" i="74"/>
  <c r="D137" i="74"/>
  <c r="H97" i="41"/>
  <c r="C18" i="34"/>
  <c r="G156" i="66"/>
  <c r="C17" i="63"/>
  <c r="G190" i="66"/>
  <c r="H103" i="41"/>
  <c r="G4" i="66"/>
  <c r="H118" i="41"/>
  <c r="H110" i="41"/>
  <c r="G145" i="74"/>
  <c r="D8" i="34"/>
  <c r="D18" i="34" s="1"/>
  <c r="J10" i="41"/>
  <c r="G118" i="74"/>
  <c r="H105" i="41"/>
  <c r="H111" i="41"/>
  <c r="H127" i="41"/>
  <c r="C37" i="63"/>
  <c r="H477" i="58"/>
  <c r="E370" i="38" s="1"/>
  <c r="H139" i="41"/>
  <c r="G96" i="74"/>
  <c r="H107" i="41"/>
  <c r="I8" i="41"/>
  <c r="H124" i="41"/>
  <c r="H114" i="41"/>
  <c r="G38" i="66"/>
  <c r="H106" i="41"/>
  <c r="J7" i="41"/>
  <c r="M54" i="39" s="1"/>
  <c r="E186" i="38" s="1"/>
  <c r="G80" i="74"/>
  <c r="H119" i="41"/>
  <c r="H134" i="41"/>
  <c r="G22" i="74"/>
  <c r="G27" i="74"/>
  <c r="H136" i="41"/>
  <c r="H108" i="41"/>
  <c r="H116" i="41"/>
  <c r="M5" i="41" s="1"/>
  <c r="H121" i="41"/>
  <c r="G154" i="66"/>
  <c r="H477" i="37"/>
  <c r="E197" i="38"/>
  <c r="E202" i="38"/>
  <c r="G148" i="66"/>
  <c r="H138" i="41"/>
  <c r="H115" i="41"/>
  <c r="E196" i="38"/>
  <c r="H120" i="41"/>
  <c r="H140" i="41"/>
  <c r="G10" i="66"/>
  <c r="H122" i="41"/>
  <c r="G28" i="66"/>
  <c r="H104" i="41"/>
  <c r="H131" i="41"/>
  <c r="H98" i="41"/>
  <c r="H102" i="41"/>
  <c r="H117" i="41"/>
  <c r="H132" i="41"/>
  <c r="H33" i="37"/>
  <c r="H77" i="37"/>
  <c r="H73" i="37"/>
  <c r="H17" i="37"/>
  <c r="H57" i="37"/>
  <c r="J472" i="41"/>
  <c r="H37" i="37"/>
  <c r="H41" i="37"/>
  <c r="H81" i="37"/>
  <c r="H65" i="37"/>
  <c r="H89" i="37"/>
  <c r="C22" i="17"/>
  <c r="D22" i="17" s="1"/>
  <c r="H21" i="37"/>
  <c r="H45" i="37"/>
  <c r="G112" i="74"/>
  <c r="H69" i="37"/>
  <c r="H93" i="37"/>
  <c r="H29" i="37"/>
  <c r="H95" i="41"/>
  <c r="H433" i="37"/>
  <c r="H432" i="37"/>
  <c r="H430" i="37"/>
  <c r="H431" i="37"/>
  <c r="E201" i="38"/>
  <c r="H53" i="37"/>
  <c r="H109" i="41"/>
  <c r="H436" i="37"/>
  <c r="H437" i="37"/>
  <c r="H434" i="37"/>
  <c r="H435" i="37"/>
  <c r="C45" i="17"/>
  <c r="H438" i="58"/>
  <c r="G157" i="66" s="1"/>
  <c r="H439" i="58"/>
  <c r="I3" i="58"/>
  <c r="I3" i="37"/>
  <c r="H112" i="41"/>
  <c r="H429" i="37"/>
  <c r="H427" i="37"/>
  <c r="H426" i="37"/>
  <c r="H428" i="37"/>
  <c r="H431" i="58"/>
  <c r="H433" i="58"/>
  <c r="H430" i="58"/>
  <c r="G191" i="66" s="1"/>
  <c r="H432" i="58"/>
  <c r="G182" i="66"/>
  <c r="H427" i="58"/>
  <c r="H429" i="58"/>
  <c r="G173" i="66" s="1"/>
  <c r="H428" i="58"/>
  <c r="H426" i="58"/>
  <c r="G175" i="66" s="1"/>
  <c r="J37" i="9"/>
  <c r="H436" i="58"/>
  <c r="H437" i="58"/>
  <c r="H435" i="58"/>
  <c r="H434" i="58"/>
  <c r="G177" i="66" s="1"/>
  <c r="C38" i="17"/>
  <c r="E38" i="17" s="1"/>
  <c r="H125" i="41"/>
  <c r="H439" i="37"/>
  <c r="H438" i="37"/>
  <c r="H3" i="37"/>
  <c r="H3" i="58"/>
  <c r="L114" i="58"/>
  <c r="K41" i="39"/>
  <c r="E139" i="38" s="1"/>
  <c r="G172" i="66"/>
  <c r="C37" i="17"/>
  <c r="E37" i="17" s="1"/>
  <c r="C61" i="26"/>
  <c r="D59" i="26"/>
  <c r="D61" i="26" s="1"/>
  <c r="I7" i="41"/>
  <c r="L54" i="39" s="1"/>
  <c r="E169" i="38" s="1"/>
  <c r="J35" i="9"/>
  <c r="J5" i="9" s="1"/>
  <c r="J6" i="41"/>
  <c r="C57" i="63"/>
  <c r="C284" i="38"/>
  <c r="C296" i="38" s="1"/>
  <c r="C308" i="38" s="1"/>
  <c r="C320" i="38" s="1"/>
  <c r="C290" i="38"/>
  <c r="C302" i="38" s="1"/>
  <c r="C314" i="38" s="1"/>
  <c r="I5" i="41"/>
  <c r="D52" i="39" s="1"/>
  <c r="E116" i="38" s="1"/>
  <c r="H10" i="41"/>
  <c r="J5" i="41"/>
  <c r="E52" i="39" s="1"/>
  <c r="E133" i="38" s="1"/>
  <c r="E18" i="34"/>
  <c r="A13" i="53"/>
  <c r="G176" i="66"/>
  <c r="G32" i="74" s="1"/>
  <c r="G213" i="66"/>
  <c r="G69" i="74" s="1"/>
  <c r="G261" i="66"/>
  <c r="G117" i="74" s="1"/>
  <c r="H7" i="41"/>
  <c r="C54" i="39" s="1"/>
  <c r="E101" i="38" s="1"/>
  <c r="P4" i="18"/>
  <c r="X5" i="20"/>
  <c r="C8" i="17"/>
  <c r="R34" i="66"/>
  <c r="R219" i="66"/>
  <c r="V4" i="74"/>
  <c r="R4" i="74"/>
  <c r="V56" i="66"/>
  <c r="R56" i="66"/>
  <c r="V251" i="66"/>
  <c r="R255" i="66"/>
  <c r="V79" i="66"/>
  <c r="R79" i="66"/>
  <c r="V25" i="66"/>
  <c r="R25" i="66"/>
  <c r="V178" i="66"/>
  <c r="V22" i="74"/>
  <c r="V99" i="66"/>
  <c r="V101" i="66"/>
  <c r="R101" i="66"/>
  <c r="R196" i="66"/>
  <c r="V196" i="66"/>
  <c r="R230" i="66"/>
  <c r="V92" i="74"/>
  <c r="R92" i="74"/>
  <c r="P2" i="18"/>
  <c r="X3" i="20"/>
  <c r="C6" i="17"/>
  <c r="V75" i="66"/>
  <c r="V5" i="66"/>
  <c r="R5" i="66"/>
  <c r="R139" i="66"/>
  <c r="R43" i="66"/>
  <c r="R271" i="66"/>
  <c r="R274" i="66"/>
  <c r="V274" i="66"/>
  <c r="V72" i="66"/>
  <c r="V73" i="66"/>
  <c r="R73" i="66"/>
  <c r="V123" i="74"/>
  <c r="R123" i="74"/>
  <c r="R168" i="66"/>
  <c r="R8" i="74"/>
  <c r="V8" i="74"/>
  <c r="V104" i="74"/>
  <c r="R104" i="74"/>
  <c r="C312" i="38"/>
  <c r="E199" i="38"/>
  <c r="C246" i="38"/>
  <c r="G12" i="66"/>
  <c r="H126" i="41"/>
  <c r="C41" i="39"/>
  <c r="E88" i="38" s="1"/>
  <c r="E4" i="22"/>
  <c r="C22" i="26"/>
  <c r="J7" i="9"/>
  <c r="T7" i="9" s="1"/>
  <c r="C238" i="38"/>
  <c r="A22" i="53"/>
  <c r="C240" i="38"/>
  <c r="C52" i="39"/>
  <c r="E99" i="38" s="1"/>
  <c r="K52" i="39"/>
  <c r="E150" i="38" s="1"/>
  <c r="V51" i="74"/>
  <c r="R51" i="74"/>
  <c r="R99" i="74"/>
  <c r="V99" i="74"/>
  <c r="V91" i="74"/>
  <c r="R91" i="74"/>
  <c r="H472" i="41"/>
  <c r="C55" i="39"/>
  <c r="E102" i="38" s="1"/>
  <c r="K55" i="39"/>
  <c r="E153" i="38" s="1"/>
  <c r="A18" i="53"/>
  <c r="E6" i="22"/>
  <c r="J9" i="9"/>
  <c r="T9" i="9" s="1"/>
  <c r="E188" i="38"/>
  <c r="C297" i="38"/>
  <c r="E193" i="38"/>
  <c r="E189" i="38"/>
  <c r="E2" i="22"/>
  <c r="V140" i="74"/>
  <c r="R140" i="74"/>
  <c r="C219" i="38"/>
  <c r="D16" i="53" s="1"/>
  <c r="C322" i="38"/>
  <c r="E241" i="38"/>
  <c r="C256" i="38"/>
  <c r="G46" i="66"/>
  <c r="H96" i="41"/>
  <c r="E245" i="38"/>
  <c r="C260" i="38"/>
  <c r="E243" i="38"/>
  <c r="C258" i="38"/>
  <c r="V86" i="74"/>
  <c r="R139" i="74"/>
  <c r="C315" i="38"/>
  <c r="A14" i="53"/>
  <c r="H130" i="41"/>
  <c r="C3" i="63"/>
  <c r="H101" i="41"/>
  <c r="C33" i="63"/>
  <c r="E237" i="38"/>
  <c r="C252" i="38"/>
  <c r="E235" i="38"/>
  <c r="C250" i="38"/>
  <c r="C318" i="38"/>
  <c r="H99" i="41"/>
  <c r="R189" i="38"/>
  <c r="C242" i="38"/>
  <c r="E12" i="53"/>
  <c r="E190" i="38"/>
  <c r="E247" i="38"/>
  <c r="C262" i="38"/>
  <c r="E200" i="38"/>
  <c r="C233" i="38"/>
  <c r="G10" i="76"/>
  <c r="F8" i="76"/>
  <c r="R287" i="66"/>
  <c r="V287" i="66"/>
  <c r="I472" i="41"/>
  <c r="D15" i="53"/>
  <c r="A21" i="53"/>
  <c r="C316" i="38"/>
  <c r="C236" i="38"/>
  <c r="E194" i="38"/>
  <c r="H128" i="41"/>
  <c r="H100" i="41"/>
  <c r="C244" i="38"/>
  <c r="E198" i="38"/>
  <c r="V147" i="74"/>
  <c r="R147" i="74"/>
  <c r="E191" i="38"/>
  <c r="E239" i="38"/>
  <c r="C254" i="38"/>
  <c r="D5" i="53"/>
  <c r="H133" i="41"/>
  <c r="E192" i="38"/>
  <c r="R120" i="74"/>
  <c r="E195" i="38"/>
  <c r="V243" i="66" l="1"/>
  <c r="V11" i="66"/>
  <c r="V232" i="66"/>
  <c r="E36" i="17"/>
  <c r="V81" i="74"/>
  <c r="R75" i="74"/>
  <c r="R226" i="66"/>
  <c r="V129" i="66"/>
  <c r="R157" i="66"/>
  <c r="V273" i="66"/>
  <c r="R129" i="74"/>
  <c r="E55" i="39"/>
  <c r="E136" i="38" s="1"/>
  <c r="J469" i="37" s="1"/>
  <c r="V223" i="66"/>
  <c r="V118" i="74"/>
  <c r="V121" i="74"/>
  <c r="R87" i="74"/>
  <c r="V61" i="74"/>
  <c r="R197" i="66"/>
  <c r="V143" i="74"/>
  <c r="V44" i="66"/>
  <c r="V29" i="66"/>
  <c r="R8" i="66"/>
  <c r="V72" i="74"/>
  <c r="R265" i="66"/>
  <c r="V183" i="66"/>
  <c r="V110" i="66"/>
  <c r="R70" i="66"/>
  <c r="R118" i="66"/>
  <c r="V109" i="66"/>
  <c r="V269" i="66"/>
  <c r="R15" i="74"/>
  <c r="R143" i="66"/>
  <c r="R114" i="66"/>
  <c r="R130" i="66"/>
  <c r="V175" i="66"/>
  <c r="V88" i="66"/>
  <c r="R19" i="66"/>
  <c r="R147" i="66"/>
  <c r="V24" i="66"/>
  <c r="V264" i="66"/>
  <c r="R73" i="74"/>
  <c r="D55" i="39"/>
  <c r="E119" i="38" s="1"/>
  <c r="I469" i="37" s="1"/>
  <c r="R114" i="74"/>
  <c r="R95" i="66"/>
  <c r="R82" i="66"/>
  <c r="V280" i="66"/>
  <c r="V163" i="66"/>
  <c r="R214" i="66"/>
  <c r="R158" i="66"/>
  <c r="R134" i="74"/>
  <c r="R195" i="66"/>
  <c r="V210" i="66"/>
  <c r="V22" i="66"/>
  <c r="V70" i="74"/>
  <c r="V291" i="66"/>
  <c r="R216" i="66"/>
  <c r="V62" i="66"/>
  <c r="R67" i="74"/>
  <c r="R239" i="66"/>
  <c r="R283" i="66"/>
  <c r="R236" i="66"/>
  <c r="V155" i="66"/>
  <c r="R81" i="66"/>
  <c r="R120" i="66"/>
  <c r="V92" i="66"/>
  <c r="V253" i="66"/>
  <c r="R31" i="66"/>
  <c r="V127" i="66"/>
  <c r="V104" i="66"/>
  <c r="V166" i="66"/>
  <c r="V14" i="74"/>
  <c r="V125" i="74"/>
  <c r="V25" i="74"/>
  <c r="R77" i="66"/>
  <c r="V66" i="66"/>
  <c r="V15" i="66"/>
  <c r="V11" i="74"/>
  <c r="R205" i="66"/>
  <c r="V109" i="74"/>
  <c r="V245" i="66"/>
  <c r="V77" i="74"/>
  <c r="R19" i="74"/>
  <c r="V135" i="66"/>
  <c r="V5" i="74"/>
  <c r="V140" i="66"/>
  <c r="R248" i="66"/>
  <c r="V217" i="66"/>
  <c r="R121" i="66"/>
  <c r="V254" i="66"/>
  <c r="V40" i="66"/>
  <c r="V148" i="66"/>
  <c r="R110" i="74"/>
  <c r="R136" i="74"/>
  <c r="V159" i="66"/>
  <c r="R44" i="74"/>
  <c r="V18" i="66"/>
  <c r="R177" i="66"/>
  <c r="R66" i="74"/>
  <c r="R82" i="74"/>
  <c r="R162" i="66"/>
  <c r="R211" i="66"/>
  <c r="R27" i="66"/>
  <c r="V200" i="66"/>
  <c r="V115" i="74"/>
  <c r="V262" i="66"/>
  <c r="V134" i="66"/>
  <c r="V95" i="74"/>
  <c r="V173" i="66"/>
  <c r="R38" i="66"/>
  <c r="R91" i="66"/>
  <c r="V47" i="66"/>
  <c r="R279" i="66"/>
  <c r="R136" i="66"/>
  <c r="R43" i="74"/>
  <c r="R86" i="66"/>
  <c r="R278" i="66"/>
  <c r="V24" i="74"/>
  <c r="R18" i="74"/>
  <c r="R62" i="74"/>
  <c r="R111" i="66"/>
  <c r="V51" i="66"/>
  <c r="R125" i="66"/>
  <c r="R29" i="74"/>
  <c r="V191" i="66"/>
  <c r="V53" i="66"/>
  <c r="G38" i="74"/>
  <c r="R206" i="66"/>
  <c r="R53" i="74"/>
  <c r="R115" i="66"/>
  <c r="R107" i="74"/>
  <c r="R100" i="66"/>
  <c r="V235" i="66"/>
  <c r="R123" i="66"/>
  <c r="V38" i="74"/>
  <c r="V13" i="74"/>
  <c r="R56" i="74"/>
  <c r="R63" i="66"/>
  <c r="V4" i="66"/>
  <c r="V207" i="66"/>
  <c r="R13" i="66"/>
  <c r="R67" i="66"/>
  <c r="R88" i="74"/>
  <c r="B7" i="39"/>
  <c r="C43" i="39" s="1"/>
  <c r="E92" i="38" s="1"/>
  <c r="H463" i="37" s="1"/>
  <c r="R101" i="74"/>
  <c r="R87" i="66"/>
  <c r="R33" i="74"/>
  <c r="R171" i="66"/>
  <c r="V149" i="66"/>
  <c r="R188" i="66"/>
  <c r="V100" i="74"/>
  <c r="R203" i="66"/>
  <c r="V31" i="74"/>
  <c r="V244" i="66"/>
  <c r="R79" i="74"/>
  <c r="V127" i="74"/>
  <c r="B4" i="39"/>
  <c r="C40" i="39" s="1"/>
  <c r="E87" i="38" s="1"/>
  <c r="H461" i="37" s="1"/>
  <c r="R34" i="74"/>
  <c r="R111" i="74"/>
  <c r="V267" i="66"/>
  <c r="V284" i="66"/>
  <c r="R231" i="66"/>
  <c r="H477" i="41"/>
  <c r="C14" i="39"/>
  <c r="P14" i="39" s="1"/>
  <c r="Q14" i="39" s="1"/>
  <c r="V152" i="66"/>
  <c r="R187" i="66"/>
  <c r="V39" i="74"/>
  <c r="E352" i="38"/>
  <c r="R47" i="74"/>
  <c r="G4" i="74"/>
  <c r="R33" i="66"/>
  <c r="R107" i="66"/>
  <c r="V63" i="74"/>
  <c r="R225" i="66"/>
  <c r="R258" i="66"/>
  <c r="V61" i="66"/>
  <c r="V40" i="74"/>
  <c r="V59" i="74"/>
  <c r="R169" i="66"/>
  <c r="R14" i="66"/>
  <c r="V14" i="66"/>
  <c r="D3" i="53"/>
  <c r="V135" i="74"/>
  <c r="R259" i="66"/>
  <c r="V52" i="66"/>
  <c r="R221" i="66"/>
  <c r="V59" i="66"/>
  <c r="D7" i="17"/>
  <c r="G52" i="20" s="1"/>
  <c r="M52" i="39"/>
  <c r="E184" i="38" s="1"/>
  <c r="J470" i="58" s="1"/>
  <c r="D4" i="53"/>
  <c r="V130" i="74"/>
  <c r="B3" i="39"/>
  <c r="C39" i="39" s="1"/>
  <c r="E86" i="38" s="1"/>
  <c r="V27" i="74"/>
  <c r="V182" i="66"/>
  <c r="V39" i="66"/>
  <c r="R52" i="74"/>
  <c r="V184" i="66"/>
  <c r="H439" i="41"/>
  <c r="M4" i="41"/>
  <c r="G28" i="74"/>
  <c r="G10" i="74"/>
  <c r="E54" i="39"/>
  <c r="E135" i="38" s="1"/>
  <c r="J468" i="37" s="1"/>
  <c r="G187" i="66"/>
  <c r="M6" i="41"/>
  <c r="G167" i="66"/>
  <c r="H468" i="37"/>
  <c r="I468" i="58"/>
  <c r="I470" i="37"/>
  <c r="M39" i="9" a="1"/>
  <c r="M39" i="9" s="1"/>
  <c r="E66" i="22" s="1"/>
  <c r="K36" i="9"/>
  <c r="M46" i="20" s="1"/>
  <c r="L36" i="9"/>
  <c r="E46" i="20" s="1"/>
  <c r="N35" i="9" a="1"/>
  <c r="N35" i="9" s="1"/>
  <c r="L38" i="9"/>
  <c r="K38" i="9"/>
  <c r="N37" i="9" a="1"/>
  <c r="N37" i="9" s="1"/>
  <c r="E69" i="22" s="1"/>
  <c r="Q37" i="9" a="1"/>
  <c r="Q37" i="9" s="1"/>
  <c r="E84" i="22" s="1"/>
  <c r="N39" i="9" a="1"/>
  <c r="N39" i="9" s="1"/>
  <c r="E71" i="22" s="1"/>
  <c r="Q39" i="9" a="1"/>
  <c r="Q39" i="9" s="1"/>
  <c r="E86" i="22" s="1"/>
  <c r="R39" i="9" a="1"/>
  <c r="R39" i="9" s="1"/>
  <c r="E91" i="22" s="1"/>
  <c r="R35" i="9" a="1"/>
  <c r="R35" i="9" s="1"/>
  <c r="O39" i="9" a="1"/>
  <c r="O39" i="9" s="1"/>
  <c r="E76" i="22" s="1"/>
  <c r="O37" i="9" a="1"/>
  <c r="O37" i="9" s="1"/>
  <c r="E74" i="22" s="1"/>
  <c r="Q35" i="9" a="1"/>
  <c r="Q35" i="9" s="1"/>
  <c r="O35" i="9" a="1"/>
  <c r="O35" i="9" s="1"/>
  <c r="R37" i="9" a="1"/>
  <c r="R37" i="9" s="1"/>
  <c r="E89" i="22" s="1"/>
  <c r="P39" i="9" a="1"/>
  <c r="P39" i="9" s="1"/>
  <c r="E81" i="22" s="1"/>
  <c r="J470" i="37"/>
  <c r="G189" i="66"/>
  <c r="H462" i="58"/>
  <c r="H3" i="41"/>
  <c r="G45" i="66"/>
  <c r="C43" i="17"/>
  <c r="L28" i="9"/>
  <c r="K28" i="9"/>
  <c r="L52" i="39"/>
  <c r="E167" i="38" s="1"/>
  <c r="I3" i="41"/>
  <c r="D54" i="39"/>
  <c r="E118" i="38" s="1"/>
  <c r="H435" i="41"/>
  <c r="C42" i="17"/>
  <c r="K54" i="39"/>
  <c r="E152" i="38" s="1"/>
  <c r="G188" i="66"/>
  <c r="G33" i="66"/>
  <c r="G33" i="74" s="1"/>
  <c r="H434" i="41"/>
  <c r="H431" i="41"/>
  <c r="G13" i="66"/>
  <c r="G13" i="74" s="1"/>
  <c r="H438" i="41"/>
  <c r="E49" i="22"/>
  <c r="P37" i="9" a="1"/>
  <c r="P37" i="9" s="1"/>
  <c r="E79" i="22" s="1"/>
  <c r="M37" i="9" a="1"/>
  <c r="M37" i="9" s="1"/>
  <c r="F22" i="26"/>
  <c r="H428" i="41"/>
  <c r="G23" i="66"/>
  <c r="C36" i="17"/>
  <c r="H437" i="41"/>
  <c r="H430" i="41"/>
  <c r="G47" i="66"/>
  <c r="G47" i="74" s="1"/>
  <c r="H426" i="41"/>
  <c r="G31" i="66"/>
  <c r="G31" i="74" s="1"/>
  <c r="H436" i="41"/>
  <c r="H432" i="41"/>
  <c r="G44" i="66"/>
  <c r="A19" i="53"/>
  <c r="H427" i="41"/>
  <c r="C32" i="17"/>
  <c r="C44" i="17"/>
  <c r="C33" i="17"/>
  <c r="H433" i="41"/>
  <c r="G43" i="66"/>
  <c r="I469" i="58"/>
  <c r="M41" i="20"/>
  <c r="C41" i="17"/>
  <c r="G29" i="66"/>
  <c r="G29" i="74" s="1"/>
  <c r="H429" i="41"/>
  <c r="C39" i="17"/>
  <c r="C35" i="17"/>
  <c r="C23" i="17"/>
  <c r="D23" i="17" s="1"/>
  <c r="E47" i="22"/>
  <c r="M35" i="9" a="1"/>
  <c r="M35" i="9" s="1"/>
  <c r="P35" i="9" a="1"/>
  <c r="P35" i="9" s="1"/>
  <c r="C34" i="17"/>
  <c r="C40" i="17"/>
  <c r="C326" i="38"/>
  <c r="C330" i="38"/>
  <c r="C334" i="38"/>
  <c r="D18" i="53"/>
  <c r="A24" i="53"/>
  <c r="E18" i="53"/>
  <c r="E246" i="38"/>
  <c r="C261" i="38"/>
  <c r="D6" i="17"/>
  <c r="G51" i="20" s="1"/>
  <c r="C265" i="38"/>
  <c r="H470" i="58"/>
  <c r="A28" i="53"/>
  <c r="C277" i="38"/>
  <c r="H469" i="58"/>
  <c r="D6" i="53"/>
  <c r="F6" i="53" s="1"/>
  <c r="H470" i="37"/>
  <c r="D8" i="17"/>
  <c r="G53" i="20" s="1"/>
  <c r="E242" i="38"/>
  <c r="C257" i="38"/>
  <c r="C273" i="38"/>
  <c r="C234" i="38"/>
  <c r="D29" i="53"/>
  <c r="H469" i="37"/>
  <c r="A27" i="53"/>
  <c r="F10" i="76"/>
  <c r="D17" i="53"/>
  <c r="C328" i="38"/>
  <c r="C259" i="38"/>
  <c r="E244" i="38"/>
  <c r="C332" i="38"/>
  <c r="C267" i="38"/>
  <c r="C275" i="38"/>
  <c r="C324" i="38"/>
  <c r="C327" i="38"/>
  <c r="C309" i="38"/>
  <c r="T5" i="9"/>
  <c r="C269" i="38"/>
  <c r="C251" i="38"/>
  <c r="E236" i="38"/>
  <c r="E233" i="38"/>
  <c r="C248" i="38"/>
  <c r="G46" i="74"/>
  <c r="C271" i="38"/>
  <c r="D22" i="26"/>
  <c r="D188" i="72" a="1"/>
  <c r="D188" i="72" s="1"/>
  <c r="D126" i="72" a="1"/>
  <c r="D126" i="72" s="1"/>
  <c r="D250" i="72" a="1"/>
  <c r="D250" i="72" s="1"/>
  <c r="D251" i="72" s="1" a="1"/>
  <c r="D251" i="72" s="1"/>
  <c r="D64" i="72" a="1"/>
  <c r="D64" i="72" s="1"/>
  <c r="D2" i="72" a="1"/>
  <c r="D2" i="72" s="1"/>
  <c r="B49" i="26"/>
  <c r="G185" i="35"/>
  <c r="D127" i="72" a="1"/>
  <c r="D127" i="72" s="1"/>
  <c r="D128" i="72" s="1" a="1"/>
  <c r="D128" i="72" s="1"/>
  <c r="H462" i="37"/>
  <c r="J469" i="58"/>
  <c r="E386" i="38"/>
  <c r="J468" i="58"/>
  <c r="A20" i="53"/>
  <c r="C255" i="38"/>
  <c r="E240" i="38"/>
  <c r="E238" i="38"/>
  <c r="C253" i="38"/>
  <c r="G12" i="74"/>
  <c r="E45" i="20" l="1"/>
  <c r="I469" i="41"/>
  <c r="H460" i="37"/>
  <c r="M35" i="20"/>
  <c r="M36" i="20"/>
  <c r="D44" i="20"/>
  <c r="M37" i="20"/>
  <c r="D33" i="20"/>
  <c r="M33" i="20"/>
  <c r="C13" i="39"/>
  <c r="O13" i="39" s="1"/>
  <c r="D38" i="20"/>
  <c r="M42" i="20"/>
  <c r="E34" i="20"/>
  <c r="N45" i="20"/>
  <c r="E33" i="20"/>
  <c r="D37" i="20"/>
  <c r="M44" i="20"/>
  <c r="D46" i="20"/>
  <c r="E38" i="20"/>
  <c r="O14" i="39"/>
  <c r="H476" i="37"/>
  <c r="E351" i="38" s="1"/>
  <c r="C16" i="39"/>
  <c r="P16" i="39" s="1"/>
  <c r="Q16" i="39" s="1"/>
  <c r="K40" i="39"/>
  <c r="E138" i="38" s="1"/>
  <c r="H460" i="58" s="1"/>
  <c r="H460" i="41" s="1"/>
  <c r="H478" i="37"/>
  <c r="E353" i="38" s="1"/>
  <c r="K39" i="39"/>
  <c r="E137" i="38" s="1"/>
  <c r="H458" i="58" s="1"/>
  <c r="H478" i="58"/>
  <c r="E371" i="38" s="1"/>
  <c r="K43" i="39"/>
  <c r="E143" i="38" s="1"/>
  <c r="H463" i="58" s="1"/>
  <c r="H463" i="41" s="1"/>
  <c r="H476" i="58"/>
  <c r="E369" i="38" s="1"/>
  <c r="D39" i="20"/>
  <c r="E41" i="20"/>
  <c r="M45" i="20"/>
  <c r="D43" i="20"/>
  <c r="D35" i="20"/>
  <c r="G107" i="35" s="1" a="1"/>
  <c r="G107" i="35" s="1"/>
  <c r="D41" i="20"/>
  <c r="N40" i="20"/>
  <c r="N46" i="20"/>
  <c r="D36" i="20"/>
  <c r="G111" i="35" s="1" a="1"/>
  <c r="G111" i="35" s="1"/>
  <c r="D42" i="20"/>
  <c r="E44" i="20"/>
  <c r="C12" i="39"/>
  <c r="O12" i="39" s="1"/>
  <c r="H475" i="37"/>
  <c r="E350" i="38" s="1"/>
  <c r="H475" i="58"/>
  <c r="E368" i="38" s="1"/>
  <c r="N41" i="20"/>
  <c r="P33" i="18"/>
  <c r="D52" i="20"/>
  <c r="P24" i="18" s="1"/>
  <c r="N34" i="20"/>
  <c r="N33" i="20"/>
  <c r="D25" i="20"/>
  <c r="G25" i="20"/>
  <c r="H177" i="35"/>
  <c r="I118" i="37" s="1"/>
  <c r="H176" i="35"/>
  <c r="I110" i="58" s="1"/>
  <c r="H178" i="35"/>
  <c r="I118" i="58" s="1"/>
  <c r="H175" i="35"/>
  <c r="I110" i="37" s="1"/>
  <c r="N44" i="20"/>
  <c r="E43" i="20"/>
  <c r="E39" i="20"/>
  <c r="N43" i="20"/>
  <c r="E40" i="20"/>
  <c r="N39" i="20"/>
  <c r="C56" i="17"/>
  <c r="N37" i="20"/>
  <c r="N38" i="20"/>
  <c r="N35" i="20"/>
  <c r="E37" i="20"/>
  <c r="E35" i="20"/>
  <c r="G43" i="74"/>
  <c r="M39" i="20"/>
  <c r="D40" i="20"/>
  <c r="M38" i="20"/>
  <c r="M40" i="20"/>
  <c r="D45" i="20"/>
  <c r="M43" i="20"/>
  <c r="M34" i="20"/>
  <c r="D34" i="20"/>
  <c r="G23" i="74"/>
  <c r="H462" i="41"/>
  <c r="H469" i="41"/>
  <c r="G45" i="74"/>
  <c r="H470" i="41"/>
  <c r="I470" i="58"/>
  <c r="I470" i="41" s="1"/>
  <c r="J470" i="41"/>
  <c r="H13" i="37"/>
  <c r="H12" i="37"/>
  <c r="H11" i="37"/>
  <c r="G44" i="74"/>
  <c r="H14" i="37"/>
  <c r="A25" i="53"/>
  <c r="H468" i="58"/>
  <c r="H468" i="41" s="1"/>
  <c r="E55" i="22"/>
  <c r="J38" i="9"/>
  <c r="C46" i="39"/>
  <c r="E91" i="38" s="1"/>
  <c r="K46" i="39"/>
  <c r="E142" i="38" s="1"/>
  <c r="E60" i="22"/>
  <c r="F18" i="53"/>
  <c r="G206" i="35"/>
  <c r="D157" i="72" a="1"/>
  <c r="D157" i="72" s="1"/>
  <c r="D158" i="72" s="1" a="1"/>
  <c r="D158" i="72" s="1"/>
  <c r="E49" i="26"/>
  <c r="H49" i="26" s="1"/>
  <c r="D281" i="72" a="1"/>
  <c r="D281" i="72" s="1"/>
  <c r="D34" i="72" a="1"/>
  <c r="D34" i="72" s="1"/>
  <c r="D219" i="72" a="1"/>
  <c r="D219" i="72" s="1"/>
  <c r="D33" i="72" a="1"/>
  <c r="D33" i="72" s="1"/>
  <c r="G22" i="26"/>
  <c r="D95" i="72" a="1"/>
  <c r="D95" i="72" s="1"/>
  <c r="F95" i="72" s="1"/>
  <c r="E72" i="22"/>
  <c r="E67" i="22"/>
  <c r="E64" i="22"/>
  <c r="E82" i="22"/>
  <c r="E58" i="22"/>
  <c r="L40" i="9"/>
  <c r="N42" i="20"/>
  <c r="E42" i="20"/>
  <c r="N36" i="20"/>
  <c r="E36" i="20"/>
  <c r="E77" i="22"/>
  <c r="B6" i="39"/>
  <c r="C15" i="39" s="1"/>
  <c r="E53" i="22"/>
  <c r="K40" i="9"/>
  <c r="J36" i="9"/>
  <c r="E10" i="22"/>
  <c r="K8" i="9"/>
  <c r="J28" i="9"/>
  <c r="E62" i="22"/>
  <c r="I468" i="37"/>
  <c r="I468" i="41" s="1"/>
  <c r="E15" i="22"/>
  <c r="L8" i="9"/>
  <c r="E87" i="22"/>
  <c r="D252" i="72" a="1"/>
  <c r="D252" i="72" s="1"/>
  <c r="D253" i="72" s="1" a="1"/>
  <c r="D253" i="72" s="1"/>
  <c r="N29" i="9" a="1"/>
  <c r="N29" i="9" s="1"/>
  <c r="O25" i="9" a="1"/>
  <c r="O25" i="9" s="1"/>
  <c r="O5" i="9" s="1"/>
  <c r="N25" i="9" a="1"/>
  <c r="N25" i="9" s="1"/>
  <c r="K26" i="9"/>
  <c r="O29" i="9" a="1"/>
  <c r="O29" i="9" s="1"/>
  <c r="Q27" i="9" a="1"/>
  <c r="Q27" i="9" s="1"/>
  <c r="L26" i="9"/>
  <c r="O27" i="9" a="1"/>
  <c r="O27" i="9" s="1"/>
  <c r="R29" i="9" a="1"/>
  <c r="R29" i="9" s="1"/>
  <c r="R25" i="9" a="1"/>
  <c r="R25" i="9" s="1"/>
  <c r="Q25" i="9" a="1"/>
  <c r="Q25" i="9" s="1"/>
  <c r="R27" i="9" a="1"/>
  <c r="R27" i="9" s="1"/>
  <c r="N27" i="9" a="1"/>
  <c r="N27" i="9" s="1"/>
  <c r="Q29" i="9" a="1"/>
  <c r="Q29" i="9" s="1"/>
  <c r="P25" i="9" a="1"/>
  <c r="P25" i="9" s="1"/>
  <c r="P27" i="9" a="1"/>
  <c r="P27" i="9" s="1"/>
  <c r="M25" i="9" a="1"/>
  <c r="M25" i="9" s="1"/>
  <c r="P29" i="9" a="1"/>
  <c r="P29" i="9" s="1"/>
  <c r="M29" i="9" a="1"/>
  <c r="M29" i="9" s="1"/>
  <c r="M27" i="9" a="1"/>
  <c r="M27" i="9" s="1"/>
  <c r="F64" i="72" s="1"/>
  <c r="C268" i="38"/>
  <c r="G26" i="20"/>
  <c r="D26" i="20"/>
  <c r="H179" i="35"/>
  <c r="H180" i="35"/>
  <c r="H182" i="35"/>
  <c r="H181" i="35"/>
  <c r="C346" i="38"/>
  <c r="H491" i="37"/>
  <c r="H492" i="37"/>
  <c r="H490" i="37"/>
  <c r="C263" i="38"/>
  <c r="C340" i="38"/>
  <c r="D27" i="53"/>
  <c r="A33" i="53"/>
  <c r="P34" i="18"/>
  <c r="D53" i="20"/>
  <c r="P25" i="18" s="1"/>
  <c r="C274" i="38"/>
  <c r="C272" i="38"/>
  <c r="A30" i="53"/>
  <c r="E24" i="53"/>
  <c r="C270" i="38"/>
  <c r="C342" i="38"/>
  <c r="D189" i="72" a="1"/>
  <c r="D189" i="72" s="1"/>
  <c r="C266" i="38"/>
  <c r="C321" i="38"/>
  <c r="D28" i="53"/>
  <c r="A34" i="53"/>
  <c r="C338" i="38"/>
  <c r="C276" i="38"/>
  <c r="D129" i="72" a="1"/>
  <c r="D129" i="72" s="1"/>
  <c r="D130" i="72" s="1" a="1"/>
  <c r="D130" i="72" s="1"/>
  <c r="C339" i="38"/>
  <c r="H12" i="53"/>
  <c r="H458" i="37"/>
  <c r="H459" i="37"/>
  <c r="C336" i="38"/>
  <c r="E234" i="38"/>
  <c r="C249" i="38"/>
  <c r="G24" i="20"/>
  <c r="D24" i="20"/>
  <c r="H172" i="35"/>
  <c r="H174" i="35"/>
  <c r="H171" i="35"/>
  <c r="H173" i="35"/>
  <c r="E22" i="26"/>
  <c r="C49" i="26"/>
  <c r="H185" i="35"/>
  <c r="P32" i="18"/>
  <c r="D51" i="20"/>
  <c r="P23" i="18" s="1"/>
  <c r="J468" i="41"/>
  <c r="A26" i="53"/>
  <c r="D3" i="72" a="1"/>
  <c r="D3" i="72" s="1"/>
  <c r="D65" i="72" a="1"/>
  <c r="D65" i="72" s="1"/>
  <c r="J469" i="41"/>
  <c r="C344" i="38"/>
  <c r="G347" i="18" l="1" a="1"/>
  <c r="G347" i="18" s="1"/>
  <c r="P13" i="39"/>
  <c r="Q13" i="39" s="1"/>
  <c r="H459" i="58"/>
  <c r="AA3" i="39"/>
  <c r="G101" i="35" a="1"/>
  <c r="G101" i="35" s="1"/>
  <c r="G109" i="35" a="1"/>
  <c r="G109" i="35" s="1"/>
  <c r="G102" i="35" a="1"/>
  <c r="G102" i="35" s="1"/>
  <c r="D47" i="20"/>
  <c r="G112" i="35" a="1"/>
  <c r="G112" i="35" s="1"/>
  <c r="G110" i="35" a="1"/>
  <c r="G110" i="35" s="1"/>
  <c r="G345" i="18" a="1"/>
  <c r="G345" i="18" s="1"/>
  <c r="I345" i="18" s="1"/>
  <c r="G351" i="18" a="1"/>
  <c r="G351" i="18" s="1"/>
  <c r="G339" i="18" a="1"/>
  <c r="G339" i="18" s="1"/>
  <c r="I339" i="18" s="1"/>
  <c r="G114" i="35" a="1"/>
  <c r="G114" i="35" s="1"/>
  <c r="G108" i="35" a="1"/>
  <c r="G108" i="35" s="1"/>
  <c r="G113" i="35" a="1"/>
  <c r="G113" i="35" s="1"/>
  <c r="G105" i="35" a="1"/>
  <c r="G105" i="35" s="1"/>
  <c r="G348" i="18" a="1"/>
  <c r="G348" i="18" s="1"/>
  <c r="G346" i="18" a="1"/>
  <c r="G346" i="18" s="1"/>
  <c r="F250" i="72"/>
  <c r="G106" i="35" a="1"/>
  <c r="G106" i="35" s="1"/>
  <c r="G103" i="35" a="1"/>
  <c r="G103" i="35" s="1"/>
  <c r="G344" i="18" a="1"/>
  <c r="G344" i="18" s="1"/>
  <c r="I344" i="18" s="1"/>
  <c r="G338" i="18" a="1"/>
  <c r="G338" i="18" s="1"/>
  <c r="H461" i="58"/>
  <c r="H461" i="41" s="1"/>
  <c r="G143" i="35" a="1"/>
  <c r="G143" i="35" s="1"/>
  <c r="G349" i="18" a="1"/>
  <c r="G349" i="18" s="1"/>
  <c r="H349" i="18" s="1"/>
  <c r="G350" i="18" a="1"/>
  <c r="G350" i="18" s="1"/>
  <c r="I350" i="18" s="1"/>
  <c r="P12" i="39"/>
  <c r="O16" i="39"/>
  <c r="H478" i="41"/>
  <c r="H475" i="41"/>
  <c r="H476" i="41"/>
  <c r="D96" i="72" a="1"/>
  <c r="D96" i="72" s="1"/>
  <c r="G104" i="35" a="1"/>
  <c r="G104" i="35" s="1"/>
  <c r="G342" i="18" a="1"/>
  <c r="G342" i="18" s="1"/>
  <c r="H342" i="18" s="1"/>
  <c r="G152" i="35" a="1"/>
  <c r="G152" i="35" s="1"/>
  <c r="G341" i="18" a="1"/>
  <c r="G341" i="18" s="1"/>
  <c r="I341" i="18" s="1"/>
  <c r="G340" i="18" a="1"/>
  <c r="G340" i="18" s="1"/>
  <c r="I340" i="18" s="1"/>
  <c r="G343" i="18" a="1"/>
  <c r="G343" i="18" s="1"/>
  <c r="H343" i="18" s="1"/>
  <c r="G467" i="18" a="1"/>
  <c r="G467" i="18" s="1"/>
  <c r="H467" i="18" s="1"/>
  <c r="I109" i="37"/>
  <c r="I111" i="37"/>
  <c r="I113" i="37"/>
  <c r="I115" i="37"/>
  <c r="I112" i="37"/>
  <c r="I114" i="37"/>
  <c r="I116" i="37"/>
  <c r="I124" i="58"/>
  <c r="I122" i="58"/>
  <c r="I123" i="58"/>
  <c r="I117" i="58"/>
  <c r="I121" i="58"/>
  <c r="I120" i="58"/>
  <c r="I119" i="58"/>
  <c r="I116" i="58"/>
  <c r="I114" i="58"/>
  <c r="I112" i="58"/>
  <c r="I111" i="58"/>
  <c r="I109" i="58"/>
  <c r="I113" i="58"/>
  <c r="I115" i="58"/>
  <c r="I124" i="37"/>
  <c r="I123" i="37"/>
  <c r="I119" i="37"/>
  <c r="I121" i="37"/>
  <c r="I120" i="37"/>
  <c r="I117" i="37"/>
  <c r="I122" i="37"/>
  <c r="P15" i="18"/>
  <c r="Y7" i="20"/>
  <c r="P6" i="18"/>
  <c r="Y4" i="20"/>
  <c r="I178" i="35"/>
  <c r="I175" i="35"/>
  <c r="I177" i="35"/>
  <c r="I176" i="35"/>
  <c r="E25" i="20"/>
  <c r="H25" i="20"/>
  <c r="H52" i="20"/>
  <c r="G391" i="18" a="1"/>
  <c r="G391" i="18" s="1"/>
  <c r="I391" i="18" s="1"/>
  <c r="G432" i="18" a="1"/>
  <c r="G432" i="18" s="1"/>
  <c r="G386" i="18" a="1"/>
  <c r="G386" i="18" s="1"/>
  <c r="H386" i="18" s="1"/>
  <c r="G388" i="18" a="1"/>
  <c r="G388" i="18" s="1"/>
  <c r="I388" i="18" s="1"/>
  <c r="G146" i="35" a="1"/>
  <c r="G146" i="35" s="1"/>
  <c r="G156" i="35" a="1"/>
  <c r="G156" i="35" s="1"/>
  <c r="G382" i="18" a="1"/>
  <c r="G382" i="18" s="1"/>
  <c r="G155" i="35" a="1"/>
  <c r="G155" i="35" s="1"/>
  <c r="G393" i="18" a="1"/>
  <c r="G393" i="18" s="1"/>
  <c r="F188" i="72"/>
  <c r="G476" i="18" a="1"/>
  <c r="G476" i="18" s="1"/>
  <c r="I476" i="18" s="1"/>
  <c r="G150" i="35" a="1"/>
  <c r="G150" i="35" s="1"/>
  <c r="M47" i="20"/>
  <c r="G151" i="35" a="1"/>
  <c r="G151" i="35" s="1"/>
  <c r="G153" i="35" a="1"/>
  <c r="G153" i="35" s="1"/>
  <c r="F126" i="72"/>
  <c r="H24" i="53"/>
  <c r="G154" i="35" a="1"/>
  <c r="G154" i="35" s="1"/>
  <c r="G380" i="18" a="1"/>
  <c r="G380" i="18" s="1"/>
  <c r="H380" i="18" s="1"/>
  <c r="G147" i="35" a="1"/>
  <c r="G147" i="35" s="1"/>
  <c r="G381" i="18" a="1"/>
  <c r="G381" i="18" s="1"/>
  <c r="H381" i="18" s="1"/>
  <c r="G385" i="18" a="1"/>
  <c r="G385" i="18" s="1"/>
  <c r="F2" i="72"/>
  <c r="G383" i="18" a="1"/>
  <c r="G383" i="18" s="1"/>
  <c r="G422" i="18" a="1"/>
  <c r="G422" i="18" s="1"/>
  <c r="H422" i="18" s="1"/>
  <c r="G384" i="18" a="1"/>
  <c r="G384" i="18" s="1"/>
  <c r="G144" i="35" a="1"/>
  <c r="G144" i="35" s="1"/>
  <c r="G387" i="18" a="1"/>
  <c r="G387" i="18" s="1"/>
  <c r="H387" i="18" s="1"/>
  <c r="G425" i="18" a="1"/>
  <c r="G425" i="18" s="1"/>
  <c r="G390" i="18" a="1"/>
  <c r="G390" i="18" s="1"/>
  <c r="I390" i="18" s="1"/>
  <c r="G389" i="18" a="1"/>
  <c r="G389" i="18" s="1"/>
  <c r="I389" i="18" s="1"/>
  <c r="G149" i="35" a="1"/>
  <c r="G149" i="35" s="1"/>
  <c r="G145" i="35" a="1"/>
  <c r="G145" i="35" s="1"/>
  <c r="G148" i="35" a="1"/>
  <c r="G148" i="35" s="1"/>
  <c r="G392" i="18" a="1"/>
  <c r="G392" i="18" s="1"/>
  <c r="I392" i="18" s="1"/>
  <c r="D254" i="72" a="1"/>
  <c r="D254" i="72" s="1"/>
  <c r="D255" i="72" s="1" a="1"/>
  <c r="D255" i="72" s="1"/>
  <c r="D256" i="72" s="1" a="1"/>
  <c r="D256" i="72" s="1"/>
  <c r="D257" i="72" s="1" a="1"/>
  <c r="D257" i="72" s="1"/>
  <c r="D258" i="72" s="1" a="1"/>
  <c r="D258" i="72" s="1"/>
  <c r="I467" i="18"/>
  <c r="I97" i="37"/>
  <c r="I100" i="37"/>
  <c r="I98" i="37"/>
  <c r="I99" i="37"/>
  <c r="I101" i="37"/>
  <c r="I95" i="37"/>
  <c r="I96" i="37"/>
  <c r="E44" i="22"/>
  <c r="R7" i="9"/>
  <c r="H52" i="37"/>
  <c r="G165" i="35" a="1"/>
  <c r="G165" i="35" s="1"/>
  <c r="G169" i="35" a="1"/>
  <c r="G169" i="35" s="1"/>
  <c r="D97" i="72" a="1"/>
  <c r="D97" i="72" s="1"/>
  <c r="D98" i="72" s="1" a="1"/>
  <c r="D98" i="72" s="1"/>
  <c r="G126" i="35" a="1"/>
  <c r="G126" i="35" s="1"/>
  <c r="G428" i="18" a="1"/>
  <c r="G428" i="18" s="1"/>
  <c r="G118" i="35" a="1"/>
  <c r="G118" i="35" s="1"/>
  <c r="H44" i="37"/>
  <c r="A31" i="53"/>
  <c r="I104" i="58"/>
  <c r="I105" i="58"/>
  <c r="I106" i="58"/>
  <c r="I107" i="58"/>
  <c r="I102" i="58"/>
  <c r="I103" i="58"/>
  <c r="I108" i="58"/>
  <c r="D131" i="72" a="1"/>
  <c r="D131" i="72" s="1"/>
  <c r="D132" i="72" s="1" a="1"/>
  <c r="D132" i="72" s="1"/>
  <c r="E37" i="22"/>
  <c r="Q5" i="9"/>
  <c r="H64" i="37"/>
  <c r="H76" i="37"/>
  <c r="H88" i="37"/>
  <c r="G471" i="18" a="1"/>
  <c r="G471" i="18" s="1"/>
  <c r="G475" i="18" a="1"/>
  <c r="G475" i="18" s="1"/>
  <c r="G123" i="35" a="1"/>
  <c r="G123" i="35" s="1"/>
  <c r="G430" i="18" a="1"/>
  <c r="G430" i="18" s="1"/>
  <c r="G423" i="18" a="1"/>
  <c r="G423" i="18" s="1"/>
  <c r="H467" i="58"/>
  <c r="E50" i="22"/>
  <c r="M38" i="9" a="1"/>
  <c r="M38" i="9" s="1"/>
  <c r="E65" i="22" s="1"/>
  <c r="P38" i="9" a="1"/>
  <c r="P38" i="9" s="1"/>
  <c r="E80" i="22" s="1"/>
  <c r="C8" i="63"/>
  <c r="H72" i="37"/>
  <c r="I98" i="58"/>
  <c r="I99" i="58"/>
  <c r="I100" i="58"/>
  <c r="I96" i="58"/>
  <c r="I95" i="58"/>
  <c r="I97" i="58"/>
  <c r="I101" i="58"/>
  <c r="E42" i="22"/>
  <c r="R5" i="9"/>
  <c r="H48" i="37"/>
  <c r="G160" i="35" a="1"/>
  <c r="G160" i="35" s="1"/>
  <c r="G469" i="18" a="1"/>
  <c r="G469" i="18" s="1"/>
  <c r="F49" i="26"/>
  <c r="I49" i="26" s="1"/>
  <c r="H22" i="26"/>
  <c r="AL126" i="72" s="1"/>
  <c r="H206" i="35"/>
  <c r="G119" i="35" a="1"/>
  <c r="G119" i="35" s="1"/>
  <c r="G120" i="35" a="1"/>
  <c r="G120" i="35" s="1"/>
  <c r="G435" i="18" a="1"/>
  <c r="G435" i="18" s="1"/>
  <c r="H467" i="37"/>
  <c r="E46" i="22"/>
  <c r="R9" i="9"/>
  <c r="H348" i="18"/>
  <c r="I348" i="18"/>
  <c r="E5" i="22"/>
  <c r="M28" i="9" a="1"/>
  <c r="M28" i="9" s="1"/>
  <c r="P28" i="9" a="1"/>
  <c r="P28" i="9" s="1"/>
  <c r="J8" i="9"/>
  <c r="T8" i="9" s="1"/>
  <c r="H20" i="37"/>
  <c r="G473" i="18" a="1"/>
  <c r="G473" i="18" s="1"/>
  <c r="G164" i="35" a="1"/>
  <c r="G164" i="35" s="1"/>
  <c r="G464" i="18" a="1"/>
  <c r="G464" i="18" s="1"/>
  <c r="F281" i="72"/>
  <c r="D282" i="72" a="1"/>
  <c r="D282" i="72" s="1"/>
  <c r="G117" i="35" a="1"/>
  <c r="G117" i="35" s="1"/>
  <c r="G127" i="35" a="1"/>
  <c r="G127" i="35" s="1"/>
  <c r="G122" i="35" a="1"/>
  <c r="G122" i="35" s="1"/>
  <c r="I385" i="18"/>
  <c r="H385" i="18"/>
  <c r="E19" i="22"/>
  <c r="M7" i="9"/>
  <c r="E29" i="22"/>
  <c r="O7" i="9"/>
  <c r="H28" i="37"/>
  <c r="G158" i="35" a="1"/>
  <c r="G158" i="35" s="1"/>
  <c r="G161" i="35" a="1"/>
  <c r="G161" i="35" s="1"/>
  <c r="G168" i="35" a="1"/>
  <c r="G168" i="35" s="1"/>
  <c r="D35" i="72" a="1"/>
  <c r="D35" i="72" s="1"/>
  <c r="F33" i="72"/>
  <c r="G115" i="35" a="1"/>
  <c r="G115" i="35" s="1"/>
  <c r="G128" i="35" a="1"/>
  <c r="G128" i="35" s="1"/>
  <c r="H36" i="37"/>
  <c r="I384" i="18"/>
  <c r="H384" i="18"/>
  <c r="M9" i="9"/>
  <c r="E21" i="22"/>
  <c r="E13" i="22"/>
  <c r="L6" i="9"/>
  <c r="D3" i="9" s="1"/>
  <c r="D4" i="9" s="1"/>
  <c r="L30" i="9"/>
  <c r="E12" i="20"/>
  <c r="N12" i="20"/>
  <c r="E17" i="20"/>
  <c r="E18" i="20"/>
  <c r="E19" i="20"/>
  <c r="E15" i="20"/>
  <c r="E10" i="20"/>
  <c r="N14" i="20"/>
  <c r="N16" i="20"/>
  <c r="N8" i="20"/>
  <c r="N19" i="20"/>
  <c r="N10" i="20"/>
  <c r="E6" i="20"/>
  <c r="E14" i="20"/>
  <c r="N15" i="20"/>
  <c r="E8" i="20"/>
  <c r="N13" i="20"/>
  <c r="N6" i="20"/>
  <c r="E16" i="20"/>
  <c r="N11" i="20"/>
  <c r="E11" i="20"/>
  <c r="E13" i="20"/>
  <c r="N9" i="20"/>
  <c r="N17" i="20"/>
  <c r="N7" i="20"/>
  <c r="E9" i="20"/>
  <c r="E7" i="20"/>
  <c r="N18" i="20"/>
  <c r="I347" i="18"/>
  <c r="H347" i="18"/>
  <c r="L42" i="20"/>
  <c r="C46" i="20"/>
  <c r="M36" i="9" a="1"/>
  <c r="M36" i="9" s="1"/>
  <c r="C38" i="20"/>
  <c r="C34" i="20"/>
  <c r="L44" i="20"/>
  <c r="P36" i="9" a="1"/>
  <c r="P36" i="9" s="1"/>
  <c r="E48" i="22"/>
  <c r="C42" i="20"/>
  <c r="L45" i="20"/>
  <c r="L35" i="20"/>
  <c r="L37" i="20"/>
  <c r="C35" i="20"/>
  <c r="C37" i="20"/>
  <c r="J40" i="9"/>
  <c r="C36" i="20"/>
  <c r="L38" i="20"/>
  <c r="L39" i="20"/>
  <c r="C33" i="20"/>
  <c r="L41" i="20"/>
  <c r="L46" i="20"/>
  <c r="L36" i="20"/>
  <c r="C39" i="20"/>
  <c r="L34" i="20"/>
  <c r="L33" i="20"/>
  <c r="C41" i="20"/>
  <c r="C44" i="20"/>
  <c r="C43" i="20"/>
  <c r="C40" i="20"/>
  <c r="C45" i="20"/>
  <c r="L43" i="20"/>
  <c r="L40" i="20"/>
  <c r="G163" i="35" a="1"/>
  <c r="G163" i="35" s="1"/>
  <c r="G472" i="18" a="1"/>
  <c r="G472" i="18" s="1"/>
  <c r="G167" i="35" a="1"/>
  <c r="G167" i="35" s="1"/>
  <c r="G431" i="18" a="1"/>
  <c r="G431" i="18" s="1"/>
  <c r="G125" i="35" a="1"/>
  <c r="G125" i="35" s="1"/>
  <c r="E36" i="22"/>
  <c r="P9" i="9"/>
  <c r="E39" i="22"/>
  <c r="Q7" i="9"/>
  <c r="I346" i="18"/>
  <c r="H346" i="18"/>
  <c r="H56" i="37"/>
  <c r="H92" i="37"/>
  <c r="G162" i="35" a="1"/>
  <c r="G162" i="35" s="1"/>
  <c r="G468" i="18" a="1"/>
  <c r="G468" i="18" s="1"/>
  <c r="G426" i="18" a="1"/>
  <c r="G426" i="18" s="1"/>
  <c r="G427" i="18" a="1"/>
  <c r="G427" i="18" s="1"/>
  <c r="D66" i="72" a="1"/>
  <c r="D66" i="72" s="1"/>
  <c r="I140" i="37"/>
  <c r="I134" i="37"/>
  <c r="I138" i="37"/>
  <c r="I136" i="37"/>
  <c r="I139" i="37"/>
  <c r="I133" i="37"/>
  <c r="I137" i="37"/>
  <c r="I135" i="37"/>
  <c r="E17" i="22"/>
  <c r="M5" i="9"/>
  <c r="E31" i="22"/>
  <c r="O9" i="9"/>
  <c r="H84" i="37"/>
  <c r="N47" i="20"/>
  <c r="G159" i="35" a="1"/>
  <c r="G159" i="35" s="1"/>
  <c r="D220" i="72" a="1"/>
  <c r="D220" i="72" s="1"/>
  <c r="F219" i="72"/>
  <c r="F157" i="72"/>
  <c r="D159" i="72" a="1"/>
  <c r="D159" i="72" s="1"/>
  <c r="G124" i="35" a="1"/>
  <c r="G124" i="35" s="1"/>
  <c r="G429" i="18" a="1"/>
  <c r="G429" i="18" s="1"/>
  <c r="H392" i="18"/>
  <c r="I139" i="58"/>
  <c r="I136" i="58"/>
  <c r="I137" i="58"/>
  <c r="I140" i="58"/>
  <c r="I135" i="58"/>
  <c r="I138" i="58"/>
  <c r="I134" i="58"/>
  <c r="I133" i="58"/>
  <c r="E34" i="22"/>
  <c r="P7" i="9"/>
  <c r="E8" i="22"/>
  <c r="K6" i="9"/>
  <c r="K10" i="9" s="1"/>
  <c r="K30" i="9"/>
  <c r="M19" i="20"/>
  <c r="M8" i="20"/>
  <c r="D8" i="20"/>
  <c r="J26" i="9"/>
  <c r="D19" i="20"/>
  <c r="M6" i="20"/>
  <c r="D14" i="20"/>
  <c r="M17" i="20"/>
  <c r="D17" i="20"/>
  <c r="D6" i="20"/>
  <c r="M15" i="20"/>
  <c r="D12" i="20"/>
  <c r="M13" i="20"/>
  <c r="D15" i="20"/>
  <c r="M12" i="20"/>
  <c r="M10" i="20"/>
  <c r="M18" i="20"/>
  <c r="M7" i="20"/>
  <c r="M11" i="20"/>
  <c r="M16" i="20"/>
  <c r="D10" i="20"/>
  <c r="D18" i="20"/>
  <c r="D7" i="20"/>
  <c r="M14" i="20"/>
  <c r="D11" i="20"/>
  <c r="D9" i="20"/>
  <c r="D13" i="20"/>
  <c r="M9" i="20"/>
  <c r="D16" i="20"/>
  <c r="I351" i="18"/>
  <c r="H351" i="18"/>
  <c r="I338" i="18"/>
  <c r="H338" i="18"/>
  <c r="H68" i="37"/>
  <c r="P15" i="39"/>
  <c r="Q15" i="39" s="1"/>
  <c r="O15" i="39"/>
  <c r="G166" i="35" a="1"/>
  <c r="G166" i="35" s="1"/>
  <c r="G477" i="18" a="1"/>
  <c r="G477" i="18" s="1"/>
  <c r="H11" i="58"/>
  <c r="H11" i="41" s="1"/>
  <c r="H12" i="58"/>
  <c r="H12" i="41" s="1"/>
  <c r="H14" i="58"/>
  <c r="H13" i="58"/>
  <c r="G434" i="18" a="1"/>
  <c r="G434" i="18" s="1"/>
  <c r="G424" i="18" a="1"/>
  <c r="G424" i="18" s="1"/>
  <c r="G474" i="18" a="1"/>
  <c r="G474" i="18" s="1"/>
  <c r="D4" i="72" a="1"/>
  <c r="D4" i="72" s="1"/>
  <c r="I126" i="58"/>
  <c r="I127" i="58"/>
  <c r="I130" i="58"/>
  <c r="I131" i="58"/>
  <c r="I129" i="58"/>
  <c r="I132" i="58"/>
  <c r="I128" i="58"/>
  <c r="I125" i="58"/>
  <c r="E32" i="22"/>
  <c r="P5" i="9"/>
  <c r="E22" i="22"/>
  <c r="N5" i="9"/>
  <c r="H24" i="37"/>
  <c r="K42" i="39"/>
  <c r="C6" i="39"/>
  <c r="D6" i="39" s="1"/>
  <c r="C42" i="39"/>
  <c r="G466" i="18" a="1"/>
  <c r="G466" i="18" s="1"/>
  <c r="G157" i="35" a="1"/>
  <c r="G157" i="35" s="1"/>
  <c r="G433" i="18" a="1"/>
  <c r="G433" i="18" s="1"/>
  <c r="G121" i="35" a="1"/>
  <c r="G121" i="35" s="1"/>
  <c r="I129" i="37"/>
  <c r="I130" i="37"/>
  <c r="I128" i="37"/>
  <c r="I125" i="37"/>
  <c r="I132" i="37"/>
  <c r="I131" i="37"/>
  <c r="I126" i="37"/>
  <c r="I127" i="37"/>
  <c r="E41" i="22"/>
  <c r="Q9" i="9"/>
  <c r="E27" i="22"/>
  <c r="I383" i="18"/>
  <c r="H383" i="18"/>
  <c r="H16" i="37"/>
  <c r="I432" i="18"/>
  <c r="H432" i="18"/>
  <c r="G170" i="35" a="1"/>
  <c r="G170" i="35" s="1"/>
  <c r="G465" i="18" a="1"/>
  <c r="G465" i="18" s="1"/>
  <c r="H60" i="37"/>
  <c r="G116" i="35" a="1"/>
  <c r="G116" i="35" s="1"/>
  <c r="E47" i="20"/>
  <c r="H40" i="37"/>
  <c r="I14" i="37"/>
  <c r="I11" i="37"/>
  <c r="I13" i="37"/>
  <c r="I12" i="37"/>
  <c r="I103" i="37"/>
  <c r="I103" i="41" s="1"/>
  <c r="I104" i="37"/>
  <c r="I106" i="37"/>
  <c r="I102" i="37"/>
  <c r="I107" i="37"/>
  <c r="I105" i="37"/>
  <c r="I108" i="37"/>
  <c r="E24" i="22"/>
  <c r="N7" i="9"/>
  <c r="E26" i="22"/>
  <c r="N9" i="9"/>
  <c r="G470" i="18" a="1"/>
  <c r="G470" i="18" s="1"/>
  <c r="H80" i="37"/>
  <c r="I425" i="18"/>
  <c r="H425" i="18"/>
  <c r="H32" i="37"/>
  <c r="H393" i="18"/>
  <c r="I393" i="18"/>
  <c r="D190" i="72" a="1"/>
  <c r="D190" i="72" s="1"/>
  <c r="D191" i="72" s="1" a="1"/>
  <c r="D191" i="72" s="1"/>
  <c r="A32" i="53"/>
  <c r="P5" i="18"/>
  <c r="Y3" i="20"/>
  <c r="P14" i="18"/>
  <c r="Y6" i="20"/>
  <c r="I110" i="41"/>
  <c r="D40" i="39"/>
  <c r="E104" i="38" s="1"/>
  <c r="I476" i="37"/>
  <c r="G76" i="66"/>
  <c r="Q12" i="39"/>
  <c r="I172" i="35"/>
  <c r="I174" i="35"/>
  <c r="I171" i="35"/>
  <c r="I173" i="35"/>
  <c r="H24" i="20"/>
  <c r="E24" i="20"/>
  <c r="H51" i="20"/>
  <c r="C264" i="38"/>
  <c r="L40" i="39"/>
  <c r="E155" i="38" s="1"/>
  <c r="I476" i="58"/>
  <c r="E375" i="38" s="1"/>
  <c r="G220" i="66"/>
  <c r="I118" i="41"/>
  <c r="A36" i="53"/>
  <c r="D30" i="53"/>
  <c r="E30" i="53"/>
  <c r="C10" i="63"/>
  <c r="H459" i="41"/>
  <c r="P7" i="18"/>
  <c r="Y5" i="20"/>
  <c r="D49" i="26"/>
  <c r="I185" i="35"/>
  <c r="C348" i="38"/>
  <c r="H458" i="41"/>
  <c r="G18" i="66"/>
  <c r="Y8" i="20"/>
  <c r="P16" i="18"/>
  <c r="D22" i="53"/>
  <c r="C333" i="38"/>
  <c r="G9" i="66"/>
  <c r="C44" i="39"/>
  <c r="E93" i="38" s="1"/>
  <c r="I179" i="35"/>
  <c r="I181" i="35"/>
  <c r="I180" i="35"/>
  <c r="I182" i="35"/>
  <c r="E26" i="20"/>
  <c r="H26" i="20"/>
  <c r="H53" i="20"/>
  <c r="G11" i="66"/>
  <c r="I422" i="18" l="1"/>
  <c r="H391" i="18"/>
  <c r="I386" i="18"/>
  <c r="H344" i="18"/>
  <c r="H345" i="18"/>
  <c r="I102" i="41"/>
  <c r="I381" i="18"/>
  <c r="I387" i="18"/>
  <c r="H341" i="18"/>
  <c r="J341" i="18" s="1"/>
  <c r="I342" i="18"/>
  <c r="H388" i="18"/>
  <c r="J388" i="18" s="1"/>
  <c r="H339" i="18"/>
  <c r="C40" i="63"/>
  <c r="I349" i="18"/>
  <c r="H390" i="18"/>
  <c r="I122" i="41"/>
  <c r="H340" i="18"/>
  <c r="H350" i="18"/>
  <c r="I343" i="18"/>
  <c r="V7" i="9"/>
  <c r="I107" i="41"/>
  <c r="I121" i="41"/>
  <c r="I120" i="41"/>
  <c r="I105" i="41"/>
  <c r="I104" i="41"/>
  <c r="M114" i="58"/>
  <c r="I111" i="41"/>
  <c r="I123" i="41"/>
  <c r="I115" i="41"/>
  <c r="J122" i="37"/>
  <c r="J123" i="37"/>
  <c r="J119" i="37"/>
  <c r="J121" i="37"/>
  <c r="J120" i="37"/>
  <c r="J117" i="37"/>
  <c r="J124" i="37"/>
  <c r="J118" i="37"/>
  <c r="J111" i="37"/>
  <c r="J112" i="37"/>
  <c r="J116" i="37"/>
  <c r="J113" i="37"/>
  <c r="J109" i="37"/>
  <c r="J114" i="37"/>
  <c r="J115" i="37"/>
  <c r="J110" i="37"/>
  <c r="J123" i="58"/>
  <c r="J119" i="58"/>
  <c r="J117" i="58"/>
  <c r="J120" i="58"/>
  <c r="J122" i="58"/>
  <c r="J121" i="58"/>
  <c r="J124" i="58"/>
  <c r="J118" i="58"/>
  <c r="H389" i="18"/>
  <c r="J389" i="18" s="1"/>
  <c r="I124" i="41"/>
  <c r="I436" i="58"/>
  <c r="I437" i="58"/>
  <c r="I435" i="58"/>
  <c r="I434" i="58"/>
  <c r="G225" i="66" s="1"/>
  <c r="I116" i="41"/>
  <c r="I380" i="18"/>
  <c r="I114" i="41"/>
  <c r="I429" i="58"/>
  <c r="G221" i="66" s="1"/>
  <c r="G230" i="66"/>
  <c r="I428" i="58"/>
  <c r="I427" i="58"/>
  <c r="G237" i="66" s="1"/>
  <c r="I426" i="58"/>
  <c r="G223" i="66" s="1"/>
  <c r="I427" i="37"/>
  <c r="D42" i="39" s="1"/>
  <c r="E106" i="38" s="1"/>
  <c r="I428" i="37"/>
  <c r="I429" i="37"/>
  <c r="G86" i="66"/>
  <c r="I112" i="41"/>
  <c r="I426" i="37"/>
  <c r="E52" i="20"/>
  <c r="P27" i="18" s="1"/>
  <c r="P36" i="18"/>
  <c r="I117" i="41"/>
  <c r="I113" i="41"/>
  <c r="P18" i="18"/>
  <c r="Z7" i="20"/>
  <c r="P9" i="18"/>
  <c r="I434" i="37"/>
  <c r="I436" i="37"/>
  <c r="I435" i="37"/>
  <c r="I437" i="37"/>
  <c r="I109" i="41"/>
  <c r="J113" i="58"/>
  <c r="J116" i="58"/>
  <c r="J114" i="58"/>
  <c r="J109" i="58"/>
  <c r="J115" i="58"/>
  <c r="J112" i="58"/>
  <c r="J111" i="58"/>
  <c r="J110" i="58"/>
  <c r="I119" i="41"/>
  <c r="I106" i="41"/>
  <c r="G222" i="18" a="1"/>
  <c r="G222" i="18" s="1"/>
  <c r="H222" i="18" s="1"/>
  <c r="H476" i="18"/>
  <c r="J476" i="18" s="1"/>
  <c r="I382" i="18"/>
  <c r="H382" i="18"/>
  <c r="D133" i="72" a="1"/>
  <c r="D133" i="72" s="1"/>
  <c r="D134" i="72" s="1" a="1"/>
  <c r="D134" i="72" s="1"/>
  <c r="D135" i="72" s="1" a="1"/>
  <c r="D135" i="72" s="1"/>
  <c r="E249" i="38"/>
  <c r="I441" i="58" s="1"/>
  <c r="I132" i="41"/>
  <c r="F30" i="53"/>
  <c r="I131" i="41"/>
  <c r="I130" i="41"/>
  <c r="I129" i="41"/>
  <c r="G196" i="66"/>
  <c r="I136" i="41"/>
  <c r="I134" i="41"/>
  <c r="H441" i="58"/>
  <c r="D23" i="53"/>
  <c r="J95" i="37"/>
  <c r="J97" i="37"/>
  <c r="J99" i="37"/>
  <c r="J98" i="37"/>
  <c r="J100" i="37"/>
  <c r="J96" i="37"/>
  <c r="J101" i="37"/>
  <c r="H451" i="37"/>
  <c r="H59" i="37"/>
  <c r="H454" i="58"/>
  <c r="D24" i="53"/>
  <c r="F24" i="53" s="1"/>
  <c r="I439" i="58"/>
  <c r="I438" i="58"/>
  <c r="G205" i="66" s="1"/>
  <c r="F388" i="18"/>
  <c r="J6" i="9"/>
  <c r="E3" i="22"/>
  <c r="M26" i="9" a="1"/>
  <c r="M26" i="9" s="1"/>
  <c r="P26" i="9" a="1"/>
  <c r="P26" i="9" s="1"/>
  <c r="L8" i="20"/>
  <c r="J30" i="9"/>
  <c r="C8" i="20"/>
  <c r="L14" i="20"/>
  <c r="C13" i="20"/>
  <c r="C14" i="20"/>
  <c r="C12" i="20"/>
  <c r="C9" i="20"/>
  <c r="L18" i="20"/>
  <c r="L12" i="20"/>
  <c r="L9" i="20"/>
  <c r="C18" i="20"/>
  <c r="C15" i="20"/>
  <c r="C17" i="20"/>
  <c r="L6" i="20"/>
  <c r="L15" i="20"/>
  <c r="C19" i="20"/>
  <c r="L17" i="20"/>
  <c r="C6" i="20"/>
  <c r="L19" i="20"/>
  <c r="C16" i="20"/>
  <c r="C11" i="20"/>
  <c r="L10" i="20"/>
  <c r="L16" i="20"/>
  <c r="L11" i="20"/>
  <c r="C10" i="20"/>
  <c r="C7" i="20"/>
  <c r="L7" i="20"/>
  <c r="L13" i="20"/>
  <c r="I138" i="41"/>
  <c r="I468" i="18"/>
  <c r="H468" i="18"/>
  <c r="I431" i="18"/>
  <c r="H431" i="18"/>
  <c r="G257" i="18" a="1"/>
  <c r="G257" i="18" s="1"/>
  <c r="G262" i="18" a="1"/>
  <c r="G262" i="18" s="1"/>
  <c r="G260" i="18" a="1"/>
  <c r="G260" i="18" s="1"/>
  <c r="G265" i="18" a="1"/>
  <c r="G265" i="18" s="1"/>
  <c r="G87" i="35" a="1"/>
  <c r="G87" i="35" s="1"/>
  <c r="G94" i="35" a="1"/>
  <c r="G94" i="35" s="1"/>
  <c r="G255" i="18" a="1"/>
  <c r="G255" i="18" s="1"/>
  <c r="G100" i="35" a="1"/>
  <c r="G100" i="35" s="1"/>
  <c r="G90" i="35" a="1"/>
  <c r="G90" i="35" s="1"/>
  <c r="G264" i="18" a="1"/>
  <c r="G264" i="18" s="1"/>
  <c r="G88" i="35" a="1"/>
  <c r="G88" i="35" s="1"/>
  <c r="G254" i="18" a="1"/>
  <c r="G254" i="18" s="1"/>
  <c r="G99" i="35" a="1"/>
  <c r="G99" i="35" s="1"/>
  <c r="G261" i="18" a="1"/>
  <c r="G261" i="18" s="1"/>
  <c r="G256" i="18" a="1"/>
  <c r="G256" i="18" s="1"/>
  <c r="G92" i="35" a="1"/>
  <c r="G92" i="35" s="1"/>
  <c r="G263" i="18" a="1"/>
  <c r="G263" i="18" s="1"/>
  <c r="G96" i="35" a="1"/>
  <c r="G96" i="35" s="1"/>
  <c r="G266" i="18" a="1"/>
  <c r="G266" i="18" s="1"/>
  <c r="G91" i="35" a="1"/>
  <c r="G91" i="35" s="1"/>
  <c r="G93" i="35" a="1"/>
  <c r="G93" i="35" s="1"/>
  <c r="G89" i="35" a="1"/>
  <c r="G89" i="35" s="1"/>
  <c r="G95" i="35" a="1"/>
  <c r="G95" i="35" s="1"/>
  <c r="G98" i="35" a="1"/>
  <c r="G98" i="35" s="1"/>
  <c r="G259" i="18" a="1"/>
  <c r="G259" i="18" s="1"/>
  <c r="G258" i="18" a="1"/>
  <c r="G258" i="18" s="1"/>
  <c r="C47" i="20"/>
  <c r="G97" i="35" a="1"/>
  <c r="G97" i="35" s="1"/>
  <c r="G267" i="18" a="1"/>
  <c r="G267" i="18" s="1"/>
  <c r="E78" i="22"/>
  <c r="P40" i="9"/>
  <c r="J347" i="18"/>
  <c r="F347" i="18"/>
  <c r="H63" i="37"/>
  <c r="E258" i="38"/>
  <c r="E252" i="38"/>
  <c r="E256" i="38"/>
  <c r="E250" i="38"/>
  <c r="E260" i="38"/>
  <c r="E254" i="38"/>
  <c r="E262" i="38"/>
  <c r="E248" i="38"/>
  <c r="E261" i="38"/>
  <c r="E257" i="38"/>
  <c r="E253" i="38"/>
  <c r="E259" i="38"/>
  <c r="E255" i="38"/>
  <c r="E251" i="38"/>
  <c r="H430" i="18"/>
  <c r="I430" i="18"/>
  <c r="H51" i="37"/>
  <c r="D99" i="72" a="1"/>
  <c r="D99" i="72" s="1"/>
  <c r="H75" i="37"/>
  <c r="J135" i="58"/>
  <c r="J140" i="58"/>
  <c r="J137" i="58"/>
  <c r="J138" i="58"/>
  <c r="J136" i="58"/>
  <c r="J139" i="58"/>
  <c r="J134" i="58"/>
  <c r="J133" i="58"/>
  <c r="J108" i="58"/>
  <c r="J105" i="58"/>
  <c r="J106" i="58"/>
  <c r="J102" i="58"/>
  <c r="J104" i="58"/>
  <c r="J103" i="58"/>
  <c r="J107" i="58"/>
  <c r="F393" i="18"/>
  <c r="J393" i="18"/>
  <c r="H453" i="37"/>
  <c r="E89" i="38"/>
  <c r="J392" i="18"/>
  <c r="F392" i="18"/>
  <c r="H443" i="37"/>
  <c r="G224" i="18" a="1"/>
  <c r="G224" i="18" s="1"/>
  <c r="U7" i="9"/>
  <c r="I469" i="18"/>
  <c r="H469" i="18"/>
  <c r="A37" i="53"/>
  <c r="H451" i="58"/>
  <c r="J13" i="37"/>
  <c r="J11" i="37"/>
  <c r="J14" i="37"/>
  <c r="J12" i="37"/>
  <c r="J129" i="58"/>
  <c r="J131" i="58"/>
  <c r="J132" i="58"/>
  <c r="J130" i="58"/>
  <c r="J125" i="58"/>
  <c r="J126" i="58"/>
  <c r="J128" i="58"/>
  <c r="J127" i="58"/>
  <c r="D35" i="53"/>
  <c r="D10" i="53"/>
  <c r="J99" i="58"/>
  <c r="J100" i="58"/>
  <c r="J96" i="58"/>
  <c r="J98" i="58"/>
  <c r="J97" i="58"/>
  <c r="J101" i="58"/>
  <c r="J95" i="58"/>
  <c r="H43" i="37"/>
  <c r="I465" i="18"/>
  <c r="H465" i="18"/>
  <c r="H445" i="37"/>
  <c r="H444" i="58"/>
  <c r="H39" i="37"/>
  <c r="F386" i="18"/>
  <c r="J386" i="18"/>
  <c r="I140" i="41"/>
  <c r="L10" i="9"/>
  <c r="H71" i="37"/>
  <c r="G94" i="66"/>
  <c r="I475" i="37"/>
  <c r="I96" i="41"/>
  <c r="D12" i="39" s="1"/>
  <c r="D39" i="39"/>
  <c r="H14" i="41"/>
  <c r="I470" i="18"/>
  <c r="H470" i="18"/>
  <c r="H448" i="37"/>
  <c r="E140" i="38"/>
  <c r="H448" i="58"/>
  <c r="H441" i="37"/>
  <c r="F389" i="18"/>
  <c r="I472" i="18"/>
  <c r="H472" i="18"/>
  <c r="H19" i="37"/>
  <c r="E35" i="22"/>
  <c r="P8" i="9"/>
  <c r="H13" i="41"/>
  <c r="I475" i="18"/>
  <c r="H475" i="18"/>
  <c r="I95" i="41"/>
  <c r="I433" i="37"/>
  <c r="I430" i="37"/>
  <c r="I431" i="37"/>
  <c r="I432" i="37"/>
  <c r="J127" i="37"/>
  <c r="J130" i="37"/>
  <c r="J126" i="37"/>
  <c r="J129" i="37"/>
  <c r="J132" i="37"/>
  <c r="J128" i="37"/>
  <c r="J125" i="37"/>
  <c r="J131" i="37"/>
  <c r="D21" i="53"/>
  <c r="D11" i="53"/>
  <c r="H443" i="58"/>
  <c r="I127" i="41"/>
  <c r="J349" i="18"/>
  <c r="F349" i="18"/>
  <c r="I477" i="18"/>
  <c r="H477" i="18"/>
  <c r="G133" i="18" a="1"/>
  <c r="G133" i="18" s="1"/>
  <c r="H91" i="37"/>
  <c r="F344" i="18"/>
  <c r="J344" i="18"/>
  <c r="E63" i="22"/>
  <c r="M40" i="9"/>
  <c r="F384" i="18"/>
  <c r="J384" i="18"/>
  <c r="E20" i="22"/>
  <c r="M8" i="9"/>
  <c r="H467" i="41"/>
  <c r="I471" i="18"/>
  <c r="H471" i="18"/>
  <c r="C13" i="63"/>
  <c r="I101" i="41"/>
  <c r="F476" i="18"/>
  <c r="J134" i="37"/>
  <c r="J133" i="37"/>
  <c r="J135" i="37"/>
  <c r="J136" i="37"/>
  <c r="J139" i="37"/>
  <c r="J138" i="37"/>
  <c r="J137" i="37"/>
  <c r="J140" i="37"/>
  <c r="H453" i="58"/>
  <c r="J383" i="18"/>
  <c r="F383" i="18"/>
  <c r="I477" i="37"/>
  <c r="G60" i="66"/>
  <c r="I126" i="41"/>
  <c r="D41" i="39"/>
  <c r="E105" i="38" s="1"/>
  <c r="I433" i="18"/>
  <c r="H433" i="18"/>
  <c r="H67" i="37"/>
  <c r="D160" i="72" a="1"/>
  <c r="D160" i="72" s="1"/>
  <c r="U5" i="9"/>
  <c r="F390" i="18"/>
  <c r="J390" i="18"/>
  <c r="U9" i="9"/>
  <c r="H447" i="58"/>
  <c r="H450" i="37"/>
  <c r="I99" i="41"/>
  <c r="E216" i="38"/>
  <c r="E215" i="38"/>
  <c r="E207" i="38"/>
  <c r="E212" i="38"/>
  <c r="E213" i="38"/>
  <c r="E209" i="38"/>
  <c r="E206" i="38"/>
  <c r="E210" i="38"/>
  <c r="E211" i="38"/>
  <c r="E208" i="38"/>
  <c r="E203" i="38"/>
  <c r="E205" i="38"/>
  <c r="E204" i="38"/>
  <c r="E217" i="38"/>
  <c r="E214" i="38"/>
  <c r="D33" i="53"/>
  <c r="F425" i="18"/>
  <c r="J425" i="18"/>
  <c r="H83" i="37"/>
  <c r="H23" i="37"/>
  <c r="G93" i="18" a="1"/>
  <c r="G93" i="18" s="1"/>
  <c r="G86" i="18" a="1"/>
  <c r="G86" i="18" s="1"/>
  <c r="G96" i="18" a="1"/>
  <c r="G96" i="18" s="1"/>
  <c r="G88" i="18" a="1"/>
  <c r="G88" i="18" s="1"/>
  <c r="G98" i="18" a="1"/>
  <c r="G98" i="18" s="1"/>
  <c r="G94" i="18" a="1"/>
  <c r="G94" i="18" s="1"/>
  <c r="G87" i="18" a="1"/>
  <c r="G87" i="18" s="1"/>
  <c r="G99" i="18" a="1"/>
  <c r="G99" i="18" s="1"/>
  <c r="G19" i="35" a="1"/>
  <c r="G19" i="35" s="1"/>
  <c r="D20" i="20"/>
  <c r="G22" i="35" a="1"/>
  <c r="G22" i="35" s="1"/>
  <c r="G27" i="35" a="1"/>
  <c r="G27" i="35" s="1"/>
  <c r="G25" i="35" a="1"/>
  <c r="G25" i="35" s="1"/>
  <c r="G24" i="35" a="1"/>
  <c r="G24" i="35" s="1"/>
  <c r="G28" i="35" a="1"/>
  <c r="G28" i="35" s="1"/>
  <c r="G21" i="35" a="1"/>
  <c r="G21" i="35" s="1"/>
  <c r="G89" i="18" a="1"/>
  <c r="G89" i="18" s="1"/>
  <c r="G18" i="35" a="1"/>
  <c r="G18" i="35" s="1"/>
  <c r="G97" i="18" a="1"/>
  <c r="G97" i="18" s="1"/>
  <c r="G90" i="18" a="1"/>
  <c r="G90" i="18" s="1"/>
  <c r="G29" i="35" a="1"/>
  <c r="G29" i="35" s="1"/>
  <c r="G26" i="35" a="1"/>
  <c r="G26" i="35" s="1"/>
  <c r="G23" i="35" a="1"/>
  <c r="G23" i="35" s="1"/>
  <c r="G92" i="18" a="1"/>
  <c r="G92" i="18" s="1"/>
  <c r="G20" i="35" a="1"/>
  <c r="G20" i="35" s="1"/>
  <c r="G91" i="18" a="1"/>
  <c r="G91" i="18" s="1"/>
  <c r="G17" i="35" a="1"/>
  <c r="G17" i="35" s="1"/>
  <c r="G30" i="35" a="1"/>
  <c r="G30" i="35" s="1"/>
  <c r="H27" i="37"/>
  <c r="G306" i="18" a="1"/>
  <c r="G306" i="18" s="1"/>
  <c r="G299" i="18" a="1"/>
  <c r="G299" i="18" s="1"/>
  <c r="G307" i="18" a="1"/>
  <c r="G307" i="18" s="1"/>
  <c r="G130" i="35" a="1"/>
  <c r="G130" i="35" s="1"/>
  <c r="G140" i="35" a="1"/>
  <c r="G140" i="35" s="1"/>
  <c r="G298" i="18" a="1"/>
  <c r="G298" i="18" s="1"/>
  <c r="G136" i="35" a="1"/>
  <c r="G136" i="35" s="1"/>
  <c r="G303" i="18" a="1"/>
  <c r="G303" i="18" s="1"/>
  <c r="G132" i="35" a="1"/>
  <c r="G132" i="35" s="1"/>
  <c r="L47" i="20"/>
  <c r="G142" i="35" a="1"/>
  <c r="G142" i="35" s="1"/>
  <c r="G296" i="18" a="1"/>
  <c r="G296" i="18" s="1"/>
  <c r="G139" i="35" a="1"/>
  <c r="G139" i="35" s="1"/>
  <c r="G138" i="35" a="1"/>
  <c r="G138" i="35" s="1"/>
  <c r="G297" i="18" a="1"/>
  <c r="G297" i="18" s="1"/>
  <c r="G300" i="18" a="1"/>
  <c r="G300" i="18" s="1"/>
  <c r="G308" i="18" a="1"/>
  <c r="G308" i="18" s="1"/>
  <c r="G131" i="35" a="1"/>
  <c r="G131" i="35" s="1"/>
  <c r="G129" i="35" a="1"/>
  <c r="G129" i="35" s="1"/>
  <c r="G309" i="18" a="1"/>
  <c r="G309" i="18" s="1"/>
  <c r="G305" i="18" a="1"/>
  <c r="G305" i="18" s="1"/>
  <c r="G133" i="35" a="1"/>
  <c r="G133" i="35" s="1"/>
  <c r="G135" i="35" a="1"/>
  <c r="G135" i="35" s="1"/>
  <c r="G137" i="35" a="1"/>
  <c r="G137" i="35" s="1"/>
  <c r="G301" i="18" a="1"/>
  <c r="G301" i="18" s="1"/>
  <c r="G134" i="35" a="1"/>
  <c r="G134" i="35" s="1"/>
  <c r="G141" i="35" a="1"/>
  <c r="G141" i="35" s="1"/>
  <c r="G302" i="18" a="1"/>
  <c r="G302" i="18" s="1"/>
  <c r="G304" i="18" a="1"/>
  <c r="G304" i="18" s="1"/>
  <c r="G219" i="18" a="1"/>
  <c r="G219" i="18" s="1"/>
  <c r="G221" i="18" a="1"/>
  <c r="G221" i="18" s="1"/>
  <c r="G223" i="18" a="1"/>
  <c r="G223" i="18" s="1"/>
  <c r="N20" i="20"/>
  <c r="G84" i="35" a="1"/>
  <c r="G84" i="35" s="1"/>
  <c r="G75" i="35" a="1"/>
  <c r="G75" i="35" s="1"/>
  <c r="G77" i="35" a="1"/>
  <c r="G77" i="35" s="1"/>
  <c r="G220" i="18" a="1"/>
  <c r="G220" i="18" s="1"/>
  <c r="G225" i="18" a="1"/>
  <c r="G225" i="18" s="1"/>
  <c r="G80" i="35" a="1"/>
  <c r="G80" i="35" s="1"/>
  <c r="G85" i="35" a="1"/>
  <c r="G85" i="35" s="1"/>
  <c r="G218" i="18" a="1"/>
  <c r="G218" i="18" s="1"/>
  <c r="G76" i="35" a="1"/>
  <c r="G76" i="35" s="1"/>
  <c r="G81" i="35" a="1"/>
  <c r="G81" i="35" s="1"/>
  <c r="G79" i="35" a="1"/>
  <c r="G79" i="35" s="1"/>
  <c r="G213" i="18" a="1"/>
  <c r="G213" i="18" s="1"/>
  <c r="G86" i="35" a="1"/>
  <c r="G86" i="35" s="1"/>
  <c r="G82" i="35" a="1"/>
  <c r="G82" i="35" s="1"/>
  <c r="G215" i="18" a="1"/>
  <c r="G215" i="18" s="1"/>
  <c r="G78" i="35" a="1"/>
  <c r="G78" i="35" s="1"/>
  <c r="G214" i="18" a="1"/>
  <c r="G214" i="18" s="1"/>
  <c r="G217" i="18" a="1"/>
  <c r="G217" i="18" s="1"/>
  <c r="G74" i="35" a="1"/>
  <c r="G74" i="35" s="1"/>
  <c r="G212" i="18" a="1"/>
  <c r="G212" i="18" s="1"/>
  <c r="G83" i="35" a="1"/>
  <c r="G83" i="35" s="1"/>
  <c r="G216" i="18" a="1"/>
  <c r="G216" i="18" s="1"/>
  <c r="G73" i="35" a="1"/>
  <c r="G73" i="35" s="1"/>
  <c r="D67" i="72" a="1"/>
  <c r="D67" i="72" s="1"/>
  <c r="F343" i="18"/>
  <c r="J343" i="18"/>
  <c r="H440" i="37"/>
  <c r="H446" i="58"/>
  <c r="I435" i="18"/>
  <c r="H435" i="18"/>
  <c r="D5" i="72" a="1"/>
  <c r="D5" i="72" s="1"/>
  <c r="H87" i="37"/>
  <c r="I98" i="41"/>
  <c r="H452" i="37"/>
  <c r="J432" i="18"/>
  <c r="F432" i="18"/>
  <c r="I466" i="18"/>
  <c r="H466" i="18"/>
  <c r="I477" i="58"/>
  <c r="E376" i="38" s="1"/>
  <c r="G204" i="66"/>
  <c r="L41" i="39"/>
  <c r="E156" i="38" s="1"/>
  <c r="D221" i="72" a="1"/>
  <c r="D221" i="72" s="1"/>
  <c r="D222" i="72" s="1" a="1"/>
  <c r="D222" i="72" s="1"/>
  <c r="I135" i="41"/>
  <c r="V9" i="9"/>
  <c r="H35" i="37"/>
  <c r="I464" i="18"/>
  <c r="H464" i="18"/>
  <c r="F380" i="18"/>
  <c r="J380" i="18"/>
  <c r="C43" i="63"/>
  <c r="H449" i="58"/>
  <c r="D192" i="72" a="1"/>
  <c r="D192" i="72" s="1"/>
  <c r="I428" i="18"/>
  <c r="H428" i="18"/>
  <c r="F350" i="18"/>
  <c r="J350" i="18"/>
  <c r="I100" i="41"/>
  <c r="F422" i="18"/>
  <c r="J422" i="18"/>
  <c r="E389" i="38"/>
  <c r="I439" i="37"/>
  <c r="I438" i="37"/>
  <c r="I125" i="41"/>
  <c r="J338" i="18"/>
  <c r="F338" i="18"/>
  <c r="I137" i="41"/>
  <c r="H440" i="58"/>
  <c r="F385" i="18"/>
  <c r="J385" i="18"/>
  <c r="F345" i="18"/>
  <c r="J345" i="18"/>
  <c r="I478" i="58"/>
  <c r="E377" i="38" s="1"/>
  <c r="G202" i="66"/>
  <c r="L43" i="39"/>
  <c r="E160" i="38" s="1"/>
  <c r="G58" i="66"/>
  <c r="I478" i="37"/>
  <c r="I97" i="41"/>
  <c r="D43" i="39"/>
  <c r="E109" i="38" s="1"/>
  <c r="F467" i="18"/>
  <c r="J467" i="18"/>
  <c r="D13" i="39"/>
  <c r="H79" i="37"/>
  <c r="G52" i="66"/>
  <c r="I128" i="41"/>
  <c r="H424" i="18"/>
  <c r="I424" i="18"/>
  <c r="H454" i="37"/>
  <c r="G95" i="18" a="1"/>
  <c r="G95" i="18" s="1"/>
  <c r="I133" i="41"/>
  <c r="I427" i="18"/>
  <c r="H427" i="18"/>
  <c r="H55" i="37"/>
  <c r="G172" i="18" a="1"/>
  <c r="G172" i="18" s="1"/>
  <c r="I473" i="18"/>
  <c r="H473" i="18"/>
  <c r="F348" i="18"/>
  <c r="J348" i="18"/>
  <c r="H446" i="37"/>
  <c r="F340" i="18"/>
  <c r="J340" i="18"/>
  <c r="I431" i="58"/>
  <c r="I430" i="58"/>
  <c r="G239" i="66" s="1"/>
  <c r="I433" i="58"/>
  <c r="I432" i="58"/>
  <c r="H47" i="37"/>
  <c r="F342" i="18"/>
  <c r="J342" i="18"/>
  <c r="H31" i="37"/>
  <c r="H15" i="37"/>
  <c r="V5" i="9"/>
  <c r="I474" i="18"/>
  <c r="H474" i="18"/>
  <c r="H434" i="18"/>
  <c r="I434" i="18"/>
  <c r="H447" i="37"/>
  <c r="F351" i="18"/>
  <c r="J351" i="18"/>
  <c r="G134" i="18" a="1"/>
  <c r="G134" i="18" s="1"/>
  <c r="G129" i="18" a="1"/>
  <c r="G129" i="18" s="1"/>
  <c r="M20" i="20"/>
  <c r="G141" i="18" a="1"/>
  <c r="G141" i="18" s="1"/>
  <c r="G139" i="18" a="1"/>
  <c r="G139" i="18" s="1"/>
  <c r="G128" i="18" a="1"/>
  <c r="G128" i="18" s="1"/>
  <c r="G131" i="18" a="1"/>
  <c r="G131" i="18" s="1"/>
  <c r="G130" i="18" a="1"/>
  <c r="G130" i="18" s="1"/>
  <c r="G138" i="18" a="1"/>
  <c r="G138" i="18" s="1"/>
  <c r="G140" i="18" a="1"/>
  <c r="G140" i="18" s="1"/>
  <c r="G68" i="35" a="1"/>
  <c r="G68" i="35" s="1"/>
  <c r="G62" i="35" a="1"/>
  <c r="G62" i="35" s="1"/>
  <c r="G64" i="35" a="1"/>
  <c r="G64" i="35" s="1"/>
  <c r="G69" i="35" a="1"/>
  <c r="G69" i="35" s="1"/>
  <c r="G67" i="35" a="1"/>
  <c r="G67" i="35" s="1"/>
  <c r="G136" i="18" a="1"/>
  <c r="G136" i="18" s="1"/>
  <c r="G59" i="35" a="1"/>
  <c r="G59" i="35" s="1"/>
  <c r="G71" i="35" a="1"/>
  <c r="G71" i="35" s="1"/>
  <c r="G61" i="35" a="1"/>
  <c r="G61" i="35" s="1"/>
  <c r="G70" i="35" a="1"/>
  <c r="G70" i="35" s="1"/>
  <c r="G60" i="35" a="1"/>
  <c r="G60" i="35" s="1"/>
  <c r="G66" i="35" a="1"/>
  <c r="G66" i="35" s="1"/>
  <c r="G72" i="35" a="1"/>
  <c r="G72" i="35" s="1"/>
  <c r="G137" i="18" a="1"/>
  <c r="G137" i="18" s="1"/>
  <c r="G132" i="18" a="1"/>
  <c r="G132" i="18" s="1"/>
  <c r="G63" i="35" a="1"/>
  <c r="G63" i="35" s="1"/>
  <c r="G65" i="35" a="1"/>
  <c r="G65" i="35" s="1"/>
  <c r="G135" i="18" a="1"/>
  <c r="G135" i="18" s="1"/>
  <c r="I139" i="41"/>
  <c r="H426" i="18"/>
  <c r="I426" i="18"/>
  <c r="F387" i="18"/>
  <c r="J387" i="18"/>
  <c r="F381" i="18"/>
  <c r="J381" i="18"/>
  <c r="H452" i="58"/>
  <c r="I11" i="58"/>
  <c r="I11" i="41" s="1"/>
  <c r="I13" i="58"/>
  <c r="I12" i="58"/>
  <c r="I12" i="41" s="1"/>
  <c r="I14" i="58"/>
  <c r="I14" i="41" s="1"/>
  <c r="I475" i="58"/>
  <c r="E374" i="38" s="1"/>
  <c r="G238" i="66"/>
  <c r="L39" i="39"/>
  <c r="I108" i="41"/>
  <c r="J102" i="37"/>
  <c r="J108" i="37"/>
  <c r="J103" i="37"/>
  <c r="J103" i="41" s="1"/>
  <c r="J104" i="37"/>
  <c r="J107" i="37"/>
  <c r="J106" i="37"/>
  <c r="J105" i="37"/>
  <c r="D193" i="72" a="1"/>
  <c r="D193" i="72" s="1"/>
  <c r="H442" i="37"/>
  <c r="H449" i="37"/>
  <c r="F339" i="18"/>
  <c r="J339" i="18"/>
  <c r="D12" i="53"/>
  <c r="F12" i="53" s="1"/>
  <c r="F391" i="18"/>
  <c r="J391" i="18"/>
  <c r="I429" i="18"/>
  <c r="H429" i="18"/>
  <c r="H444" i="37"/>
  <c r="J346" i="18"/>
  <c r="F346" i="18"/>
  <c r="G183" i="18" a="1"/>
  <c r="G183" i="18" s="1"/>
  <c r="G182" i="18" a="1"/>
  <c r="G182" i="18" s="1"/>
  <c r="G181" i="18" a="1"/>
  <c r="G181" i="18" s="1"/>
  <c r="G40" i="35" a="1"/>
  <c r="G40" i="35" s="1"/>
  <c r="G170" i="18" a="1"/>
  <c r="G170" i="18" s="1"/>
  <c r="G179" i="18" a="1"/>
  <c r="G179" i="18" s="1"/>
  <c r="G35" i="35" a="1"/>
  <c r="G35" i="35" s="1"/>
  <c r="G176" i="18" a="1"/>
  <c r="G176" i="18" s="1"/>
  <c r="G43" i="35" a="1"/>
  <c r="G43" i="35" s="1"/>
  <c r="E20" i="20"/>
  <c r="G39" i="35" a="1"/>
  <c r="G39" i="35" s="1"/>
  <c r="G174" i="18" a="1"/>
  <c r="G174" i="18" s="1"/>
  <c r="G180" i="18" a="1"/>
  <c r="G180" i="18" s="1"/>
  <c r="G171" i="18" a="1"/>
  <c r="G171" i="18" s="1"/>
  <c r="G41" i="35" a="1"/>
  <c r="G41" i="35" s="1"/>
  <c r="G36" i="35" a="1"/>
  <c r="G36" i="35" s="1"/>
  <c r="G33" i="35" a="1"/>
  <c r="G33" i="35" s="1"/>
  <c r="G42" i="35" a="1"/>
  <c r="G42" i="35" s="1"/>
  <c r="G37" i="35" a="1"/>
  <c r="G37" i="35" s="1"/>
  <c r="G173" i="18" a="1"/>
  <c r="G173" i="18" s="1"/>
  <c r="G178" i="18" a="1"/>
  <c r="G178" i="18" s="1"/>
  <c r="G32" i="35" a="1"/>
  <c r="G32" i="35" s="1"/>
  <c r="G38" i="35" a="1"/>
  <c r="G38" i="35" s="1"/>
  <c r="G44" i="35" a="1"/>
  <c r="G44" i="35" s="1"/>
  <c r="G175" i="18" a="1"/>
  <c r="G175" i="18" s="1"/>
  <c r="G34" i="35" a="1"/>
  <c r="G34" i="35" s="1"/>
  <c r="G31" i="35" a="1"/>
  <c r="G31" i="35" s="1"/>
  <c r="G177" i="18" a="1"/>
  <c r="G177" i="18" s="1"/>
  <c r="H450" i="58"/>
  <c r="G49" i="26"/>
  <c r="J49" i="26" s="1"/>
  <c r="I206" i="35"/>
  <c r="F341" i="18"/>
  <c r="I423" i="18"/>
  <c r="H423" i="18"/>
  <c r="H442" i="58"/>
  <c r="H445" i="58"/>
  <c r="D36" i="72" a="1"/>
  <c r="D36" i="72" s="1"/>
  <c r="D37" i="72" s="1" a="1"/>
  <c r="D37" i="72" s="1"/>
  <c r="D283" i="72" a="1"/>
  <c r="D283" i="72" s="1"/>
  <c r="I476" i="41"/>
  <c r="E357" i="38"/>
  <c r="P8" i="18"/>
  <c r="I461" i="37"/>
  <c r="I460" i="37"/>
  <c r="I451" i="41"/>
  <c r="P17" i="18"/>
  <c r="Z6" i="20"/>
  <c r="P35" i="18"/>
  <c r="E51" i="20"/>
  <c r="P26" i="18" s="1"/>
  <c r="H471" i="37"/>
  <c r="E36" i="53"/>
  <c r="D36" i="53"/>
  <c r="L31" i="66"/>
  <c r="C345" i="38"/>
  <c r="H20" i="66" s="1"/>
  <c r="D34" i="53"/>
  <c r="I461" i="58"/>
  <c r="I460" i="58"/>
  <c r="J120" i="66"/>
  <c r="P37" i="18"/>
  <c r="E53" i="20"/>
  <c r="P28" i="18" s="1"/>
  <c r="J273" i="66"/>
  <c r="P19" i="18"/>
  <c r="Z8" i="20"/>
  <c r="I452" i="41"/>
  <c r="H225" i="66"/>
  <c r="M197" i="66"/>
  <c r="D9" i="53"/>
  <c r="M4" i="66"/>
  <c r="P10" i="18"/>
  <c r="M115" i="66"/>
  <c r="G76" i="74"/>
  <c r="J156" i="66"/>
  <c r="D259" i="72" a="1"/>
  <c r="D259" i="72" s="1"/>
  <c r="D260" i="72" s="1" a="1"/>
  <c r="D260" i="72" s="1"/>
  <c r="J133" i="41" l="1"/>
  <c r="M56" i="66"/>
  <c r="K99" i="66"/>
  <c r="J146" i="66"/>
  <c r="J130" i="41"/>
  <c r="J111" i="41"/>
  <c r="K37" i="66"/>
  <c r="N256" i="66"/>
  <c r="L42" i="39"/>
  <c r="E157" i="38" s="1"/>
  <c r="J138" i="41"/>
  <c r="J139" i="41"/>
  <c r="J115" i="41"/>
  <c r="G236" i="66"/>
  <c r="I436" i="41"/>
  <c r="I435" i="41"/>
  <c r="G52" i="74"/>
  <c r="H453" i="41"/>
  <c r="M230" i="66"/>
  <c r="N133" i="66"/>
  <c r="H23" i="66"/>
  <c r="K114" i="66"/>
  <c r="X114" i="66" s="1"/>
  <c r="N161" i="66"/>
  <c r="N110" i="66"/>
  <c r="M76" i="66"/>
  <c r="I461" i="41"/>
  <c r="H447" i="41"/>
  <c r="J137" i="41"/>
  <c r="H451" i="41"/>
  <c r="J123" i="41"/>
  <c r="J106" i="41"/>
  <c r="G235" i="66"/>
  <c r="I437" i="41"/>
  <c r="J120" i="41"/>
  <c r="J119" i="41"/>
  <c r="J113" i="41"/>
  <c r="K176" i="66"/>
  <c r="T176" i="66" s="1"/>
  <c r="J122" i="41"/>
  <c r="J428" i="37"/>
  <c r="J427" i="37"/>
  <c r="J112" i="41"/>
  <c r="J429" i="37"/>
  <c r="J426" i="37"/>
  <c r="G134" i="66"/>
  <c r="I426" i="41"/>
  <c r="G79" i="66"/>
  <c r="G79" i="74" s="1"/>
  <c r="K4" i="66"/>
  <c r="Q4" i="66" s="1"/>
  <c r="W4" i="66" s="1"/>
  <c r="H36" i="53"/>
  <c r="M40" i="39"/>
  <c r="E172" i="38" s="1"/>
  <c r="K268" i="66" s="1"/>
  <c r="J476" i="58"/>
  <c r="E381" i="38" s="1"/>
  <c r="G268" i="66"/>
  <c r="G86" i="74"/>
  <c r="N5" i="41"/>
  <c r="G81" i="66"/>
  <c r="G81" i="74" s="1"/>
  <c r="I434" i="41"/>
  <c r="I429" i="41"/>
  <c r="G77" i="66"/>
  <c r="G77" i="74" s="1"/>
  <c r="J118" i="41"/>
  <c r="G278" i="66"/>
  <c r="J428" i="58"/>
  <c r="J427" i="58"/>
  <c r="J429" i="58"/>
  <c r="G269" i="66" s="1"/>
  <c r="J426" i="58"/>
  <c r="G271" i="66" s="1"/>
  <c r="Z4" i="20"/>
  <c r="I428" i="41"/>
  <c r="J124" i="41"/>
  <c r="J140" i="41"/>
  <c r="I427" i="41"/>
  <c r="D15" i="39" s="1"/>
  <c r="G93" i="66"/>
  <c r="G93" i="74" s="1"/>
  <c r="J436" i="37"/>
  <c r="J117" i="41"/>
  <c r="I222" i="18"/>
  <c r="J222" i="18" s="1"/>
  <c r="J109" i="41"/>
  <c r="J435" i="58"/>
  <c r="J436" i="58"/>
  <c r="J437" i="58"/>
  <c r="J434" i="58"/>
  <c r="G273" i="66" s="1"/>
  <c r="J114" i="41"/>
  <c r="N114" i="58"/>
  <c r="J110" i="41"/>
  <c r="E40" i="39"/>
  <c r="E121" i="38" s="1"/>
  <c r="K124" i="66" s="1"/>
  <c r="J476" i="37"/>
  <c r="G124" i="66"/>
  <c r="J121" i="41"/>
  <c r="J116" i="41"/>
  <c r="J435" i="37"/>
  <c r="J435" i="41" s="1"/>
  <c r="J434" i="37"/>
  <c r="J437" i="37"/>
  <c r="J132" i="41"/>
  <c r="N6" i="41"/>
  <c r="G244" i="66"/>
  <c r="I439" i="41"/>
  <c r="G215" i="66"/>
  <c r="J136" i="41"/>
  <c r="J134" i="41"/>
  <c r="J129" i="41"/>
  <c r="H25" i="66"/>
  <c r="E264" i="38"/>
  <c r="J441" i="58" s="1"/>
  <c r="F382" i="18"/>
  <c r="J382" i="18"/>
  <c r="J131" i="41"/>
  <c r="K157" i="66"/>
  <c r="T157" i="66" s="1"/>
  <c r="K132" i="66"/>
  <c r="T132" i="66" s="1"/>
  <c r="J107" i="41"/>
  <c r="D16" i="39"/>
  <c r="D194" i="72" a="1"/>
  <c r="D194" i="72" s="1"/>
  <c r="D195" i="72" s="1" a="1"/>
  <c r="D195" i="72" s="1"/>
  <c r="D196" i="72" s="1" a="1"/>
  <c r="D196" i="72" s="1"/>
  <c r="D197" i="72" s="1" a="1"/>
  <c r="D197" i="72" s="1"/>
  <c r="D198" i="72" s="1" a="1"/>
  <c r="D198" i="72" s="1"/>
  <c r="J105" i="41"/>
  <c r="D14" i="39"/>
  <c r="J108" i="41"/>
  <c r="J102" i="41"/>
  <c r="J127" i="41"/>
  <c r="C53" i="63"/>
  <c r="H452" i="41"/>
  <c r="H444" i="41"/>
  <c r="H448" i="41"/>
  <c r="J104" i="41"/>
  <c r="H449" i="41"/>
  <c r="J135" i="41"/>
  <c r="G71" i="66"/>
  <c r="K82" i="66"/>
  <c r="X82" i="66" s="1"/>
  <c r="J248" i="66"/>
  <c r="K34" i="66"/>
  <c r="X34" i="66" s="1"/>
  <c r="M30" i="66"/>
  <c r="H194" i="66"/>
  <c r="M184" i="66"/>
  <c r="M216" i="66"/>
  <c r="H278" i="66"/>
  <c r="K76" i="66"/>
  <c r="X76" i="66" s="1"/>
  <c r="I175" i="18"/>
  <c r="H175" i="18"/>
  <c r="I180" i="18"/>
  <c r="H180" i="18"/>
  <c r="I183" i="18"/>
  <c r="H183" i="18"/>
  <c r="F429" i="18"/>
  <c r="J429" i="18"/>
  <c r="H442" i="41"/>
  <c r="K167" i="66"/>
  <c r="H424" i="37"/>
  <c r="H423" i="37"/>
  <c r="H446" i="41"/>
  <c r="F427" i="18"/>
  <c r="J427" i="18"/>
  <c r="K288" i="66"/>
  <c r="K32" i="66"/>
  <c r="I220" i="18"/>
  <c r="H220" i="18"/>
  <c r="H301" i="18"/>
  <c r="I301" i="18"/>
  <c r="I306" i="18"/>
  <c r="H306" i="18"/>
  <c r="I92" i="18"/>
  <c r="H92" i="18"/>
  <c r="H77" i="66"/>
  <c r="I450" i="37"/>
  <c r="H192" i="66"/>
  <c r="J125" i="41"/>
  <c r="J439" i="37"/>
  <c r="J438" i="37"/>
  <c r="D161" i="72" a="1"/>
  <c r="D161" i="72" s="1"/>
  <c r="J478" i="58"/>
  <c r="E383" i="38" s="1"/>
  <c r="L250" i="66" s="1"/>
  <c r="G250" i="66"/>
  <c r="M43" i="39"/>
  <c r="E177" i="38" s="1"/>
  <c r="J439" i="58"/>
  <c r="J438" i="58"/>
  <c r="G253" i="66" s="1"/>
  <c r="H443" i="41"/>
  <c r="F430" i="18"/>
  <c r="J430" i="18"/>
  <c r="H217" i="66"/>
  <c r="I442" i="58"/>
  <c r="F468" i="18"/>
  <c r="J468" i="18"/>
  <c r="H441" i="41"/>
  <c r="N264" i="66"/>
  <c r="L102" i="66"/>
  <c r="M22" i="66"/>
  <c r="M39" i="66"/>
  <c r="N189" i="66"/>
  <c r="K220" i="66"/>
  <c r="X220" i="66" s="1"/>
  <c r="L262" i="66"/>
  <c r="N79" i="66"/>
  <c r="M265" i="66"/>
  <c r="D284" i="72" a="1"/>
  <c r="D284" i="72" s="1"/>
  <c r="J11" i="58"/>
  <c r="J11" i="41" s="1"/>
  <c r="J12" i="58"/>
  <c r="J12" i="41" s="1"/>
  <c r="J13" i="58"/>
  <c r="J13" i="41" s="1"/>
  <c r="J14" i="58"/>
  <c r="J14" i="41" s="1"/>
  <c r="I174" i="18"/>
  <c r="H174" i="18"/>
  <c r="H129" i="18"/>
  <c r="I129" i="18"/>
  <c r="H18" i="37"/>
  <c r="H34" i="37"/>
  <c r="H174" i="66"/>
  <c r="H492" i="58"/>
  <c r="H490" i="58"/>
  <c r="H491" i="58"/>
  <c r="I215" i="18"/>
  <c r="H215" i="18"/>
  <c r="I296" i="18"/>
  <c r="H296" i="18"/>
  <c r="H26" i="37"/>
  <c r="H11" i="66"/>
  <c r="H65" i="66"/>
  <c r="I449" i="37"/>
  <c r="N4" i="41"/>
  <c r="K154" i="66"/>
  <c r="J128" i="41"/>
  <c r="G100" i="66"/>
  <c r="H224" i="66"/>
  <c r="I448" i="58"/>
  <c r="C55" i="17"/>
  <c r="T6" i="9"/>
  <c r="J10" i="9"/>
  <c r="H62" i="37"/>
  <c r="D38" i="72" a="1"/>
  <c r="D38" i="72" s="1"/>
  <c r="D39" i="72" s="1" a="1"/>
  <c r="D39" i="72" s="1"/>
  <c r="E154" i="38"/>
  <c r="I132" i="18"/>
  <c r="H132" i="18"/>
  <c r="I134" i="18"/>
  <c r="H134" i="18"/>
  <c r="H26" i="66"/>
  <c r="K202" i="66"/>
  <c r="I463" i="58"/>
  <c r="H161" i="66"/>
  <c r="F464" i="18"/>
  <c r="J464" i="18"/>
  <c r="H30" i="37"/>
  <c r="I451" i="37"/>
  <c r="H59" i="66"/>
  <c r="I444" i="37"/>
  <c r="H90" i="66"/>
  <c r="H48" i="66"/>
  <c r="H70" i="37"/>
  <c r="H162" i="66"/>
  <c r="M39" i="39"/>
  <c r="G286" i="66"/>
  <c r="J475" i="58"/>
  <c r="E380" i="38" s="1"/>
  <c r="L286" i="66" s="1"/>
  <c r="I473" i="58"/>
  <c r="K237" i="66"/>
  <c r="I443" i="58"/>
  <c r="H197" i="66"/>
  <c r="I444" i="58"/>
  <c r="H234" i="66"/>
  <c r="I266" i="18"/>
  <c r="H266" i="18"/>
  <c r="I255" i="18"/>
  <c r="H255" i="18"/>
  <c r="H188" i="66"/>
  <c r="Z5" i="20"/>
  <c r="M278" i="66"/>
  <c r="N149" i="66"/>
  <c r="J131" i="66"/>
  <c r="M177" i="66"/>
  <c r="G12" i="53"/>
  <c r="H6" i="53"/>
  <c r="G6" i="53" s="1"/>
  <c r="I137" i="18"/>
  <c r="H137" i="18"/>
  <c r="D223" i="72" a="1"/>
  <c r="D223" i="72" s="1"/>
  <c r="K69" i="66"/>
  <c r="H86" i="37"/>
  <c r="I454" i="37"/>
  <c r="H70" i="66"/>
  <c r="H66" i="66"/>
  <c r="I452" i="37"/>
  <c r="E387" i="38"/>
  <c r="N65" i="66" s="1"/>
  <c r="H149" i="66"/>
  <c r="F470" i="18"/>
  <c r="J470" i="18"/>
  <c r="H42" i="37"/>
  <c r="H240" i="66"/>
  <c r="I447" i="58"/>
  <c r="I450" i="58"/>
  <c r="H221" i="66"/>
  <c r="G2" i="18" a="1"/>
  <c r="G2" i="18" s="1"/>
  <c r="G14" i="18" a="1"/>
  <c r="G14" i="18" s="1"/>
  <c r="G4" i="18" a="1"/>
  <c r="G4" i="18" s="1"/>
  <c r="G15" i="18" a="1"/>
  <c r="G15" i="18" s="1"/>
  <c r="G13" i="18" a="1"/>
  <c r="G13" i="18" s="1"/>
  <c r="G7" i="18" a="1"/>
  <c r="G7" i="18" s="1"/>
  <c r="G9" i="18" a="1"/>
  <c r="G9" i="18" s="1"/>
  <c r="G10" i="18" a="1"/>
  <c r="G10" i="18" s="1"/>
  <c r="G12" i="18" a="1"/>
  <c r="G12" i="18" s="1"/>
  <c r="G5" i="18" a="1"/>
  <c r="G5" i="18" s="1"/>
  <c r="G3" i="18" a="1"/>
  <c r="G3" i="18" s="1"/>
  <c r="G8" i="18" a="1"/>
  <c r="G8" i="18" s="1"/>
  <c r="G6" i="18" a="1"/>
  <c r="G6" i="18" s="1"/>
  <c r="G11" i="18" a="1"/>
  <c r="G11" i="18" s="1"/>
  <c r="G14" i="35" a="1"/>
  <c r="G14" i="35" s="1"/>
  <c r="G16" i="35" a="1"/>
  <c r="G16" i="35" s="1"/>
  <c r="G13" i="35" a="1"/>
  <c r="G13" i="35" s="1"/>
  <c r="G3" i="35" a="1"/>
  <c r="G3" i="35" s="1"/>
  <c r="G7" i="35" a="1"/>
  <c r="G7" i="35" s="1"/>
  <c r="C20" i="20"/>
  <c r="G11" i="35" a="1"/>
  <c r="G11" i="35" s="1"/>
  <c r="G15" i="35" a="1"/>
  <c r="G15" i="35" s="1"/>
  <c r="G5" i="35" a="1"/>
  <c r="G5" i="35" s="1"/>
  <c r="G8" i="35" a="1"/>
  <c r="G8" i="35" s="1"/>
  <c r="G9" i="35" a="1"/>
  <c r="G9" i="35" s="1"/>
  <c r="G4" i="35" a="1"/>
  <c r="G4" i="35" s="1"/>
  <c r="G12" i="35" a="1"/>
  <c r="G12" i="35" s="1"/>
  <c r="G10" i="35" a="1"/>
  <c r="G10" i="35" s="1"/>
  <c r="G6" i="35" a="1"/>
  <c r="G6" i="35" s="1"/>
  <c r="J203" i="66"/>
  <c r="H22" i="66"/>
  <c r="F473" i="18"/>
  <c r="J473" i="18"/>
  <c r="F428" i="18"/>
  <c r="J428" i="18"/>
  <c r="H38" i="37"/>
  <c r="D68" i="72" a="1"/>
  <c r="D68" i="72" s="1"/>
  <c r="I213" i="18"/>
  <c r="H213" i="18"/>
  <c r="I305" i="18"/>
  <c r="H305" i="18"/>
  <c r="I90" i="18"/>
  <c r="H90" i="18"/>
  <c r="H99" i="18"/>
  <c r="I99" i="18"/>
  <c r="H176" i="66"/>
  <c r="I441" i="37"/>
  <c r="I441" i="41" s="1"/>
  <c r="H68" i="66"/>
  <c r="I453" i="37"/>
  <c r="H92" i="66"/>
  <c r="F433" i="18"/>
  <c r="J433" i="18"/>
  <c r="J126" i="41"/>
  <c r="E41" i="39"/>
  <c r="E122" i="38" s="1"/>
  <c r="J477" i="37"/>
  <c r="G108" i="66"/>
  <c r="H155" i="66"/>
  <c r="H5" i="66"/>
  <c r="E273" i="38"/>
  <c r="E271" i="38"/>
  <c r="E269" i="38"/>
  <c r="E275" i="38"/>
  <c r="E267" i="38"/>
  <c r="E265" i="38"/>
  <c r="E277" i="38"/>
  <c r="E263" i="38"/>
  <c r="E268" i="38"/>
  <c r="E266" i="38"/>
  <c r="E274" i="38"/>
  <c r="E272" i="38"/>
  <c r="E270" i="38"/>
  <c r="E276" i="38"/>
  <c r="H186" i="66"/>
  <c r="I451" i="58"/>
  <c r="H203" i="66"/>
  <c r="H267" i="18"/>
  <c r="I267" i="18"/>
  <c r="H263" i="18"/>
  <c r="I263" i="18"/>
  <c r="J101" i="41"/>
  <c r="C23" i="63"/>
  <c r="D6" i="72" a="1"/>
  <c r="D6" i="72" s="1"/>
  <c r="I178" i="18"/>
  <c r="H178" i="18"/>
  <c r="K261" i="66"/>
  <c r="J107" i="66"/>
  <c r="N238" i="66"/>
  <c r="J258" i="66"/>
  <c r="H61" i="66"/>
  <c r="N36" i="66"/>
  <c r="M91" i="66"/>
  <c r="K9" i="66"/>
  <c r="T9" i="66" s="1"/>
  <c r="I173" i="18"/>
  <c r="H173" i="18"/>
  <c r="I176" i="18"/>
  <c r="H176" i="18"/>
  <c r="K165" i="66"/>
  <c r="I140" i="18"/>
  <c r="H140" i="18"/>
  <c r="H50" i="37"/>
  <c r="H169" i="66"/>
  <c r="K12" i="66"/>
  <c r="K204" i="66"/>
  <c r="I462" i="58"/>
  <c r="F435" i="18"/>
  <c r="J435" i="18"/>
  <c r="I223" i="18"/>
  <c r="H223" i="18"/>
  <c r="I309" i="18"/>
  <c r="H309" i="18"/>
  <c r="H303" i="18"/>
  <c r="I303" i="18"/>
  <c r="I97" i="18"/>
  <c r="H97" i="18"/>
  <c r="H87" i="18"/>
  <c r="I87" i="18"/>
  <c r="I442" i="37"/>
  <c r="H73" i="66"/>
  <c r="I473" i="37"/>
  <c r="K93" i="66"/>
  <c r="I462" i="37"/>
  <c r="K60" i="66"/>
  <c r="F471" i="18"/>
  <c r="J471" i="18"/>
  <c r="H94" i="37"/>
  <c r="H17" i="66"/>
  <c r="H22" i="37"/>
  <c r="H445" i="41"/>
  <c r="H222" i="66"/>
  <c r="I445" i="58"/>
  <c r="H66" i="37"/>
  <c r="I265" i="18"/>
  <c r="H265" i="18"/>
  <c r="J475" i="37"/>
  <c r="G142" i="66"/>
  <c r="J96" i="41"/>
  <c r="E12" i="39" s="1"/>
  <c r="E39" i="39"/>
  <c r="H173" i="66"/>
  <c r="I440" i="37"/>
  <c r="H74" i="66"/>
  <c r="H32" i="66"/>
  <c r="E103" i="38"/>
  <c r="K156" i="66"/>
  <c r="H209" i="66"/>
  <c r="I449" i="58"/>
  <c r="I256" i="18"/>
  <c r="H256" i="18"/>
  <c r="I260" i="18"/>
  <c r="H260" i="18"/>
  <c r="J100" i="41"/>
  <c r="J423" i="18"/>
  <c r="F423" i="18"/>
  <c r="I221" i="18"/>
  <c r="H221" i="18"/>
  <c r="I94" i="18"/>
  <c r="H94" i="18"/>
  <c r="H179" i="18"/>
  <c r="I179" i="18"/>
  <c r="I130" i="18"/>
  <c r="H130" i="18"/>
  <c r="I438" i="41"/>
  <c r="G61" i="66"/>
  <c r="G61" i="74" s="1"/>
  <c r="K80" i="66"/>
  <c r="I219" i="18"/>
  <c r="H219" i="18"/>
  <c r="I298" i="18"/>
  <c r="H298" i="18"/>
  <c r="H89" i="18"/>
  <c r="I89" i="18"/>
  <c r="I98" i="18"/>
  <c r="H98" i="18"/>
  <c r="H78" i="66"/>
  <c r="I445" i="37"/>
  <c r="H40" i="66"/>
  <c r="G60" i="74"/>
  <c r="F475" i="18"/>
  <c r="J475" i="18"/>
  <c r="J472" i="18"/>
  <c r="F472" i="18"/>
  <c r="H74" i="37"/>
  <c r="J465" i="18"/>
  <c r="F465" i="18"/>
  <c r="I224" i="18"/>
  <c r="H224" i="18"/>
  <c r="H78" i="37"/>
  <c r="H236" i="66"/>
  <c r="I453" i="58"/>
  <c r="I258" i="18"/>
  <c r="H258" i="18"/>
  <c r="H261" i="18"/>
  <c r="I261" i="18"/>
  <c r="I262" i="18"/>
  <c r="H262" i="18"/>
  <c r="G47" i="18" a="1"/>
  <c r="G47" i="18" s="1"/>
  <c r="G49" i="18" a="1"/>
  <c r="G49" i="18" s="1"/>
  <c r="G54" i="18" a="1"/>
  <c r="G54" i="18" s="1"/>
  <c r="G44" i="18" a="1"/>
  <c r="G44" i="18" s="1"/>
  <c r="G48" i="18" a="1"/>
  <c r="G48" i="18" s="1"/>
  <c r="G51" i="35" a="1"/>
  <c r="G51" i="35" s="1"/>
  <c r="G50" i="35" a="1"/>
  <c r="G50" i="35" s="1"/>
  <c r="G56" i="18" a="1"/>
  <c r="G56" i="18" s="1"/>
  <c r="G56" i="35" a="1"/>
  <c r="G56" i="35" s="1"/>
  <c r="G46" i="35" a="1"/>
  <c r="G46" i="35" s="1"/>
  <c r="G52" i="35" a="1"/>
  <c r="G52" i="35" s="1"/>
  <c r="G50" i="18" a="1"/>
  <c r="G50" i="18" s="1"/>
  <c r="G57" i="35" a="1"/>
  <c r="G57" i="35" s="1"/>
  <c r="G52" i="18" a="1"/>
  <c r="G52" i="18" s="1"/>
  <c r="G51" i="18" a="1"/>
  <c r="G51" i="18" s="1"/>
  <c r="G55" i="35" a="1"/>
  <c r="G55" i="35" s="1"/>
  <c r="G45" i="35" a="1"/>
  <c r="G45" i="35" s="1"/>
  <c r="G49" i="35" a="1"/>
  <c r="G49" i="35" s="1"/>
  <c r="G53" i="18" a="1"/>
  <c r="G53" i="18" s="1"/>
  <c r="G48" i="35" a="1"/>
  <c r="G48" i="35" s="1"/>
  <c r="G53" i="35" a="1"/>
  <c r="G53" i="35" s="1"/>
  <c r="G55" i="18" a="1"/>
  <c r="G55" i="18" s="1"/>
  <c r="G57" i="18" a="1"/>
  <c r="G57" i="18" s="1"/>
  <c r="G47" i="35" a="1"/>
  <c r="G47" i="35" s="1"/>
  <c r="G46" i="18" a="1"/>
  <c r="G46" i="18" s="1"/>
  <c r="G58" i="35" a="1"/>
  <c r="G58" i="35" s="1"/>
  <c r="G45" i="18" a="1"/>
  <c r="G45" i="18" s="1"/>
  <c r="L20" i="20"/>
  <c r="G54" i="35" a="1"/>
  <c r="G54" i="35" s="1"/>
  <c r="J98" i="41"/>
  <c r="I138" i="18"/>
  <c r="H138" i="18"/>
  <c r="F434" i="18"/>
  <c r="J434" i="18"/>
  <c r="K53" i="66"/>
  <c r="K231" i="66"/>
  <c r="X231" i="66" s="1"/>
  <c r="J8" i="66"/>
  <c r="H223" i="66"/>
  <c r="L208" i="66"/>
  <c r="I170" i="18"/>
  <c r="H170" i="18"/>
  <c r="F426" i="18"/>
  <c r="J426" i="18"/>
  <c r="I131" i="18"/>
  <c r="H131" i="18"/>
  <c r="H58" i="37"/>
  <c r="I95" i="18"/>
  <c r="H95" i="18"/>
  <c r="H82" i="37"/>
  <c r="E359" i="38"/>
  <c r="L58" i="66" s="1"/>
  <c r="I478" i="41"/>
  <c r="H440" i="41"/>
  <c r="I212" i="18"/>
  <c r="H212" i="18"/>
  <c r="I218" i="18"/>
  <c r="H218" i="18"/>
  <c r="I304" i="18"/>
  <c r="H304" i="18"/>
  <c r="I308" i="18"/>
  <c r="H308" i="18"/>
  <c r="H88" i="18"/>
  <c r="I88" i="18"/>
  <c r="H80" i="66"/>
  <c r="I448" i="37"/>
  <c r="H450" i="41"/>
  <c r="E358" i="38"/>
  <c r="L60" i="66" s="1"/>
  <c r="I477" i="41"/>
  <c r="K96" i="66"/>
  <c r="I133" i="18"/>
  <c r="H133" i="18"/>
  <c r="H44" i="66"/>
  <c r="I432" i="41"/>
  <c r="G92" i="66"/>
  <c r="H473" i="58"/>
  <c r="K189" i="66"/>
  <c r="E356" i="38"/>
  <c r="L94" i="66" s="1"/>
  <c r="I475" i="41"/>
  <c r="K192" i="66"/>
  <c r="F469" i="18"/>
  <c r="J469" i="18"/>
  <c r="K45" i="66"/>
  <c r="H473" i="37"/>
  <c r="D100" i="72" a="1"/>
  <c r="D100" i="72" s="1"/>
  <c r="H218" i="66"/>
  <c r="I440" i="58"/>
  <c r="I259" i="18"/>
  <c r="H259" i="18"/>
  <c r="I257" i="18"/>
  <c r="H257" i="18"/>
  <c r="G24" i="53"/>
  <c r="H18" i="53"/>
  <c r="G18" i="53" s="1"/>
  <c r="J99" i="41"/>
  <c r="E226" i="38"/>
  <c r="E232" i="38"/>
  <c r="E225" i="38"/>
  <c r="E218" i="38"/>
  <c r="E230" i="38"/>
  <c r="E222" i="38"/>
  <c r="E220" i="38"/>
  <c r="E223" i="38"/>
  <c r="E227" i="38"/>
  <c r="E221" i="38"/>
  <c r="E229" i="38"/>
  <c r="E231" i="38"/>
  <c r="E224" i="38"/>
  <c r="E228" i="38"/>
  <c r="E219" i="38"/>
  <c r="H172" i="18"/>
  <c r="I172" i="18"/>
  <c r="J17" i="66"/>
  <c r="H243" i="66"/>
  <c r="J272" i="66"/>
  <c r="L245" i="66"/>
  <c r="J274" i="66"/>
  <c r="I177" i="18"/>
  <c r="H177" i="18"/>
  <c r="I128" i="18"/>
  <c r="H128" i="18"/>
  <c r="F474" i="18"/>
  <c r="J474" i="18"/>
  <c r="K128" i="66"/>
  <c r="G58" i="74"/>
  <c r="K10" i="66"/>
  <c r="K213" i="66"/>
  <c r="H90" i="37"/>
  <c r="K172" i="66"/>
  <c r="I302" i="18"/>
  <c r="H302" i="18"/>
  <c r="I300" i="18"/>
  <c r="H300" i="18"/>
  <c r="I96" i="18"/>
  <c r="H96" i="18"/>
  <c r="K46" i="66"/>
  <c r="H96" i="66"/>
  <c r="I447" i="37"/>
  <c r="K23" i="66"/>
  <c r="H184" i="66"/>
  <c r="I431" i="41"/>
  <c r="H42" i="66"/>
  <c r="G94" i="74"/>
  <c r="K28" i="66"/>
  <c r="H46" i="37"/>
  <c r="K48" i="66"/>
  <c r="H214" i="66"/>
  <c r="I454" i="58"/>
  <c r="I254" i="18"/>
  <c r="H254" i="18"/>
  <c r="H30" i="66"/>
  <c r="J478" i="37"/>
  <c r="G106" i="66"/>
  <c r="J97" i="41"/>
  <c r="E43" i="39"/>
  <c r="E126" i="38" s="1"/>
  <c r="K117" i="66"/>
  <c r="I216" i="18"/>
  <c r="H216" i="18"/>
  <c r="N56" i="66"/>
  <c r="M11" i="66"/>
  <c r="N129" i="66"/>
  <c r="N258" i="66"/>
  <c r="J243" i="66"/>
  <c r="L243" i="66"/>
  <c r="I181" i="18"/>
  <c r="H181" i="18"/>
  <c r="K144" i="66"/>
  <c r="K21" i="66"/>
  <c r="I139" i="18"/>
  <c r="H139" i="18"/>
  <c r="H29" i="66"/>
  <c r="F424" i="18"/>
  <c r="J424" i="18"/>
  <c r="H166" i="66"/>
  <c r="F466" i="18"/>
  <c r="J466" i="18"/>
  <c r="I217" i="18"/>
  <c r="H217" i="18"/>
  <c r="I297" i="18"/>
  <c r="H297" i="18"/>
  <c r="I307" i="18"/>
  <c r="H307" i="18"/>
  <c r="I91" i="18"/>
  <c r="H91" i="18"/>
  <c r="I86" i="18"/>
  <c r="H86" i="18"/>
  <c r="I443" i="37"/>
  <c r="H53" i="66"/>
  <c r="F477" i="18"/>
  <c r="J477" i="18"/>
  <c r="I430" i="41"/>
  <c r="G95" i="66"/>
  <c r="G95" i="74" s="1"/>
  <c r="J433" i="58"/>
  <c r="J430" i="58"/>
  <c r="G287" i="66" s="1"/>
  <c r="J432" i="58"/>
  <c r="J431" i="58"/>
  <c r="H232" i="66"/>
  <c r="I446" i="58"/>
  <c r="F431" i="18"/>
  <c r="J431" i="18"/>
  <c r="E33" i="22"/>
  <c r="P6" i="9"/>
  <c r="P30" i="9"/>
  <c r="H454" i="41"/>
  <c r="J95" i="41"/>
  <c r="J431" i="37"/>
  <c r="J430" i="37"/>
  <c r="J432" i="37"/>
  <c r="J433" i="37"/>
  <c r="I463" i="37"/>
  <c r="K58" i="66"/>
  <c r="K253" i="66"/>
  <c r="X253" i="66" s="1"/>
  <c r="H212" i="66"/>
  <c r="H164" i="66"/>
  <c r="H20" i="74" s="1"/>
  <c r="H260" i="66"/>
  <c r="L85" i="66"/>
  <c r="J209" i="66"/>
  <c r="N159" i="66"/>
  <c r="M209" i="66"/>
  <c r="H10" i="66"/>
  <c r="L89" i="66"/>
  <c r="H46" i="66"/>
  <c r="N14" i="66"/>
  <c r="K262" i="66"/>
  <c r="X262" i="66" s="1"/>
  <c r="I171" i="18"/>
  <c r="H171" i="18"/>
  <c r="I182" i="18"/>
  <c r="H182" i="18"/>
  <c r="H135" i="18"/>
  <c r="I135" i="18"/>
  <c r="I136" i="18"/>
  <c r="H136" i="18"/>
  <c r="H141" i="18"/>
  <c r="I141" i="18"/>
  <c r="K240" i="66"/>
  <c r="I13" i="41"/>
  <c r="H18" i="66"/>
  <c r="I214" i="18"/>
  <c r="H214" i="18"/>
  <c r="I225" i="18"/>
  <c r="H225" i="18"/>
  <c r="I299" i="18"/>
  <c r="H299" i="18"/>
  <c r="H93" i="18"/>
  <c r="I93" i="18"/>
  <c r="K190" i="66"/>
  <c r="I446" i="37"/>
  <c r="H88" i="66"/>
  <c r="H170" i="66"/>
  <c r="G91" i="66"/>
  <c r="G91" i="74" s="1"/>
  <c r="I433" i="41"/>
  <c r="K224" i="66"/>
  <c r="C3" i="9"/>
  <c r="R38" i="9" a="1"/>
  <c r="R38" i="9" s="1"/>
  <c r="E90" i="22" s="1"/>
  <c r="R28" i="9" a="1"/>
  <c r="R28" i="9" s="1"/>
  <c r="R36" i="9" a="1"/>
  <c r="R36" i="9" s="1"/>
  <c r="R26" i="9" a="1"/>
  <c r="R26" i="9" s="1"/>
  <c r="M41" i="39"/>
  <c r="E173" i="38" s="1"/>
  <c r="J477" i="58"/>
  <c r="E382" i="38" s="1"/>
  <c r="L252" i="66" s="1"/>
  <c r="G252" i="66"/>
  <c r="H54" i="37"/>
  <c r="I452" i="58"/>
  <c r="H210" i="66"/>
  <c r="E390" i="38"/>
  <c r="N209" i="66" s="1"/>
  <c r="I264" i="18"/>
  <c r="H264" i="18"/>
  <c r="E18" i="22"/>
  <c r="M6" i="9"/>
  <c r="M30" i="9"/>
  <c r="K272" i="66"/>
  <c r="N222" i="66"/>
  <c r="L229" i="66"/>
  <c r="N108" i="66"/>
  <c r="N84" i="66"/>
  <c r="H181" i="66"/>
  <c r="M153" i="66"/>
  <c r="L247" i="66"/>
  <c r="K8" i="66"/>
  <c r="M272" i="66"/>
  <c r="L61" i="66"/>
  <c r="N85" i="66"/>
  <c r="M32" i="66"/>
  <c r="M43" i="66"/>
  <c r="K247" i="66"/>
  <c r="K148" i="66"/>
  <c r="J111" i="66"/>
  <c r="M127" i="66"/>
  <c r="L52" i="66"/>
  <c r="N66" i="66"/>
  <c r="J18" i="66"/>
  <c r="M186" i="66"/>
  <c r="M42" i="66"/>
  <c r="J63" i="66"/>
  <c r="N45" i="66"/>
  <c r="L7" i="66"/>
  <c r="J78" i="66"/>
  <c r="L20" i="66"/>
  <c r="H31" i="66"/>
  <c r="M221" i="66"/>
  <c r="K291" i="66"/>
  <c r="N61" i="66"/>
  <c r="N221" i="66"/>
  <c r="J95" i="66"/>
  <c r="H190" i="66"/>
  <c r="K129" i="66"/>
  <c r="M253" i="66"/>
  <c r="L207" i="66"/>
  <c r="J127" i="66"/>
  <c r="H35" i="66"/>
  <c r="L254" i="66"/>
  <c r="H154" i="66"/>
  <c r="N17" i="66"/>
  <c r="J31" i="66"/>
  <c r="M169" i="66"/>
  <c r="H62" i="66"/>
  <c r="H239" i="66"/>
  <c r="J278" i="66"/>
  <c r="N171" i="66"/>
  <c r="L131" i="66"/>
  <c r="N130" i="66"/>
  <c r="L276" i="66"/>
  <c r="M59" i="66"/>
  <c r="M156" i="66"/>
  <c r="M159" i="66"/>
  <c r="K287" i="66"/>
  <c r="J159" i="66"/>
  <c r="K264" i="66"/>
  <c r="L63" i="66"/>
  <c r="J254" i="66"/>
  <c r="H58" i="66"/>
  <c r="L121" i="66"/>
  <c r="J200" i="66"/>
  <c r="M90" i="66"/>
  <c r="M110" i="66"/>
  <c r="L203" i="66"/>
  <c r="J210" i="66"/>
  <c r="M143" i="66"/>
  <c r="N42" i="66"/>
  <c r="M202" i="66"/>
  <c r="M259" i="66"/>
  <c r="M115" i="74" s="1"/>
  <c r="J212" i="66"/>
  <c r="N274" i="66"/>
  <c r="M92" i="66"/>
  <c r="N72" i="66"/>
  <c r="J184" i="66"/>
  <c r="J9" i="66"/>
  <c r="N267" i="66"/>
  <c r="N283" i="66"/>
  <c r="J246" i="66"/>
  <c r="L77" i="66"/>
  <c r="J236" i="66"/>
  <c r="M141" i="66"/>
  <c r="H85" i="66"/>
  <c r="J117" i="66"/>
  <c r="K283" i="66"/>
  <c r="H129" i="66"/>
  <c r="M139" i="66"/>
  <c r="N81" i="66"/>
  <c r="M144" i="66"/>
  <c r="J91" i="66"/>
  <c r="K206" i="66"/>
  <c r="L241" i="66"/>
  <c r="K241" i="66"/>
  <c r="K29" i="66"/>
  <c r="K267" i="66"/>
  <c r="J223" i="66"/>
  <c r="L224" i="66"/>
  <c r="K145" i="66"/>
  <c r="K89" i="66"/>
  <c r="L277" i="66"/>
  <c r="M107" i="66"/>
  <c r="J24" i="66"/>
  <c r="N55" i="66"/>
  <c r="M94" i="66"/>
  <c r="J87" i="66"/>
  <c r="H119" i="66"/>
  <c r="J163" i="66"/>
  <c r="K281" i="66"/>
  <c r="N109" i="66"/>
  <c r="J262" i="66"/>
  <c r="K135" i="66"/>
  <c r="M252" i="66"/>
  <c r="N204" i="66"/>
  <c r="I460" i="41"/>
  <c r="H13" i="66"/>
  <c r="H110" i="66"/>
  <c r="J27" i="66"/>
  <c r="L130" i="66"/>
  <c r="N211" i="66"/>
  <c r="L93" i="66"/>
  <c r="J96" i="66"/>
  <c r="J51" i="66"/>
  <c r="M97" i="66"/>
  <c r="L111" i="66"/>
  <c r="L158" i="66"/>
  <c r="M74" i="66"/>
  <c r="H43" i="66"/>
  <c r="H219" i="66"/>
  <c r="N219" i="66"/>
  <c r="J46" i="66"/>
  <c r="J222" i="66"/>
  <c r="L119" i="66"/>
  <c r="H67" i="66"/>
  <c r="J241" i="66"/>
  <c r="N271" i="66"/>
  <c r="N19" i="66"/>
  <c r="L73" i="66"/>
  <c r="L185" i="66"/>
  <c r="K223" i="66"/>
  <c r="N178" i="66"/>
  <c r="J88" i="66"/>
  <c r="N154" i="66"/>
  <c r="J140" i="66"/>
  <c r="H285" i="66"/>
  <c r="M219" i="66"/>
  <c r="J49" i="66"/>
  <c r="J72" i="66"/>
  <c r="L39" i="66"/>
  <c r="H6" i="66"/>
  <c r="K226" i="66"/>
  <c r="N276" i="66"/>
  <c r="M251" i="66"/>
  <c r="K208" i="66"/>
  <c r="L59" i="66"/>
  <c r="J282" i="66"/>
  <c r="H238" i="66"/>
  <c r="J59" i="66"/>
  <c r="K203" i="66"/>
  <c r="L159" i="66"/>
  <c r="H191" i="66"/>
  <c r="L21" i="66"/>
  <c r="H7" i="66"/>
  <c r="J32" i="66"/>
  <c r="N91" i="66"/>
  <c r="L222" i="66"/>
  <c r="H248" i="66"/>
  <c r="N234" i="66"/>
  <c r="K85" i="66"/>
  <c r="L41" i="66"/>
  <c r="H177" i="66"/>
  <c r="N80" i="66"/>
  <c r="J39" i="66"/>
  <c r="K185" i="66"/>
  <c r="J197" i="66"/>
  <c r="M176" i="66"/>
  <c r="J15" i="66"/>
  <c r="H81" i="66"/>
  <c r="L179" i="66"/>
  <c r="K75" i="66"/>
  <c r="N285" i="66"/>
  <c r="L274" i="66"/>
  <c r="H49" i="66"/>
  <c r="K84" i="66"/>
  <c r="L259" i="66"/>
  <c r="J37" i="66"/>
  <c r="K44" i="66"/>
  <c r="K221" i="66"/>
  <c r="N168" i="66"/>
  <c r="L161" i="66"/>
  <c r="M256" i="66"/>
  <c r="J19" i="66"/>
  <c r="L38" i="66"/>
  <c r="J62" i="66"/>
  <c r="M130" i="66"/>
  <c r="H151" i="66"/>
  <c r="N174" i="66"/>
  <c r="N134" i="66"/>
  <c r="M200" i="66"/>
  <c r="M56" i="74" s="1"/>
  <c r="L143" i="66"/>
  <c r="F36" i="53"/>
  <c r="L90" i="66"/>
  <c r="L114" i="66"/>
  <c r="K171" i="66"/>
  <c r="L118" i="66"/>
  <c r="J137" i="66"/>
  <c r="L275" i="66"/>
  <c r="K163" i="66"/>
  <c r="L14" i="66"/>
  <c r="L49" i="66"/>
  <c r="N241" i="66"/>
  <c r="J81" i="66"/>
  <c r="J285" i="66"/>
  <c r="H54" i="66"/>
  <c r="H267" i="66"/>
  <c r="N289" i="66"/>
  <c r="M81" i="66"/>
  <c r="H91" i="66"/>
  <c r="M205" i="66"/>
  <c r="J190" i="66"/>
  <c r="H279" i="66"/>
  <c r="N70" i="66"/>
  <c r="L280" i="66"/>
  <c r="N160" i="66"/>
  <c r="L55" i="66"/>
  <c r="L109" i="66"/>
  <c r="H102" i="66"/>
  <c r="M72" i="66"/>
  <c r="L151" i="66"/>
  <c r="H273" i="66"/>
  <c r="K279" i="66"/>
  <c r="M51" i="66"/>
  <c r="L50" i="66"/>
  <c r="L282" i="66"/>
  <c r="Z3" i="20"/>
  <c r="J160" i="66"/>
  <c r="L193" i="66"/>
  <c r="K100" i="66"/>
  <c r="N242" i="66"/>
  <c r="J186" i="66"/>
  <c r="M123" i="66"/>
  <c r="L105" i="66"/>
  <c r="H64" i="66"/>
  <c r="J102" i="66"/>
  <c r="J185" i="66"/>
  <c r="J125" i="66"/>
  <c r="M124" i="66"/>
  <c r="H178" i="66"/>
  <c r="H183" i="66"/>
  <c r="L44" i="66"/>
  <c r="N254" i="66"/>
  <c r="N43" i="66"/>
  <c r="K67" i="66"/>
  <c r="L16" i="66"/>
  <c r="N48" i="66"/>
  <c r="H171" i="66"/>
  <c r="N5" i="66"/>
  <c r="H131" i="66"/>
  <c r="K216" i="66"/>
  <c r="N177" i="66"/>
  <c r="L146" i="66"/>
  <c r="L150" i="66"/>
  <c r="J182" i="66"/>
  <c r="L137" i="66"/>
  <c r="M8" i="66"/>
  <c r="J110" i="66"/>
  <c r="H211" i="66"/>
  <c r="J138" i="66"/>
  <c r="H109" i="66"/>
  <c r="H21" i="66"/>
  <c r="L22" i="66"/>
  <c r="N86" i="66"/>
  <c r="L173" i="66"/>
  <c r="H195" i="66"/>
  <c r="H111" i="66"/>
  <c r="K160" i="66"/>
  <c r="M136" i="66"/>
  <c r="N120" i="66"/>
  <c r="H72" i="66"/>
  <c r="K207" i="66"/>
  <c r="L17" i="66"/>
  <c r="J82" i="66"/>
  <c r="M249" i="66"/>
  <c r="J29" i="66"/>
  <c r="J26" i="66"/>
  <c r="M224" i="66"/>
  <c r="J155" i="66"/>
  <c r="H76" i="66"/>
  <c r="J92" i="66"/>
  <c r="N277" i="66"/>
  <c r="N133" i="74" s="1"/>
  <c r="H275" i="66"/>
  <c r="L192" i="66"/>
  <c r="L172" i="66"/>
  <c r="J79" i="66"/>
  <c r="N156" i="66"/>
  <c r="M269" i="66"/>
  <c r="N188" i="66"/>
  <c r="H289" i="66"/>
  <c r="L244" i="66"/>
  <c r="M25" i="66"/>
  <c r="K159" i="66"/>
  <c r="K274" i="66"/>
  <c r="J116" i="66"/>
  <c r="H213" i="66"/>
  <c r="L213" i="66"/>
  <c r="H274" i="66"/>
  <c r="N184" i="66"/>
  <c r="J136" i="66"/>
  <c r="L57" i="66"/>
  <c r="L205" i="66"/>
  <c r="L28" i="66"/>
  <c r="M245" i="66"/>
  <c r="J109" i="66"/>
  <c r="L86" i="66"/>
  <c r="N121" i="66"/>
  <c r="H132" i="66"/>
  <c r="N248" i="66"/>
  <c r="N107" i="66"/>
  <c r="N215" i="66"/>
  <c r="M243" i="66"/>
  <c r="L116" i="66"/>
  <c r="M126" i="66"/>
  <c r="H205" i="66"/>
  <c r="M99" i="66"/>
  <c r="Q99" i="66" s="1"/>
  <c r="W99" i="66" s="1"/>
  <c r="M201" i="66"/>
  <c r="N94" i="66"/>
  <c r="K169" i="66"/>
  <c r="L43" i="66"/>
  <c r="H291" i="66"/>
  <c r="L148" i="66"/>
  <c r="J242" i="66"/>
  <c r="L4" i="66"/>
  <c r="H108" i="66"/>
  <c r="K149" i="66"/>
  <c r="L98" i="66"/>
  <c r="L160" i="66"/>
  <c r="H134" i="66"/>
  <c r="N217" i="66"/>
  <c r="M128" i="66"/>
  <c r="N206" i="66"/>
  <c r="M34" i="66"/>
  <c r="L256" i="66"/>
  <c r="L186" i="66"/>
  <c r="H24" i="66"/>
  <c r="K277" i="66"/>
  <c r="M70" i="66"/>
  <c r="J249" i="66"/>
  <c r="M66" i="66"/>
  <c r="J47" i="66"/>
  <c r="H198" i="66"/>
  <c r="L91" i="66"/>
  <c r="N59" i="66"/>
  <c r="J139" i="66"/>
  <c r="K227" i="66"/>
  <c r="M257" i="66"/>
  <c r="N251" i="66"/>
  <c r="J86" i="66"/>
  <c r="J60" i="66"/>
  <c r="H200" i="66"/>
  <c r="L65" i="66"/>
  <c r="N186" i="66"/>
  <c r="M262" i="66"/>
  <c r="L181" i="66"/>
  <c r="H103" i="66"/>
  <c r="J40" i="66"/>
  <c r="K152" i="66"/>
  <c r="K178" i="66"/>
  <c r="N92" i="66"/>
  <c r="N207" i="66"/>
  <c r="J121" i="66"/>
  <c r="J85" i="66"/>
  <c r="K193" i="66"/>
  <c r="K123" i="66"/>
  <c r="N172" i="66"/>
  <c r="K83" i="66"/>
  <c r="L215" i="66"/>
  <c r="J280" i="66"/>
  <c r="M223" i="66"/>
  <c r="H127" i="66"/>
  <c r="N225" i="66"/>
  <c r="J229" i="66"/>
  <c r="H105" i="66"/>
  <c r="L15" i="66"/>
  <c r="J53" i="66"/>
  <c r="N286" i="66"/>
  <c r="L230" i="66"/>
  <c r="L209" i="66"/>
  <c r="J234" i="66"/>
  <c r="L5" i="66"/>
  <c r="N196" i="66"/>
  <c r="K184" i="66"/>
  <c r="L175" i="66"/>
  <c r="L31" i="74" s="1"/>
  <c r="N202" i="66"/>
  <c r="N144" i="66"/>
  <c r="J152" i="66"/>
  <c r="M96" i="66"/>
  <c r="M15" i="66"/>
  <c r="N139" i="66"/>
  <c r="H79" i="66"/>
  <c r="K271" i="66"/>
  <c r="M271" i="66"/>
  <c r="H167" i="66"/>
  <c r="N143" i="66"/>
  <c r="M155" i="66"/>
  <c r="M203" i="66"/>
  <c r="J70" i="66"/>
  <c r="M120" i="66"/>
  <c r="H87" i="66"/>
  <c r="N26" i="66"/>
  <c r="N119" i="66"/>
  <c r="L176" i="66"/>
  <c r="M158" i="66"/>
  <c r="N187" i="66"/>
  <c r="M88" i="66"/>
  <c r="J133" i="66"/>
  <c r="K284" i="66"/>
  <c r="N132" i="66"/>
  <c r="K41" i="66"/>
  <c r="K214" i="66"/>
  <c r="J244" i="66"/>
  <c r="J93" i="66"/>
  <c r="K179" i="66"/>
  <c r="J149" i="66"/>
  <c r="L242" i="66"/>
  <c r="J219" i="66"/>
  <c r="N138" i="66"/>
  <c r="M232" i="66"/>
  <c r="J113" i="66"/>
  <c r="N32" i="66"/>
  <c r="J13" i="66"/>
  <c r="M268" i="66"/>
  <c r="J240" i="66"/>
  <c r="M17" i="66"/>
  <c r="H160" i="66"/>
  <c r="N127" i="66"/>
  <c r="J44" i="66"/>
  <c r="J233" i="66"/>
  <c r="K125" i="66"/>
  <c r="L78" i="66"/>
  <c r="J48" i="66"/>
  <c r="M182" i="66"/>
  <c r="H228" i="66"/>
  <c r="M289" i="66"/>
  <c r="M119" i="66"/>
  <c r="N169" i="66"/>
  <c r="H189" i="66"/>
  <c r="K15" i="66"/>
  <c r="K131" i="66"/>
  <c r="M237" i="66"/>
  <c r="M14" i="66"/>
  <c r="L202" i="66"/>
  <c r="M238" i="66"/>
  <c r="K236" i="66"/>
  <c r="L133" i="66"/>
  <c r="N230" i="66"/>
  <c r="M154" i="66"/>
  <c r="J124" i="66"/>
  <c r="K104" i="66"/>
  <c r="N128" i="66"/>
  <c r="L182" i="66"/>
  <c r="J213" i="66"/>
  <c r="J221" i="66"/>
  <c r="H51" i="66"/>
  <c r="L258" i="66"/>
  <c r="M241" i="66"/>
  <c r="L68" i="66"/>
  <c r="K25" i="66"/>
  <c r="L99" i="66"/>
  <c r="J161" i="66"/>
  <c r="J230" i="66"/>
  <c r="M285" i="66"/>
  <c r="K87" i="66"/>
  <c r="K50" i="66"/>
  <c r="N44" i="66"/>
  <c r="L84" i="66"/>
  <c r="N18" i="66"/>
  <c r="M211" i="66"/>
  <c r="J195" i="66"/>
  <c r="H34" i="66"/>
  <c r="H172" i="66"/>
  <c r="L135" i="66"/>
  <c r="K91" i="66"/>
  <c r="K14" i="66"/>
  <c r="H208" i="66"/>
  <c r="M274" i="66"/>
  <c r="L30" i="66"/>
  <c r="J214" i="66"/>
  <c r="L166" i="66"/>
  <c r="K118" i="66"/>
  <c r="M279" i="66"/>
  <c r="K98" i="66"/>
  <c r="K18" i="66"/>
  <c r="K242" i="66"/>
  <c r="J281" i="66"/>
  <c r="J30" i="66"/>
  <c r="K103" i="66"/>
  <c r="M31" i="66"/>
  <c r="K92" i="66"/>
  <c r="L191" i="66"/>
  <c r="K140" i="66"/>
  <c r="M190" i="66"/>
  <c r="M254" i="66"/>
  <c r="L266" i="66"/>
  <c r="J11" i="66"/>
  <c r="J112" i="66"/>
  <c r="J287" i="66"/>
  <c r="J99" i="66"/>
  <c r="N192" i="66"/>
  <c r="N112" i="66"/>
  <c r="N112" i="74" s="1"/>
  <c r="J7" i="66"/>
  <c r="L66" i="66"/>
  <c r="M26" i="66"/>
  <c r="N74" i="66"/>
  <c r="K88" i="66"/>
  <c r="L217" i="66"/>
  <c r="M118" i="66"/>
  <c r="J67" i="66"/>
  <c r="N220" i="66"/>
  <c r="M240" i="66"/>
  <c r="J181" i="66"/>
  <c r="N155" i="66"/>
  <c r="J128" i="66"/>
  <c r="J54" i="66"/>
  <c r="K36" i="66"/>
  <c r="M183" i="66"/>
  <c r="N252" i="66"/>
  <c r="M105" i="66"/>
  <c r="L101" i="66"/>
  <c r="K259" i="66"/>
  <c r="K233" i="66"/>
  <c r="J21" i="66"/>
  <c r="M87" i="66"/>
  <c r="M244" i="66"/>
  <c r="L47" i="66"/>
  <c r="M77" i="66"/>
  <c r="N96" i="66"/>
  <c r="J218" i="66"/>
  <c r="L165" i="66"/>
  <c r="K27" i="66"/>
  <c r="H4" i="66"/>
  <c r="J114" i="66"/>
  <c r="L263" i="66"/>
  <c r="M162" i="66"/>
  <c r="J144" i="66"/>
  <c r="M264" i="66"/>
  <c r="N38" i="66"/>
  <c r="L46" i="66"/>
  <c r="L144" i="66"/>
  <c r="J198" i="66"/>
  <c r="K101" i="66"/>
  <c r="J145" i="66"/>
  <c r="H147" i="66"/>
  <c r="H229" i="66"/>
  <c r="N50" i="66"/>
  <c r="N125" i="66"/>
  <c r="L126" i="66"/>
  <c r="N290" i="66"/>
  <c r="K232" i="66"/>
  <c r="M288" i="66"/>
  <c r="N8" i="66"/>
  <c r="J108" i="66"/>
  <c r="L136" i="66"/>
  <c r="L37" i="66"/>
  <c r="L35" i="66"/>
  <c r="K219" i="66"/>
  <c r="H220" i="66"/>
  <c r="N57" i="66"/>
  <c r="N273" i="66"/>
  <c r="M145" i="66"/>
  <c r="M239" i="66"/>
  <c r="K258" i="66"/>
  <c r="M188" i="66"/>
  <c r="J276" i="66"/>
  <c r="M58" i="66"/>
  <c r="L128" i="66"/>
  <c r="H57" i="66"/>
  <c r="H216" i="66"/>
  <c r="J268" i="66"/>
  <c r="H237" i="66"/>
  <c r="N64" i="66"/>
  <c r="J271" i="66"/>
  <c r="H206" i="66"/>
  <c r="L261" i="66"/>
  <c r="M235" i="66"/>
  <c r="N249" i="66"/>
  <c r="J33" i="66"/>
  <c r="N114" i="66"/>
  <c r="M113" i="66"/>
  <c r="K127" i="66"/>
  <c r="J275" i="66"/>
  <c r="K35" i="66"/>
  <c r="M191" i="66"/>
  <c r="J266" i="66"/>
  <c r="J277" i="66"/>
  <c r="L155" i="66"/>
  <c r="M12" i="66"/>
  <c r="N12" i="66"/>
  <c r="J103" i="66"/>
  <c r="T114" i="66"/>
  <c r="J228" i="66"/>
  <c r="K187" i="66"/>
  <c r="K16" i="66"/>
  <c r="L120" i="66"/>
  <c r="L11" i="66"/>
  <c r="K73" i="66"/>
  <c r="L79" i="66"/>
  <c r="H37" i="66"/>
  <c r="N40" i="66"/>
  <c r="M86" i="66"/>
  <c r="M86" i="74" s="1"/>
  <c r="N158" i="66"/>
  <c r="N191" i="66"/>
  <c r="N124" i="66"/>
  <c r="J105" i="66"/>
  <c r="N229" i="66"/>
  <c r="L140" i="66"/>
  <c r="N278" i="66"/>
  <c r="M231" i="66"/>
  <c r="L100" i="66"/>
  <c r="N23" i="66"/>
  <c r="K107" i="66"/>
  <c r="L125" i="66"/>
  <c r="J89" i="66"/>
  <c r="L233" i="66"/>
  <c r="N181" i="66"/>
  <c r="H123" i="66"/>
  <c r="J206" i="66"/>
  <c r="J119" i="66"/>
  <c r="H233" i="66"/>
  <c r="K155" i="66"/>
  <c r="M64" i="66"/>
  <c r="M222" i="66"/>
  <c r="L231" i="66"/>
  <c r="N232" i="66"/>
  <c r="J207" i="66"/>
  <c r="N111" i="66"/>
  <c r="N245" i="66"/>
  <c r="J177" i="66"/>
  <c r="H83" i="66"/>
  <c r="L71" i="66"/>
  <c r="L112" i="66"/>
  <c r="N151" i="66"/>
  <c r="K120" i="66"/>
  <c r="N141" i="66"/>
  <c r="M48" i="66"/>
  <c r="N175" i="66"/>
  <c r="K196" i="66"/>
  <c r="M173" i="66"/>
  <c r="H261" i="66"/>
  <c r="M196" i="66"/>
  <c r="L211" i="66"/>
  <c r="J283" i="66"/>
  <c r="L253" i="66"/>
  <c r="N29" i="66"/>
  <c r="J97" i="66"/>
  <c r="J4" i="66"/>
  <c r="K290" i="66"/>
  <c r="K49" i="66"/>
  <c r="H45" i="66"/>
  <c r="N244" i="66"/>
  <c r="K47" i="66"/>
  <c r="N118" i="66"/>
  <c r="L69" i="66"/>
  <c r="L113" i="66"/>
  <c r="L154" i="66"/>
  <c r="K136" i="66"/>
  <c r="H268" i="66"/>
  <c r="J168" i="66"/>
  <c r="M106" i="66"/>
  <c r="K195" i="66"/>
  <c r="N25" i="66"/>
  <c r="M171" i="66"/>
  <c r="M13" i="66"/>
  <c r="N173" i="66"/>
  <c r="L81" i="66"/>
  <c r="N27" i="66"/>
  <c r="K115" i="66"/>
  <c r="L76" i="66"/>
  <c r="J289" i="66"/>
  <c r="N106" i="66"/>
  <c r="H253" i="66"/>
  <c r="J61" i="66"/>
  <c r="J183" i="66"/>
  <c r="H98" i="66"/>
  <c r="H168" i="66"/>
  <c r="N11" i="66"/>
  <c r="H33" i="66"/>
  <c r="H50" i="66"/>
  <c r="K86" i="66"/>
  <c r="J64" i="66"/>
  <c r="K77" i="66"/>
  <c r="M93" i="66"/>
  <c r="K235" i="66"/>
  <c r="N223" i="66"/>
  <c r="H201" i="66"/>
  <c r="N122" i="66"/>
  <c r="N145" i="66"/>
  <c r="L251" i="66"/>
  <c r="L237" i="66"/>
  <c r="H277" i="66"/>
  <c r="N259" i="66"/>
  <c r="L220" i="66"/>
  <c r="J252" i="66"/>
  <c r="M236" i="66"/>
  <c r="N182" i="66"/>
  <c r="M160" i="66"/>
  <c r="N123" i="66"/>
  <c r="L139" i="66"/>
  <c r="J171" i="66"/>
  <c r="M62" i="66"/>
  <c r="M148" i="66"/>
  <c r="M4" i="74" s="1"/>
  <c r="H150" i="66"/>
  <c r="K139" i="66"/>
  <c r="N115" i="66"/>
  <c r="J255" i="66"/>
  <c r="L156" i="66"/>
  <c r="J227" i="66"/>
  <c r="K244" i="66"/>
  <c r="J259" i="66"/>
  <c r="M270" i="66"/>
  <c r="N255" i="66"/>
  <c r="K269" i="66"/>
  <c r="N15" i="66"/>
  <c r="J151" i="66"/>
  <c r="L265" i="66"/>
  <c r="N88" i="66"/>
  <c r="H241" i="66"/>
  <c r="L149" i="66"/>
  <c r="M255" i="66"/>
  <c r="J52" i="66"/>
  <c r="J260" i="66"/>
  <c r="N60" i="66"/>
  <c r="J101" i="66"/>
  <c r="N214" i="66"/>
  <c r="M170" i="66"/>
  <c r="L70" i="66"/>
  <c r="N24" i="66"/>
  <c r="H12" i="66"/>
  <c r="K130" i="66"/>
  <c r="L246" i="66"/>
  <c r="J226" i="66"/>
  <c r="N193" i="66"/>
  <c r="L34" i="66"/>
  <c r="K158" i="66"/>
  <c r="L273" i="66"/>
  <c r="N218" i="66"/>
  <c r="K289" i="66"/>
  <c r="L238" i="66"/>
  <c r="H143" i="66"/>
  <c r="J187" i="66"/>
  <c r="N208" i="66"/>
  <c r="J253" i="66"/>
  <c r="M287" i="66"/>
  <c r="H27" i="66"/>
  <c r="K275" i="66"/>
  <c r="K24" i="66"/>
  <c r="J256" i="66"/>
  <c r="L249" i="66"/>
  <c r="L18" i="66"/>
  <c r="N28" i="66"/>
  <c r="J6" i="66"/>
  <c r="J158" i="66"/>
  <c r="L212" i="66"/>
  <c r="H231" i="66"/>
  <c r="J130" i="66"/>
  <c r="J130" i="74" s="1"/>
  <c r="L268" i="66"/>
  <c r="M109" i="66"/>
  <c r="M282" i="66"/>
  <c r="N268" i="66"/>
  <c r="L51" i="66"/>
  <c r="N10" i="66"/>
  <c r="H242" i="66"/>
  <c r="L180" i="66"/>
  <c r="H69" i="66"/>
  <c r="L54" i="66"/>
  <c r="H148" i="66"/>
  <c r="L96" i="66"/>
  <c r="M208" i="66"/>
  <c r="H263" i="66"/>
  <c r="L198" i="66"/>
  <c r="J245" i="66"/>
  <c r="H230" i="66"/>
  <c r="J123" i="66"/>
  <c r="K251" i="66"/>
  <c r="J263" i="66"/>
  <c r="H165" i="66"/>
  <c r="K248" i="66"/>
  <c r="K197" i="66"/>
  <c r="K53" i="74" s="1"/>
  <c r="K173" i="66"/>
  <c r="H199" i="66"/>
  <c r="L23" i="66"/>
  <c r="J217" i="66"/>
  <c r="N136" i="66"/>
  <c r="K225" i="66"/>
  <c r="H60" i="66"/>
  <c r="L10" i="66"/>
  <c r="J56" i="66"/>
  <c r="J166" i="66"/>
  <c r="L201" i="66"/>
  <c r="J142" i="66"/>
  <c r="H19" i="66"/>
  <c r="M65" i="66"/>
  <c r="N201" i="66"/>
  <c r="T220" i="66"/>
  <c r="K72" i="66"/>
  <c r="L83" i="66"/>
  <c r="N98" i="66"/>
  <c r="K112" i="66"/>
  <c r="L260" i="66"/>
  <c r="N270" i="66"/>
  <c r="N237" i="66"/>
  <c r="M101" i="66"/>
  <c r="L107" i="66"/>
  <c r="M215" i="66"/>
  <c r="M149" i="66"/>
  <c r="M23" i="66"/>
  <c r="J201" i="66"/>
  <c r="J178" i="66"/>
  <c r="L74" i="66"/>
  <c r="K97" i="66"/>
  <c r="N9" i="66"/>
  <c r="N197" i="66"/>
  <c r="M258" i="66"/>
  <c r="H276" i="66"/>
  <c r="K182" i="66"/>
  <c r="L29" i="66"/>
  <c r="H8" i="66"/>
  <c r="J58" i="66"/>
  <c r="H112" i="66"/>
  <c r="N46" i="66"/>
  <c r="L32" i="66"/>
  <c r="L189" i="66"/>
  <c r="J176" i="66"/>
  <c r="L196" i="66"/>
  <c r="J216" i="66"/>
  <c r="H89" i="66"/>
  <c r="L162" i="66"/>
  <c r="M174" i="66"/>
  <c r="L117" i="66"/>
  <c r="K134" i="66"/>
  <c r="M163" i="66"/>
  <c r="H152" i="66"/>
  <c r="K31" i="66"/>
  <c r="K5" i="66"/>
  <c r="N224" i="66"/>
  <c r="M80" i="66"/>
  <c r="L25" i="66"/>
  <c r="K228" i="66"/>
  <c r="L64" i="66"/>
  <c r="J174" i="66"/>
  <c r="J12" i="66"/>
  <c r="J12" i="74" s="1"/>
  <c r="N210" i="66"/>
  <c r="H95" i="66"/>
  <c r="M267" i="66"/>
  <c r="H158" i="66"/>
  <c r="K143" i="66"/>
  <c r="H187" i="66"/>
  <c r="H106" i="66"/>
  <c r="N235" i="66"/>
  <c r="L153" i="66"/>
  <c r="K205" i="66"/>
  <c r="N163" i="66"/>
  <c r="H287" i="66"/>
  <c r="J65" i="66"/>
  <c r="M204" i="66"/>
  <c r="J45" i="66"/>
  <c r="L194" i="66"/>
  <c r="N280" i="66"/>
  <c r="L97" i="66"/>
  <c r="X37" i="66"/>
  <c r="T37" i="66"/>
  <c r="N266" i="66"/>
  <c r="H55" i="66"/>
  <c r="N250" i="66"/>
  <c r="H246" i="66"/>
  <c r="M63" i="66"/>
  <c r="H204" i="66"/>
  <c r="M280" i="66"/>
  <c r="J147" i="66"/>
  <c r="L110" i="66"/>
  <c r="N100" i="66"/>
  <c r="N153" i="66"/>
  <c r="J10" i="66"/>
  <c r="M138" i="66"/>
  <c r="J264" i="66"/>
  <c r="J120" i="74" s="1"/>
  <c r="K168" i="66"/>
  <c r="J172" i="66"/>
  <c r="H75" i="66"/>
  <c r="N203" i="66"/>
  <c r="L288" i="66"/>
  <c r="K79" i="66"/>
  <c r="J71" i="66"/>
  <c r="L122" i="66"/>
  <c r="J100" i="66"/>
  <c r="H130" i="66"/>
  <c r="J55" i="66"/>
  <c r="J129" i="66"/>
  <c r="J129" i="74" s="1"/>
  <c r="N101" i="66"/>
  <c r="N157" i="66"/>
  <c r="M175" i="66"/>
  <c r="M33" i="66"/>
  <c r="J75" i="66"/>
  <c r="M225" i="66"/>
  <c r="N140" i="66"/>
  <c r="L168" i="66"/>
  <c r="J68" i="66"/>
  <c r="L285" i="66"/>
  <c r="K121" i="66"/>
  <c r="J98" i="66"/>
  <c r="J165" i="66"/>
  <c r="H142" i="66"/>
  <c r="L269" i="66"/>
  <c r="N103" i="66"/>
  <c r="H97" i="66"/>
  <c r="N167" i="66"/>
  <c r="K110" i="66"/>
  <c r="J194" i="66"/>
  <c r="H146" i="66"/>
  <c r="J42" i="66"/>
  <c r="H259" i="66"/>
  <c r="J251" i="66"/>
  <c r="K61" i="66"/>
  <c r="M10" i="66"/>
  <c r="L19" i="66"/>
  <c r="N71" i="66"/>
  <c r="M52" i="66"/>
  <c r="M161" i="66"/>
  <c r="N58" i="66"/>
  <c r="M114" i="66"/>
  <c r="J148" i="66"/>
  <c r="N75" i="66"/>
  <c r="J132" i="66"/>
  <c r="N262" i="66"/>
  <c r="H290" i="66"/>
  <c r="L199" i="66"/>
  <c r="M140" i="66"/>
  <c r="K181" i="66"/>
  <c r="K37" i="74" s="1"/>
  <c r="L138" i="66"/>
  <c r="L138" i="74" s="1"/>
  <c r="N240" i="66"/>
  <c r="H283" i="66"/>
  <c r="L216" i="66"/>
  <c r="L234" i="66"/>
  <c r="M19" i="66"/>
  <c r="M46" i="66"/>
  <c r="H84" i="66"/>
  <c r="N67" i="66"/>
  <c r="K229" i="66"/>
  <c r="L291" i="66"/>
  <c r="K200" i="66"/>
  <c r="J57" i="66"/>
  <c r="M9" i="66"/>
  <c r="H179" i="66"/>
  <c r="L169" i="66"/>
  <c r="M5" i="66"/>
  <c r="J90" i="66"/>
  <c r="N146" i="66"/>
  <c r="L206" i="66"/>
  <c r="N190" i="66"/>
  <c r="M60" i="66"/>
  <c r="N216" i="66"/>
  <c r="L24" i="66"/>
  <c r="J175" i="66"/>
  <c r="J115" i="66"/>
  <c r="H256" i="66"/>
  <c r="K166" i="66"/>
  <c r="L178" i="66"/>
  <c r="J66" i="66"/>
  <c r="K151" i="66"/>
  <c r="J180" i="66"/>
  <c r="H28" i="66"/>
  <c r="J23" i="66"/>
  <c r="M226" i="66"/>
  <c r="M248" i="66"/>
  <c r="M187" i="66"/>
  <c r="H215" i="66"/>
  <c r="J232" i="66"/>
  <c r="J20" i="66"/>
  <c r="M125" i="66"/>
  <c r="N170" i="66"/>
  <c r="H86" i="66"/>
  <c r="L177" i="66"/>
  <c r="J25" i="66"/>
  <c r="K33" i="66"/>
  <c r="N82" i="66"/>
  <c r="L232" i="66"/>
  <c r="J164" i="66"/>
  <c r="M157" i="66"/>
  <c r="L167" i="66"/>
  <c r="J220" i="66"/>
  <c r="H93" i="66"/>
  <c r="K280" i="66"/>
  <c r="H41" i="66"/>
  <c r="J288" i="66"/>
  <c r="L281" i="66"/>
  <c r="J16" i="66"/>
  <c r="S4" i="66"/>
  <c r="L271" i="66"/>
  <c r="L227" i="66"/>
  <c r="K175" i="66"/>
  <c r="L187" i="66"/>
  <c r="H157" i="66"/>
  <c r="L12" i="66"/>
  <c r="J286" i="66"/>
  <c r="L141" i="66"/>
  <c r="M134" i="66"/>
  <c r="H244" i="66"/>
  <c r="H71" i="66"/>
  <c r="K111" i="66"/>
  <c r="M40" i="66"/>
  <c r="K133" i="66"/>
  <c r="M210" i="66"/>
  <c r="K183" i="66"/>
  <c r="M178" i="66"/>
  <c r="N148" i="66"/>
  <c r="N226" i="66"/>
  <c r="K52" i="66"/>
  <c r="N152" i="66"/>
  <c r="J167" i="66"/>
  <c r="L278" i="66"/>
  <c r="M193" i="66"/>
  <c r="H52" i="66"/>
  <c r="N265" i="66"/>
  <c r="M18" i="66"/>
  <c r="J284" i="66"/>
  <c r="H99" i="66"/>
  <c r="L190" i="66"/>
  <c r="N176" i="66"/>
  <c r="J202" i="66"/>
  <c r="M71" i="66"/>
  <c r="J290" i="66"/>
  <c r="J146" i="74" s="1"/>
  <c r="H156" i="66"/>
  <c r="M121" i="66"/>
  <c r="M121" i="74" s="1"/>
  <c r="K70" i="66"/>
  <c r="M218" i="66"/>
  <c r="H104" i="66"/>
  <c r="N253" i="66"/>
  <c r="J34" i="66"/>
  <c r="H145" i="66"/>
  <c r="H252" i="66"/>
  <c r="L62" i="66"/>
  <c r="J134" i="66"/>
  <c r="M122" i="66"/>
  <c r="N62" i="66"/>
  <c r="K180" i="66"/>
  <c r="L163" i="66"/>
  <c r="J239" i="66"/>
  <c r="L82" i="66"/>
  <c r="M100" i="66"/>
  <c r="M104" i="66"/>
  <c r="M75" i="66"/>
  <c r="J191" i="66"/>
  <c r="M108" i="66"/>
  <c r="M250" i="66"/>
  <c r="J265" i="66"/>
  <c r="H38" i="66"/>
  <c r="J153" i="66"/>
  <c r="L210" i="66"/>
  <c r="L157" i="66"/>
  <c r="L264" i="66"/>
  <c r="K59" i="66"/>
  <c r="K230" i="66"/>
  <c r="J80" i="66"/>
  <c r="J192" i="66"/>
  <c r="H36" i="66"/>
  <c r="J208" i="66"/>
  <c r="L270" i="66"/>
  <c r="H235" i="66"/>
  <c r="N284" i="66"/>
  <c r="L132" i="66"/>
  <c r="L132" i="74" s="1"/>
  <c r="N142" i="66"/>
  <c r="N76" i="66"/>
  <c r="J237" i="66"/>
  <c r="J76" i="66"/>
  <c r="M79" i="66"/>
  <c r="K199" i="66"/>
  <c r="J14" i="66"/>
  <c r="J225" i="66"/>
  <c r="L226" i="66"/>
  <c r="L115" i="66"/>
  <c r="M234" i="66"/>
  <c r="L164" i="66"/>
  <c r="M152" i="66"/>
  <c r="J247" i="66"/>
  <c r="H63" i="66"/>
  <c r="N239" i="66"/>
  <c r="L127" i="66"/>
  <c r="J188" i="66"/>
  <c r="K243" i="66"/>
  <c r="N162" i="66"/>
  <c r="H153" i="66"/>
  <c r="H133" i="66"/>
  <c r="K56" i="66"/>
  <c r="J38" i="66"/>
  <c r="M112" i="66"/>
  <c r="M45" i="66"/>
  <c r="N30" i="66"/>
  <c r="N30" i="74" s="1"/>
  <c r="K256" i="66"/>
  <c r="J270" i="66"/>
  <c r="L72" i="66"/>
  <c r="M266" i="66"/>
  <c r="K55" i="66"/>
  <c r="L36" i="66"/>
  <c r="L188" i="66"/>
  <c r="L6" i="66"/>
  <c r="J257" i="66"/>
  <c r="N194" i="66"/>
  <c r="J22" i="66"/>
  <c r="K194" i="66"/>
  <c r="N77" i="66"/>
  <c r="K191" i="66"/>
  <c r="J118" i="66"/>
  <c r="N236" i="66"/>
  <c r="J35" i="66"/>
  <c r="L283" i="66"/>
  <c r="X53" i="66"/>
  <c r="T53" i="66"/>
  <c r="X99" i="66"/>
  <c r="T99" i="66"/>
  <c r="L235" i="66"/>
  <c r="H94" i="66"/>
  <c r="M167" i="66"/>
  <c r="L239" i="66"/>
  <c r="H227" i="66"/>
  <c r="H137" i="66"/>
  <c r="K278" i="66"/>
  <c r="M263" i="66"/>
  <c r="L284" i="66"/>
  <c r="J141" i="66"/>
  <c r="M47" i="66"/>
  <c r="L197" i="66"/>
  <c r="N205" i="66"/>
  <c r="H207" i="66"/>
  <c r="J77" i="66"/>
  <c r="J199" i="66"/>
  <c r="H271" i="66"/>
  <c r="H281" i="66"/>
  <c r="J205" i="66"/>
  <c r="H250" i="66"/>
  <c r="M49" i="66"/>
  <c r="J41" i="66"/>
  <c r="H56" i="66"/>
  <c r="K7" i="66"/>
  <c r="L145" i="66"/>
  <c r="H135" i="66"/>
  <c r="H226" i="66"/>
  <c r="K43" i="66"/>
  <c r="N22" i="66"/>
  <c r="M16" i="66"/>
  <c r="J267" i="66"/>
  <c r="M61" i="66"/>
  <c r="J5" i="66"/>
  <c r="H16" i="66"/>
  <c r="L48" i="66"/>
  <c r="J43" i="66"/>
  <c r="K64" i="66"/>
  <c r="N126" i="66"/>
  <c r="M27" i="66"/>
  <c r="M57" i="66"/>
  <c r="L53" i="66"/>
  <c r="N90" i="66"/>
  <c r="L33" i="66"/>
  <c r="J235" i="66"/>
  <c r="M217" i="66"/>
  <c r="J189" i="66"/>
  <c r="L184" i="66"/>
  <c r="L134" i="66"/>
  <c r="M29" i="66"/>
  <c r="M195" i="66"/>
  <c r="J150" i="66"/>
  <c r="K245" i="66"/>
  <c r="M283" i="66"/>
  <c r="K177" i="66"/>
  <c r="N269" i="66"/>
  <c r="H124" i="66"/>
  <c r="K147" i="66"/>
  <c r="H286" i="66"/>
  <c r="M286" i="66"/>
  <c r="H254" i="66"/>
  <c r="K162" i="66"/>
  <c r="J196" i="66"/>
  <c r="K265" i="66"/>
  <c r="K137" i="66"/>
  <c r="M78" i="66"/>
  <c r="L289" i="66"/>
  <c r="J279" i="66"/>
  <c r="L40" i="66"/>
  <c r="J36" i="66"/>
  <c r="L195" i="66"/>
  <c r="L272" i="66"/>
  <c r="H9" i="66"/>
  <c r="K109" i="66"/>
  <c r="N52" i="66"/>
  <c r="J28" i="66"/>
  <c r="L225" i="66"/>
  <c r="L287" i="66"/>
  <c r="K239" i="66"/>
  <c r="J169" i="66"/>
  <c r="K81" i="66"/>
  <c r="M273" i="66"/>
  <c r="L257" i="66"/>
  <c r="J291" i="66"/>
  <c r="K217" i="66"/>
  <c r="L42" i="66"/>
  <c r="K62" i="66"/>
  <c r="L13" i="66"/>
  <c r="L223" i="66"/>
  <c r="M220" i="66"/>
  <c r="M76" i="74" s="1"/>
  <c r="L87" i="66"/>
  <c r="M206" i="66"/>
  <c r="K276" i="66"/>
  <c r="H175" i="66"/>
  <c r="H202" i="66"/>
  <c r="J69" i="66"/>
  <c r="H255" i="66"/>
  <c r="J143" i="66"/>
  <c r="L147" i="66"/>
  <c r="N287" i="66"/>
  <c r="J157" i="66"/>
  <c r="L228" i="66"/>
  <c r="J173" i="66"/>
  <c r="L88" i="66"/>
  <c r="J83" i="66"/>
  <c r="M53" i="66"/>
  <c r="M53" i="74" s="1"/>
  <c r="M73" i="66"/>
  <c r="H193" i="66"/>
  <c r="N34" i="66"/>
  <c r="L170" i="66"/>
  <c r="N49" i="66"/>
  <c r="N247" i="66"/>
  <c r="M147" i="66"/>
  <c r="N228" i="66"/>
  <c r="M67" i="66"/>
  <c r="N47" i="66"/>
  <c r="H196" i="66"/>
  <c r="J250" i="66"/>
  <c r="K11" i="66"/>
  <c r="J211" i="66"/>
  <c r="L80" i="66"/>
  <c r="J84" i="66"/>
  <c r="H159" i="66"/>
  <c r="K146" i="66"/>
  <c r="M189" i="66"/>
  <c r="L240" i="66"/>
  <c r="M168" i="66"/>
  <c r="M95" i="66"/>
  <c r="J215" i="66"/>
  <c r="L45" i="66"/>
  <c r="N272" i="66"/>
  <c r="H247" i="66"/>
  <c r="L214" i="66"/>
  <c r="M166" i="66"/>
  <c r="M22" i="74" s="1"/>
  <c r="J122" i="66"/>
  <c r="K19" i="66"/>
  <c r="L67" i="66"/>
  <c r="J73" i="66"/>
  <c r="L290" i="66"/>
  <c r="H249" i="66"/>
  <c r="H14" i="66"/>
  <c r="H39" i="66"/>
  <c r="H115" i="66"/>
  <c r="N33" i="66"/>
  <c r="H264" i="66"/>
  <c r="J224" i="66"/>
  <c r="N288" i="66"/>
  <c r="L92" i="66"/>
  <c r="J170" i="66"/>
  <c r="N31" i="66"/>
  <c r="K51" i="66"/>
  <c r="N93" i="66"/>
  <c r="N13" i="66"/>
  <c r="J74" i="66"/>
  <c r="N263" i="66"/>
  <c r="L236" i="66"/>
  <c r="H47" i="66"/>
  <c r="J261" i="66"/>
  <c r="N105" i="66"/>
  <c r="J106" i="66"/>
  <c r="N200" i="66"/>
  <c r="K63" i="66"/>
  <c r="M28" i="66"/>
  <c r="L221" i="66"/>
  <c r="H185" i="66"/>
  <c r="H163" i="66"/>
  <c r="L95" i="66"/>
  <c r="J269" i="66"/>
  <c r="L279" i="66"/>
  <c r="J204" i="66"/>
  <c r="H120" i="66"/>
  <c r="N78" i="66"/>
  <c r="M82" i="66"/>
  <c r="K210" i="66"/>
  <c r="M44" i="66"/>
  <c r="H139" i="66"/>
  <c r="K13" i="66"/>
  <c r="H182" i="66"/>
  <c r="J231" i="66"/>
  <c r="K22" i="66"/>
  <c r="K38" i="66"/>
  <c r="H141" i="66"/>
  <c r="K95" i="66"/>
  <c r="H180" i="66"/>
  <c r="M129" i="66"/>
  <c r="M284" i="66"/>
  <c r="M111" i="66"/>
  <c r="M207" i="66"/>
  <c r="K211" i="66"/>
  <c r="L204" i="66"/>
  <c r="M135" i="66"/>
  <c r="J238" i="66"/>
  <c r="M38" i="66"/>
  <c r="N7" i="66"/>
  <c r="J135" i="66"/>
  <c r="N16" i="66"/>
  <c r="M214" i="66"/>
  <c r="J179" i="66"/>
  <c r="M24" i="66"/>
  <c r="N180" i="66"/>
  <c r="L218" i="66"/>
  <c r="L26" i="66"/>
  <c r="K40" i="66"/>
  <c r="N199" i="66"/>
  <c r="J154" i="66"/>
  <c r="J126" i="66"/>
  <c r="L174" i="66"/>
  <c r="N4" i="66"/>
  <c r="K254" i="66"/>
  <c r="N97" i="66"/>
  <c r="N73" i="66"/>
  <c r="L103" i="66"/>
  <c r="L129" i="66"/>
  <c r="K273" i="66"/>
  <c r="M192" i="66"/>
  <c r="K255" i="66"/>
  <c r="L9" i="66"/>
  <c r="J104" i="66"/>
  <c r="J104" i="74" s="1"/>
  <c r="K39" i="66"/>
  <c r="M291" i="66"/>
  <c r="J162" i="66"/>
  <c r="N104" i="66"/>
  <c r="M142" i="66"/>
  <c r="N63" i="66"/>
  <c r="J94" i="66"/>
  <c r="N282" i="66"/>
  <c r="H100" i="66"/>
  <c r="N53" i="66"/>
  <c r="K66" i="66"/>
  <c r="M172" i="66"/>
  <c r="S172" i="66" s="1"/>
  <c r="H15" i="66"/>
  <c r="K188" i="66"/>
  <c r="J50" i="66"/>
  <c r="N37" i="66"/>
  <c r="N95" i="66"/>
  <c r="L183" i="66"/>
  <c r="H82" i="66"/>
  <c r="H117" i="66"/>
  <c r="J193" i="66"/>
  <c r="N166" i="66"/>
  <c r="L255" i="66"/>
  <c r="D261" i="72" a="1"/>
  <c r="D261" i="72" s="1"/>
  <c r="D136" i="72" a="1"/>
  <c r="D136" i="72" s="1"/>
  <c r="M11" i="74" l="1"/>
  <c r="S176" i="66"/>
  <c r="O4" i="41"/>
  <c r="X176" i="66"/>
  <c r="L118" i="74"/>
  <c r="H25" i="74"/>
  <c r="L85" i="74"/>
  <c r="N15" i="74"/>
  <c r="N110" i="74"/>
  <c r="J437" i="41"/>
  <c r="L67" i="74"/>
  <c r="S192" i="66"/>
  <c r="L115" i="74"/>
  <c r="J75" i="74"/>
  <c r="J5" i="74"/>
  <c r="M61" i="74"/>
  <c r="M18" i="74"/>
  <c r="J56" i="74"/>
  <c r="J114" i="74"/>
  <c r="S189" i="66"/>
  <c r="M67" i="74"/>
  <c r="S167" i="66"/>
  <c r="N58" i="74"/>
  <c r="M38" i="74"/>
  <c r="Q157" i="66"/>
  <c r="W157" i="66" s="1"/>
  <c r="J141" i="74"/>
  <c r="X157" i="66"/>
  <c r="N63" i="74"/>
  <c r="M72" i="74"/>
  <c r="G106" i="74"/>
  <c r="L103" i="74"/>
  <c r="L99" i="74"/>
  <c r="N14" i="74"/>
  <c r="N105" i="74"/>
  <c r="G100" i="74"/>
  <c r="O6" i="41"/>
  <c r="X132" i="66"/>
  <c r="L6" i="74"/>
  <c r="T4" i="66"/>
  <c r="U4" i="66" s="1"/>
  <c r="J73" i="74"/>
  <c r="M109" i="74"/>
  <c r="N25" i="74"/>
  <c r="K114" i="74"/>
  <c r="X114" i="74" s="1"/>
  <c r="N142" i="74"/>
  <c r="J79" i="74"/>
  <c r="N27" i="74"/>
  <c r="N47" i="74"/>
  <c r="N97" i="74"/>
  <c r="G283" i="66"/>
  <c r="K4" i="74"/>
  <c r="T4" i="74" s="1"/>
  <c r="N17" i="74"/>
  <c r="X4" i="66"/>
  <c r="E13" i="39"/>
  <c r="E14" i="39"/>
  <c r="N95" i="74"/>
  <c r="G284" i="66"/>
  <c r="AB3" i="39"/>
  <c r="G71" i="74"/>
  <c r="G124" i="74"/>
  <c r="L69" i="74"/>
  <c r="H73" i="74"/>
  <c r="U176" i="66"/>
  <c r="M9" i="74"/>
  <c r="N129" i="74"/>
  <c r="N139" i="74"/>
  <c r="J53" i="74"/>
  <c r="O5" i="41"/>
  <c r="N73" i="74"/>
  <c r="J42" i="74"/>
  <c r="T82" i="66"/>
  <c r="N90" i="74"/>
  <c r="S156" i="66"/>
  <c r="J134" i="74"/>
  <c r="Q82" i="66"/>
  <c r="W82" i="66" s="1"/>
  <c r="Y82" i="66" s="1"/>
  <c r="N49" i="74"/>
  <c r="J110" i="74"/>
  <c r="J428" i="41"/>
  <c r="N53" i="74"/>
  <c r="N126" i="74"/>
  <c r="L42" i="74"/>
  <c r="N45" i="74"/>
  <c r="L45" i="74"/>
  <c r="J43" i="74"/>
  <c r="J8" i="74"/>
  <c r="M44" i="74"/>
  <c r="J38" i="74"/>
  <c r="N98" i="74"/>
  <c r="L12" i="74"/>
  <c r="L46" i="39"/>
  <c r="E159" i="38" s="1"/>
  <c r="I467" i="58" s="1"/>
  <c r="M135" i="74"/>
  <c r="N79" i="74"/>
  <c r="L122" i="74"/>
  <c r="J115" i="74"/>
  <c r="L100" i="74"/>
  <c r="E363" i="38"/>
  <c r="L124" i="66" s="1"/>
  <c r="L124" i="74" s="1"/>
  <c r="J476" i="41"/>
  <c r="J436" i="41"/>
  <c r="J460" i="37"/>
  <c r="J461" i="37"/>
  <c r="G134" i="74"/>
  <c r="G127" i="66"/>
  <c r="G127" i="74" s="1"/>
  <c r="J426" i="41"/>
  <c r="M75" i="74"/>
  <c r="F222" i="18"/>
  <c r="G125" i="66"/>
  <c r="G125" i="74" s="1"/>
  <c r="J429" i="41"/>
  <c r="H56" i="74"/>
  <c r="J105" i="74"/>
  <c r="J427" i="41"/>
  <c r="E15" i="39" s="1"/>
  <c r="G141" i="66"/>
  <c r="E42" i="39"/>
  <c r="E123" i="38" s="1"/>
  <c r="J132" i="74"/>
  <c r="G129" i="66"/>
  <c r="G129" i="74" s="1"/>
  <c r="J434" i="41"/>
  <c r="J11" i="74"/>
  <c r="G285" i="66"/>
  <c r="M42" i="39"/>
  <c r="E174" i="38" s="1"/>
  <c r="J461" i="58"/>
  <c r="J460" i="58"/>
  <c r="N76" i="74"/>
  <c r="N60" i="74"/>
  <c r="L101" i="74"/>
  <c r="N123" i="74"/>
  <c r="L37" i="74"/>
  <c r="H27" i="74"/>
  <c r="E16" i="39"/>
  <c r="M77" i="74"/>
  <c r="H42" i="74"/>
  <c r="J143" i="74"/>
  <c r="L32" i="74"/>
  <c r="N44" i="74"/>
  <c r="M5" i="74"/>
  <c r="N100" i="74"/>
  <c r="M27" i="74"/>
  <c r="M29" i="74"/>
  <c r="N28" i="74"/>
  <c r="M79" i="74"/>
  <c r="H75" i="74"/>
  <c r="N34" i="74"/>
  <c r="J99" i="74"/>
  <c r="N94" i="74"/>
  <c r="H5" i="74"/>
  <c r="L63" i="74"/>
  <c r="L78" i="74"/>
  <c r="M95" i="74"/>
  <c r="L88" i="74"/>
  <c r="M125" i="74"/>
  <c r="L36" i="74"/>
  <c r="M88" i="74"/>
  <c r="T253" i="66"/>
  <c r="N36" i="74"/>
  <c r="M100" i="74"/>
  <c r="N5" i="74"/>
  <c r="N146" i="74"/>
  <c r="J98" i="74"/>
  <c r="N75" i="74"/>
  <c r="O156" i="66"/>
  <c r="L102" i="74"/>
  <c r="N40" i="74"/>
  <c r="N12" i="74"/>
  <c r="N33" i="74"/>
  <c r="L147" i="74"/>
  <c r="N71" i="74"/>
  <c r="N24" i="74"/>
  <c r="N4" i="74"/>
  <c r="J77" i="74"/>
  <c r="N52" i="74"/>
  <c r="M47" i="74"/>
  <c r="L117" i="74"/>
  <c r="J22" i="74"/>
  <c r="N127" i="74"/>
  <c r="L29" i="74"/>
  <c r="L35" i="74"/>
  <c r="J20" i="74"/>
  <c r="L15" i="74"/>
  <c r="H88" i="74"/>
  <c r="J14" i="74"/>
  <c r="O202" i="66"/>
  <c r="M104" i="74"/>
  <c r="J34" i="74"/>
  <c r="S34" i="66"/>
  <c r="M19" i="74"/>
  <c r="L64" i="74"/>
  <c r="N120" i="74"/>
  <c r="L107" i="74"/>
  <c r="J17" i="74"/>
  <c r="L89" i="74"/>
  <c r="L58" i="74"/>
  <c r="L33" i="74"/>
  <c r="S154" i="66"/>
  <c r="I473" i="41"/>
  <c r="M129" i="74"/>
  <c r="M52" i="74"/>
  <c r="T34" i="66"/>
  <c r="M134" i="74"/>
  <c r="L129" i="74"/>
  <c r="S99" i="66"/>
  <c r="U99" i="66" s="1"/>
  <c r="J107" i="74"/>
  <c r="M16" i="74"/>
  <c r="O223" i="66"/>
  <c r="J100" i="74"/>
  <c r="J89" i="74"/>
  <c r="N114" i="74"/>
  <c r="J92" i="74"/>
  <c r="L110" i="74"/>
  <c r="M111" i="74"/>
  <c r="L133" i="74"/>
  <c r="N31" i="74"/>
  <c r="M73" i="74"/>
  <c r="N115" i="74"/>
  <c r="J97" i="74"/>
  <c r="N132" i="74"/>
  <c r="J50" i="74"/>
  <c r="L10" i="74"/>
  <c r="J83" i="74"/>
  <c r="H90" i="74"/>
  <c r="L13" i="74"/>
  <c r="J431" i="41"/>
  <c r="J85" i="74"/>
  <c r="L28" i="74"/>
  <c r="L72" i="74"/>
  <c r="N88" i="74"/>
  <c r="M91" i="74"/>
  <c r="J36" i="74"/>
  <c r="I454" i="41"/>
  <c r="J439" i="41"/>
  <c r="I463" i="41"/>
  <c r="I453" i="41"/>
  <c r="H17" i="74"/>
  <c r="O182" i="66"/>
  <c r="N62" i="74"/>
  <c r="O196" i="66"/>
  <c r="L97" i="74"/>
  <c r="H53" i="74"/>
  <c r="M25" i="74"/>
  <c r="L41" i="74"/>
  <c r="L48" i="74"/>
  <c r="O241" i="66"/>
  <c r="H10" i="74"/>
  <c r="X9" i="66"/>
  <c r="J41" i="74"/>
  <c r="L141" i="74"/>
  <c r="L24" i="74"/>
  <c r="M39" i="74"/>
  <c r="M40" i="74"/>
  <c r="Q9" i="66"/>
  <c r="W9" i="66" s="1"/>
  <c r="M49" i="74"/>
  <c r="N77" i="74"/>
  <c r="M33" i="74"/>
  <c r="S190" i="66"/>
  <c r="S9" i="66"/>
  <c r="U9" i="66" s="1"/>
  <c r="J76" i="74"/>
  <c r="J84" i="74"/>
  <c r="L71" i="74"/>
  <c r="N37" i="74"/>
  <c r="N101" i="74"/>
  <c r="L112" i="74"/>
  <c r="L4" i="74"/>
  <c r="J101" i="74"/>
  <c r="M145" i="74"/>
  <c r="L59" i="74"/>
  <c r="S253" i="66"/>
  <c r="N11" i="74"/>
  <c r="J40" i="74"/>
  <c r="M114" i="74"/>
  <c r="N145" i="74"/>
  <c r="H92" i="74"/>
  <c r="I444" i="41"/>
  <c r="L134" i="74"/>
  <c r="J102" i="74"/>
  <c r="J131" i="74"/>
  <c r="I443" i="41"/>
  <c r="O175" i="66"/>
  <c r="L94" i="74"/>
  <c r="O46" i="66"/>
  <c r="H30" i="74"/>
  <c r="H61" i="74"/>
  <c r="J135" i="74"/>
  <c r="L40" i="74"/>
  <c r="N141" i="74"/>
  <c r="I449" i="41"/>
  <c r="G142" i="74"/>
  <c r="J94" i="74"/>
  <c r="N78" i="74"/>
  <c r="N29" i="74"/>
  <c r="M99" i="74"/>
  <c r="L90" i="74"/>
  <c r="J19" i="74"/>
  <c r="N72" i="74"/>
  <c r="O190" i="66"/>
  <c r="L61" i="74"/>
  <c r="T124" i="66"/>
  <c r="Q124" i="66"/>
  <c r="K124" i="74"/>
  <c r="X124" i="66"/>
  <c r="I490" i="58"/>
  <c r="G210" i="66" s="1"/>
  <c r="O210" i="66" s="1"/>
  <c r="I492" i="58"/>
  <c r="I491" i="58"/>
  <c r="G203" i="66" s="1"/>
  <c r="O203" i="66" s="1"/>
  <c r="K39" i="20"/>
  <c r="K35" i="20"/>
  <c r="T36" i="20"/>
  <c r="T42" i="20"/>
  <c r="K43" i="20"/>
  <c r="K34" i="20"/>
  <c r="T46" i="20"/>
  <c r="T40" i="20"/>
  <c r="T44" i="20"/>
  <c r="K40" i="20"/>
  <c r="E88" i="22"/>
  <c r="T35" i="20"/>
  <c r="K44" i="20"/>
  <c r="K45" i="20"/>
  <c r="K37" i="20"/>
  <c r="K46" i="20"/>
  <c r="T39" i="20"/>
  <c r="K33" i="20"/>
  <c r="K42" i="20"/>
  <c r="K36" i="20"/>
  <c r="T34" i="20"/>
  <c r="T43" i="20"/>
  <c r="K41" i="20"/>
  <c r="K38" i="20"/>
  <c r="T38" i="20"/>
  <c r="T45" i="20"/>
  <c r="T37" i="20"/>
  <c r="T41" i="20"/>
  <c r="T33" i="20"/>
  <c r="R40" i="9"/>
  <c r="X190" i="66"/>
  <c r="Q190" i="66"/>
  <c r="W190" i="66" s="1"/>
  <c r="T190" i="66"/>
  <c r="F141" i="18"/>
  <c r="J141" i="18"/>
  <c r="J440" i="37"/>
  <c r="H122" i="66"/>
  <c r="H44" i="74"/>
  <c r="O44" i="66"/>
  <c r="I44" i="18"/>
  <c r="H44" i="18"/>
  <c r="H78" i="74"/>
  <c r="H32" i="74"/>
  <c r="O32" i="66"/>
  <c r="I462" i="41"/>
  <c r="F303" i="18"/>
  <c r="J303" i="18"/>
  <c r="H284" i="66"/>
  <c r="J453" i="58"/>
  <c r="H272" i="66"/>
  <c r="O272" i="66" s="1"/>
  <c r="J448" i="58"/>
  <c r="H5" i="18"/>
  <c r="I5" i="18"/>
  <c r="G263" i="66"/>
  <c r="O192" i="66"/>
  <c r="T288" i="66"/>
  <c r="Q288" i="66"/>
  <c r="X288" i="66"/>
  <c r="J175" i="18"/>
  <c r="F175" i="18"/>
  <c r="K76" i="74"/>
  <c r="Q76" i="74" s="1"/>
  <c r="L62" i="74"/>
  <c r="J13" i="74"/>
  <c r="N26" i="74"/>
  <c r="M15" i="74"/>
  <c r="Q272" i="66"/>
  <c r="X272" i="66"/>
  <c r="T272" i="66"/>
  <c r="J86" i="18"/>
  <c r="F86" i="18"/>
  <c r="J450" i="37"/>
  <c r="H125" i="66"/>
  <c r="H118" i="66"/>
  <c r="J454" i="37"/>
  <c r="F133" i="18"/>
  <c r="J133" i="18"/>
  <c r="F95" i="18"/>
  <c r="J95" i="18"/>
  <c r="I52" i="18"/>
  <c r="H52" i="18"/>
  <c r="I49" i="18"/>
  <c r="H49" i="18"/>
  <c r="T156" i="66"/>
  <c r="U156" i="66" s="1"/>
  <c r="Q156" i="66"/>
  <c r="W156" i="66" s="1"/>
  <c r="X156" i="66"/>
  <c r="H74" i="74"/>
  <c r="H257" i="66"/>
  <c r="J449" i="58"/>
  <c r="I10" i="18"/>
  <c r="H10" i="18"/>
  <c r="Q237" i="66"/>
  <c r="X237" i="66"/>
  <c r="T237" i="66"/>
  <c r="H48" i="74"/>
  <c r="O48" i="66"/>
  <c r="H77" i="74"/>
  <c r="O77" i="66"/>
  <c r="J441" i="37"/>
  <c r="J441" i="41" s="1"/>
  <c r="H116" i="66"/>
  <c r="H116" i="74" s="1"/>
  <c r="F304" i="18"/>
  <c r="J304" i="18"/>
  <c r="T76" i="66"/>
  <c r="L26" i="74"/>
  <c r="L80" i="74"/>
  <c r="O61" i="66"/>
  <c r="C4" i="9"/>
  <c r="Q36" i="9" a="1"/>
  <c r="Q36" i="9" s="1"/>
  <c r="Q28" i="9" a="1"/>
  <c r="Q28" i="9" s="1"/>
  <c r="Q38" i="9" a="1"/>
  <c r="Q38" i="9" s="1"/>
  <c r="E85" i="22" s="1"/>
  <c r="Q26" i="9" a="1"/>
  <c r="Q26" i="9" s="1"/>
  <c r="J136" i="18"/>
  <c r="F136" i="18"/>
  <c r="G139" i="66"/>
  <c r="J433" i="41"/>
  <c r="F139" i="18"/>
  <c r="J139" i="18"/>
  <c r="F216" i="18"/>
  <c r="J216" i="18"/>
  <c r="T23" i="66"/>
  <c r="X23" i="66"/>
  <c r="Q23" i="66"/>
  <c r="W23" i="66" s="1"/>
  <c r="K23" i="74"/>
  <c r="H136" i="66"/>
  <c r="J446" i="37"/>
  <c r="H128" i="66"/>
  <c r="J448" i="37"/>
  <c r="K96" i="74"/>
  <c r="T96" i="66"/>
  <c r="Q96" i="66"/>
  <c r="X96" i="66"/>
  <c r="F218" i="18"/>
  <c r="J218" i="18"/>
  <c r="I46" i="18"/>
  <c r="H46" i="18"/>
  <c r="I47" i="18"/>
  <c r="H47" i="18"/>
  <c r="F224" i="18"/>
  <c r="J224" i="18"/>
  <c r="J98" i="18"/>
  <c r="F98" i="18"/>
  <c r="I440" i="41"/>
  <c r="F309" i="18"/>
  <c r="J309" i="18"/>
  <c r="D46" i="39"/>
  <c r="E108" i="38" s="1"/>
  <c r="J451" i="58"/>
  <c r="H251" i="66"/>
  <c r="H68" i="74"/>
  <c r="J305" i="18"/>
  <c r="F305" i="18"/>
  <c r="H9" i="18"/>
  <c r="I9" i="18"/>
  <c r="D7" i="72" a="1"/>
  <c r="D7" i="72" s="1"/>
  <c r="J129" i="18"/>
  <c r="F129" i="18"/>
  <c r="F174" i="18"/>
  <c r="J174" i="18"/>
  <c r="I442" i="41"/>
  <c r="X167" i="66"/>
  <c r="Q167" i="66"/>
  <c r="W167" i="66" s="1"/>
  <c r="T167" i="66"/>
  <c r="J93" i="18"/>
  <c r="F93" i="18"/>
  <c r="J259" i="18"/>
  <c r="F259" i="18"/>
  <c r="I51" i="18"/>
  <c r="H51" i="18"/>
  <c r="H12" i="18"/>
  <c r="I12" i="18"/>
  <c r="J463" i="58"/>
  <c r="K250" i="66"/>
  <c r="O250" i="66" s="1"/>
  <c r="L53" i="74"/>
  <c r="M112" i="74"/>
  <c r="N82" i="74"/>
  <c r="O204" i="66"/>
  <c r="M13" i="74"/>
  <c r="L46" i="74"/>
  <c r="T231" i="66"/>
  <c r="L49" i="74"/>
  <c r="D48" i="17"/>
  <c r="M10" i="9"/>
  <c r="O26" i="9" a="1"/>
  <c r="O26" i="9" s="1"/>
  <c r="O38" i="9" a="1"/>
  <c r="O38" i="9" s="1"/>
  <c r="E75" i="22" s="1"/>
  <c r="O28" i="9" a="1"/>
  <c r="O28" i="9" s="1"/>
  <c r="O36" i="9" a="1"/>
  <c r="O36" i="9" s="1"/>
  <c r="J135" i="18"/>
  <c r="F135" i="18"/>
  <c r="G140" i="66"/>
  <c r="J432" i="41"/>
  <c r="K117" i="74"/>
  <c r="T117" i="66"/>
  <c r="X117" i="66"/>
  <c r="O214" i="66"/>
  <c r="F177" i="18"/>
  <c r="J177" i="18"/>
  <c r="J453" i="37"/>
  <c r="H140" i="66"/>
  <c r="X192" i="66"/>
  <c r="T192" i="66"/>
  <c r="U192" i="66" s="1"/>
  <c r="Q192" i="66"/>
  <c r="W192" i="66" s="1"/>
  <c r="J170" i="18"/>
  <c r="F170" i="18"/>
  <c r="I50" i="18"/>
  <c r="H50" i="18"/>
  <c r="F89" i="18"/>
  <c r="J89" i="18"/>
  <c r="O173" i="66"/>
  <c r="X165" i="66"/>
  <c r="T165" i="66"/>
  <c r="J263" i="18"/>
  <c r="F263" i="18"/>
  <c r="J443" i="58"/>
  <c r="H245" i="66"/>
  <c r="I7" i="18"/>
  <c r="H7" i="18"/>
  <c r="O221" i="66"/>
  <c r="J132" i="18"/>
  <c r="F132" i="18"/>
  <c r="J301" i="18"/>
  <c r="F301" i="18"/>
  <c r="E45" i="22"/>
  <c r="R8" i="9"/>
  <c r="H29" i="74"/>
  <c r="O29" i="66"/>
  <c r="X128" i="66"/>
  <c r="T128" i="66"/>
  <c r="Q128" i="66"/>
  <c r="K128" i="74"/>
  <c r="H45" i="18"/>
  <c r="I45" i="18"/>
  <c r="Q93" i="66"/>
  <c r="X93" i="66"/>
  <c r="T93" i="66"/>
  <c r="K93" i="74"/>
  <c r="Q76" i="66"/>
  <c r="L95" i="74"/>
  <c r="M147" i="74"/>
  <c r="L47" i="74"/>
  <c r="N65" i="74"/>
  <c r="M14" i="74"/>
  <c r="S231" i="66"/>
  <c r="L14" i="74"/>
  <c r="J15" i="74"/>
  <c r="Q224" i="66"/>
  <c r="T224" i="66"/>
  <c r="X224" i="66"/>
  <c r="G143" i="66"/>
  <c r="G143" i="74" s="1"/>
  <c r="J430" i="41"/>
  <c r="K106" i="66"/>
  <c r="J463" i="37"/>
  <c r="T48" i="66"/>
  <c r="Q48" i="66"/>
  <c r="W48" i="66" s="1"/>
  <c r="X48" i="66"/>
  <c r="K48" i="74"/>
  <c r="H96" i="74"/>
  <c r="O96" i="66"/>
  <c r="F128" i="18"/>
  <c r="J128" i="18"/>
  <c r="H107" i="66"/>
  <c r="J451" i="37"/>
  <c r="E312" i="38"/>
  <c r="E306" i="38"/>
  <c r="J212" i="18"/>
  <c r="F212" i="18"/>
  <c r="I57" i="18"/>
  <c r="H57" i="18"/>
  <c r="J262" i="18"/>
  <c r="F262" i="18"/>
  <c r="J130" i="18"/>
  <c r="F130" i="18"/>
  <c r="J94" i="18"/>
  <c r="F94" i="18"/>
  <c r="E120" i="38"/>
  <c r="F223" i="18"/>
  <c r="J223" i="18"/>
  <c r="X204" i="66"/>
  <c r="T204" i="66"/>
  <c r="Q204" i="66"/>
  <c r="X261" i="66"/>
  <c r="T261" i="66"/>
  <c r="H270" i="66"/>
  <c r="J445" i="58"/>
  <c r="G108" i="74"/>
  <c r="O176" i="66"/>
  <c r="J213" i="18"/>
  <c r="F213" i="18"/>
  <c r="H13" i="18"/>
  <c r="I13" i="18"/>
  <c r="I450" i="41"/>
  <c r="F137" i="18"/>
  <c r="J137" i="18"/>
  <c r="O188" i="66"/>
  <c r="H59" i="74"/>
  <c r="H269" i="66"/>
  <c r="O269" i="66" s="1"/>
  <c r="J450" i="58"/>
  <c r="L9" i="74"/>
  <c r="Q220" i="66"/>
  <c r="N10" i="74"/>
  <c r="Q231" i="66"/>
  <c r="W231" i="66" s="1"/>
  <c r="Y231" i="66" s="1"/>
  <c r="F225" i="18"/>
  <c r="J225" i="18"/>
  <c r="Q46" i="66"/>
  <c r="W46" i="66" s="1"/>
  <c r="T46" i="66"/>
  <c r="K46" i="74"/>
  <c r="X46" i="66"/>
  <c r="H101" i="66"/>
  <c r="J443" i="37"/>
  <c r="E324" i="38"/>
  <c r="N213" i="66" s="1"/>
  <c r="E318" i="38"/>
  <c r="D101" i="72" a="1"/>
  <c r="D101" i="72" s="1"/>
  <c r="F131" i="18"/>
  <c r="J131" i="18"/>
  <c r="H55" i="18"/>
  <c r="I55" i="18"/>
  <c r="J261" i="18"/>
  <c r="F261" i="18"/>
  <c r="J260" i="18"/>
  <c r="F260" i="18"/>
  <c r="X12" i="66"/>
  <c r="K12" i="74"/>
  <c r="T12" i="66"/>
  <c r="Q12" i="66"/>
  <c r="W12" i="66" s="1"/>
  <c r="J176" i="18"/>
  <c r="F176" i="18"/>
  <c r="F267" i="18"/>
  <c r="J267" i="18"/>
  <c r="H266" i="66"/>
  <c r="J440" i="58"/>
  <c r="J477" i="41"/>
  <c r="E364" i="38"/>
  <c r="L108" i="66" s="1"/>
  <c r="L108" i="74" s="1"/>
  <c r="J99" i="18"/>
  <c r="F99" i="18"/>
  <c r="I15" i="18"/>
  <c r="H15" i="18"/>
  <c r="I447" i="41"/>
  <c r="E288" i="38"/>
  <c r="E282" i="38"/>
  <c r="E171" i="38"/>
  <c r="D40" i="72" a="1"/>
  <c r="D40" i="72" s="1"/>
  <c r="D41" i="72" s="1" a="1"/>
  <c r="D41" i="72" s="1"/>
  <c r="T154" i="66"/>
  <c r="Q154" i="66"/>
  <c r="W154" i="66" s="1"/>
  <c r="X154" i="66"/>
  <c r="J215" i="18"/>
  <c r="F215" i="18"/>
  <c r="D162" i="72" a="1"/>
  <c r="D162" i="72" s="1"/>
  <c r="G51" i="66"/>
  <c r="E287" i="38"/>
  <c r="N51" i="66" s="1"/>
  <c r="D224" i="72" a="1"/>
  <c r="D224" i="72" s="1"/>
  <c r="I54" i="18"/>
  <c r="H54" i="18"/>
  <c r="J219" i="18"/>
  <c r="F219" i="18"/>
  <c r="H425" i="37"/>
  <c r="L82" i="74"/>
  <c r="N136" i="74"/>
  <c r="L11" i="74"/>
  <c r="M87" i="74"/>
  <c r="S262" i="66"/>
  <c r="J82" i="74"/>
  <c r="L146" i="74"/>
  <c r="J264" i="18"/>
  <c r="F264" i="18"/>
  <c r="F182" i="18"/>
  <c r="J182" i="18"/>
  <c r="J91" i="18"/>
  <c r="F91" i="18"/>
  <c r="J217" i="18"/>
  <c r="F217" i="18"/>
  <c r="Q172" i="66"/>
  <c r="W172" i="66" s="1"/>
  <c r="T172" i="66"/>
  <c r="U172" i="66" s="1"/>
  <c r="X172" i="66"/>
  <c r="H113" i="66"/>
  <c r="J449" i="37"/>
  <c r="J138" i="18"/>
  <c r="F138" i="18"/>
  <c r="J298" i="18"/>
  <c r="F298" i="18"/>
  <c r="I458" i="37"/>
  <c r="I459" i="37"/>
  <c r="K94" i="66"/>
  <c r="F87" i="18"/>
  <c r="J87" i="18"/>
  <c r="J178" i="18"/>
  <c r="F178" i="18"/>
  <c r="H262" i="66"/>
  <c r="O262" i="66" s="1"/>
  <c r="J454" i="58"/>
  <c r="K108" i="66"/>
  <c r="J462" i="37"/>
  <c r="D69" i="72" a="1"/>
  <c r="D69" i="72" s="1"/>
  <c r="I4" i="18"/>
  <c r="H4" i="18"/>
  <c r="O240" i="66"/>
  <c r="I492" i="37"/>
  <c r="I490" i="37"/>
  <c r="I491" i="37"/>
  <c r="E300" i="38"/>
  <c r="N165" i="66" s="1"/>
  <c r="E294" i="38"/>
  <c r="J255" i="18"/>
  <c r="F255" i="18"/>
  <c r="G155" i="66"/>
  <c r="H491" i="41"/>
  <c r="F220" i="18"/>
  <c r="J220" i="18"/>
  <c r="E5" i="53"/>
  <c r="F5" i="53" s="1"/>
  <c r="H11" i="53" s="1"/>
  <c r="G50" i="66"/>
  <c r="H288" i="66"/>
  <c r="O288" i="66" s="1"/>
  <c r="J447" i="58"/>
  <c r="M24" i="74"/>
  <c r="J57" i="74"/>
  <c r="H55" i="74"/>
  <c r="L60" i="74"/>
  <c r="L17" i="74"/>
  <c r="F214" i="18"/>
  <c r="J214" i="18"/>
  <c r="T21" i="66"/>
  <c r="X21" i="66"/>
  <c r="K21" i="74"/>
  <c r="J478" i="41"/>
  <c r="E365" i="38"/>
  <c r="L106" i="66" s="1"/>
  <c r="L106" i="74" s="1"/>
  <c r="Q28" i="66"/>
  <c r="W28" i="66" s="1"/>
  <c r="T28" i="66"/>
  <c r="K28" i="74"/>
  <c r="X28" i="66"/>
  <c r="J96" i="18"/>
  <c r="F96" i="18"/>
  <c r="H126" i="66"/>
  <c r="J445" i="37"/>
  <c r="J257" i="18"/>
  <c r="F257" i="18"/>
  <c r="H473" i="41"/>
  <c r="T189" i="66"/>
  <c r="U189" i="66" s="1"/>
  <c r="X189" i="66"/>
  <c r="Q189" i="66"/>
  <c r="W189" i="66" s="1"/>
  <c r="G119" i="66"/>
  <c r="H56" i="18"/>
  <c r="I56" i="18"/>
  <c r="J256" i="18"/>
  <c r="F256" i="18"/>
  <c r="J475" i="41"/>
  <c r="E362" i="38"/>
  <c r="L142" i="66" s="1"/>
  <c r="L142" i="74" s="1"/>
  <c r="I445" i="41"/>
  <c r="J173" i="18"/>
  <c r="F173" i="18"/>
  <c r="J442" i="58"/>
  <c r="H265" i="66"/>
  <c r="I11" i="18"/>
  <c r="H11" i="18"/>
  <c r="H14" i="18"/>
  <c r="I14" i="18"/>
  <c r="Q202" i="66"/>
  <c r="X202" i="66"/>
  <c r="T202" i="66"/>
  <c r="K238" i="66"/>
  <c r="O238" i="66" s="1"/>
  <c r="I459" i="58"/>
  <c r="C50" i="63" s="1"/>
  <c r="I458" i="58"/>
  <c r="G162" i="66"/>
  <c r="H490" i="41"/>
  <c r="J438" i="41"/>
  <c r="G109" i="66"/>
  <c r="G109" i="74" s="1"/>
  <c r="F183" i="18"/>
  <c r="J183" i="18"/>
  <c r="Q268" i="66"/>
  <c r="T268" i="66"/>
  <c r="X268" i="66"/>
  <c r="J221" i="18"/>
  <c r="F221" i="18"/>
  <c r="N9" i="74"/>
  <c r="M101" i="74"/>
  <c r="L23" i="74"/>
  <c r="J33" i="74"/>
  <c r="J54" i="74"/>
  <c r="J59" i="74"/>
  <c r="K252" i="66"/>
  <c r="J462" i="58"/>
  <c r="H18" i="74"/>
  <c r="O18" i="66"/>
  <c r="F171" i="18"/>
  <c r="J171" i="18"/>
  <c r="I446" i="41"/>
  <c r="J307" i="18"/>
  <c r="F307" i="18"/>
  <c r="Q144" i="66"/>
  <c r="X144" i="66"/>
  <c r="T144" i="66"/>
  <c r="K144" i="74"/>
  <c r="J300" i="18"/>
  <c r="F300" i="18"/>
  <c r="J442" i="37"/>
  <c r="H121" i="66"/>
  <c r="Q45" i="66"/>
  <c r="W45" i="66" s="1"/>
  <c r="X45" i="66"/>
  <c r="T45" i="66"/>
  <c r="K45" i="74"/>
  <c r="H80" i="74"/>
  <c r="O80" i="66"/>
  <c r="I53" i="18"/>
  <c r="H53" i="18"/>
  <c r="J258" i="18"/>
  <c r="F258" i="18"/>
  <c r="K80" i="74"/>
  <c r="X80" i="66"/>
  <c r="T80" i="66"/>
  <c r="Q80" i="66"/>
  <c r="H282" i="66"/>
  <c r="J444" i="58"/>
  <c r="J90" i="18"/>
  <c r="F90" i="18"/>
  <c r="H22" i="74"/>
  <c r="O22" i="66"/>
  <c r="H6" i="18"/>
  <c r="I6" i="18"/>
  <c r="H2" i="18"/>
  <c r="I2" i="18"/>
  <c r="H66" i="74"/>
  <c r="K69" i="74"/>
  <c r="T69" i="66"/>
  <c r="X69" i="66"/>
  <c r="J266" i="18"/>
  <c r="F266" i="18"/>
  <c r="D285" i="72" a="1"/>
  <c r="D285" i="72" s="1"/>
  <c r="H26" i="74"/>
  <c r="I448" i="41"/>
  <c r="G153" i="66"/>
  <c r="G9" i="74" s="1"/>
  <c r="K44" i="39"/>
  <c r="H492" i="41"/>
  <c r="C17" i="39" s="1"/>
  <c r="F92" i="18"/>
  <c r="J92" i="18"/>
  <c r="H144" i="66"/>
  <c r="J447" i="37"/>
  <c r="T262" i="66"/>
  <c r="O268" i="66"/>
  <c r="L136" i="74"/>
  <c r="F299" i="18"/>
  <c r="J299" i="18"/>
  <c r="E48" i="17"/>
  <c r="P10" i="9"/>
  <c r="O166" i="66"/>
  <c r="X213" i="66"/>
  <c r="T213" i="66"/>
  <c r="F172" i="18"/>
  <c r="J172" i="18"/>
  <c r="J444" i="37"/>
  <c r="H138" i="66"/>
  <c r="G92" i="74"/>
  <c r="O92" i="66"/>
  <c r="H40" i="74"/>
  <c r="J265" i="18"/>
  <c r="F265" i="18"/>
  <c r="F97" i="18"/>
  <c r="J97" i="18"/>
  <c r="H258" i="66"/>
  <c r="J452" i="58"/>
  <c r="E391" i="38"/>
  <c r="I8" i="18"/>
  <c r="H8" i="18"/>
  <c r="H70" i="74"/>
  <c r="O70" i="66"/>
  <c r="O224" i="66"/>
  <c r="H65" i="74"/>
  <c r="F296" i="18"/>
  <c r="J296" i="18"/>
  <c r="J180" i="18"/>
  <c r="F180" i="18"/>
  <c r="N56" i="74"/>
  <c r="O225" i="66"/>
  <c r="L76" i="74"/>
  <c r="J108" i="74"/>
  <c r="L119" i="74"/>
  <c r="E43" i="22"/>
  <c r="T19" i="20"/>
  <c r="K19" i="20"/>
  <c r="R6" i="9"/>
  <c r="K12" i="20"/>
  <c r="K10" i="20"/>
  <c r="T14" i="20"/>
  <c r="T8" i="20"/>
  <c r="T10" i="20"/>
  <c r="T6" i="20"/>
  <c r="K14" i="20"/>
  <c r="T15" i="20"/>
  <c r="K8" i="20"/>
  <c r="T12" i="20"/>
  <c r="K6" i="20"/>
  <c r="K15" i="20"/>
  <c r="T16" i="20"/>
  <c r="K16" i="20"/>
  <c r="K13" i="20"/>
  <c r="K9" i="20"/>
  <c r="T13" i="20"/>
  <c r="K7" i="20"/>
  <c r="T9" i="20"/>
  <c r="K11" i="20"/>
  <c r="T7" i="20"/>
  <c r="T18" i="20"/>
  <c r="T11" i="20"/>
  <c r="T17" i="20"/>
  <c r="K18" i="20"/>
  <c r="K17" i="20"/>
  <c r="R30" i="9"/>
  <c r="T240" i="66"/>
  <c r="Q240" i="66"/>
  <c r="X240" i="66"/>
  <c r="T58" i="66"/>
  <c r="X58" i="66"/>
  <c r="Q58" i="66"/>
  <c r="K58" i="74"/>
  <c r="F297" i="18"/>
  <c r="J297" i="18"/>
  <c r="J181" i="18"/>
  <c r="F181" i="18"/>
  <c r="J254" i="18"/>
  <c r="F254" i="18"/>
  <c r="J302" i="18"/>
  <c r="F302" i="18"/>
  <c r="X10" i="66"/>
  <c r="Q10" i="66"/>
  <c r="W10" i="66" s="1"/>
  <c r="T10" i="66"/>
  <c r="K10" i="74"/>
  <c r="E388" i="38"/>
  <c r="J452" i="37"/>
  <c r="H114" i="66"/>
  <c r="J88" i="18"/>
  <c r="F88" i="18"/>
  <c r="F308" i="18"/>
  <c r="J308" i="18"/>
  <c r="I48" i="18"/>
  <c r="H48" i="18"/>
  <c r="O236" i="66"/>
  <c r="F179" i="18"/>
  <c r="J179" i="18"/>
  <c r="T60" i="66"/>
  <c r="Q60" i="66"/>
  <c r="X60" i="66"/>
  <c r="K60" i="74"/>
  <c r="J140" i="18"/>
  <c r="F140" i="18"/>
  <c r="J446" i="58"/>
  <c r="H280" i="66"/>
  <c r="I3" i="18"/>
  <c r="H3" i="18"/>
  <c r="J134" i="18"/>
  <c r="F134" i="18"/>
  <c r="H11" i="74"/>
  <c r="O11" i="66"/>
  <c r="Q176" i="66"/>
  <c r="W176" i="66" s="1"/>
  <c r="Y176" i="66" s="1"/>
  <c r="J306" i="18"/>
  <c r="F306" i="18"/>
  <c r="K32" i="74"/>
  <c r="X32" i="66"/>
  <c r="T32" i="66"/>
  <c r="Q32" i="66"/>
  <c r="W32" i="66" s="1"/>
  <c r="H139" i="74"/>
  <c r="H115" i="74"/>
  <c r="N22" i="74"/>
  <c r="X53" i="74"/>
  <c r="T53" i="74"/>
  <c r="S53" i="74"/>
  <c r="Q53" i="74"/>
  <c r="W53" i="74" s="1"/>
  <c r="O145" i="66"/>
  <c r="H145" i="74"/>
  <c r="J16" i="74"/>
  <c r="O256" i="66"/>
  <c r="H142" i="74"/>
  <c r="O287" i="66"/>
  <c r="Q97" i="66"/>
  <c r="T97" i="66"/>
  <c r="X97" i="66"/>
  <c r="K97" i="74"/>
  <c r="H98" i="74"/>
  <c r="T120" i="66"/>
  <c r="Q120" i="66"/>
  <c r="W120" i="66" s="1"/>
  <c r="X120" i="66"/>
  <c r="S120" i="66"/>
  <c r="K120" i="74"/>
  <c r="L125" i="74"/>
  <c r="T16" i="66"/>
  <c r="X16" i="66"/>
  <c r="Q16" i="66"/>
  <c r="W16" i="66" s="1"/>
  <c r="S16" i="66"/>
  <c r="K16" i="74"/>
  <c r="M118" i="74"/>
  <c r="N119" i="74"/>
  <c r="H79" i="74"/>
  <c r="O79" i="66"/>
  <c r="T193" i="66"/>
  <c r="X193" i="66"/>
  <c r="S193" i="66"/>
  <c r="Q193" i="66"/>
  <c r="W193" i="66" s="1"/>
  <c r="L91" i="74"/>
  <c r="N107" i="74"/>
  <c r="L44" i="74"/>
  <c r="L55" i="74"/>
  <c r="L114" i="74"/>
  <c r="L38" i="74"/>
  <c r="O49" i="66"/>
  <c r="H49" i="74"/>
  <c r="H67" i="74"/>
  <c r="S135" i="66"/>
  <c r="X135" i="66"/>
  <c r="T135" i="66"/>
  <c r="Q135" i="66"/>
  <c r="W135" i="66" s="1"/>
  <c r="K135" i="74"/>
  <c r="X89" i="66"/>
  <c r="T89" i="66"/>
  <c r="K89" i="74"/>
  <c r="M139" i="74"/>
  <c r="M143" i="74"/>
  <c r="X129" i="66"/>
  <c r="T129" i="66"/>
  <c r="S129" i="66"/>
  <c r="Q129" i="66"/>
  <c r="W129" i="66" s="1"/>
  <c r="K129" i="74"/>
  <c r="J63" i="74"/>
  <c r="N85" i="74"/>
  <c r="X55" i="66"/>
  <c r="T55" i="66"/>
  <c r="U55" i="66" s="1"/>
  <c r="K55" i="74"/>
  <c r="S107" i="66"/>
  <c r="Q107" i="66"/>
  <c r="W107" i="66" s="1"/>
  <c r="T107" i="66"/>
  <c r="X107" i="66"/>
  <c r="K107" i="74"/>
  <c r="X50" i="66"/>
  <c r="T50" i="66"/>
  <c r="K50" i="74"/>
  <c r="T145" i="66"/>
  <c r="X145" i="66"/>
  <c r="Q145" i="66"/>
  <c r="K145" i="74"/>
  <c r="H129" i="74"/>
  <c r="Q287" i="66"/>
  <c r="W287" i="66" s="1"/>
  <c r="S287" i="66"/>
  <c r="X287" i="66"/>
  <c r="T287" i="66"/>
  <c r="O239" i="66"/>
  <c r="M42" i="74"/>
  <c r="T39" i="66"/>
  <c r="S39" i="66"/>
  <c r="Q39" i="66"/>
  <c r="W39" i="66" s="1"/>
  <c r="X39" i="66"/>
  <c r="K39" i="74"/>
  <c r="T245" i="66"/>
  <c r="S245" i="66"/>
  <c r="Q245" i="66"/>
  <c r="W245" i="66" s="1"/>
  <c r="X245" i="66"/>
  <c r="M105" i="74"/>
  <c r="M128" i="74"/>
  <c r="S255" i="66"/>
  <c r="X255" i="66"/>
  <c r="T255" i="66"/>
  <c r="Q255" i="66"/>
  <c r="W255" i="66" s="1"/>
  <c r="X210" i="66"/>
  <c r="T210" i="66"/>
  <c r="S210" i="66"/>
  <c r="Q210" i="66"/>
  <c r="W210" i="66" s="1"/>
  <c r="N13" i="74"/>
  <c r="H14" i="74"/>
  <c r="H9" i="74"/>
  <c r="O9" i="66"/>
  <c r="O271" i="66"/>
  <c r="Q278" i="66"/>
  <c r="W278" i="66" s="1"/>
  <c r="X278" i="66"/>
  <c r="T278" i="66"/>
  <c r="S278" i="66"/>
  <c r="Q53" i="66"/>
  <c r="W53" i="66" s="1"/>
  <c r="Y53" i="66" s="1"/>
  <c r="T243" i="66"/>
  <c r="Q243" i="66"/>
  <c r="W243" i="66" s="1"/>
  <c r="X243" i="66"/>
  <c r="S243" i="66"/>
  <c r="T180" i="66"/>
  <c r="X180" i="66"/>
  <c r="H71" i="74"/>
  <c r="Q33" i="66"/>
  <c r="W33" i="66" s="1"/>
  <c r="X33" i="66"/>
  <c r="S33" i="66"/>
  <c r="T33" i="66"/>
  <c r="K33" i="74"/>
  <c r="J23" i="74"/>
  <c r="S168" i="66"/>
  <c r="X168" i="66"/>
  <c r="T168" i="66"/>
  <c r="Q168" i="66"/>
  <c r="W168" i="66" s="1"/>
  <c r="M63" i="74"/>
  <c r="X205" i="66"/>
  <c r="T205" i="66"/>
  <c r="S205" i="66"/>
  <c r="Q205" i="66"/>
  <c r="W205" i="66" s="1"/>
  <c r="N46" i="74"/>
  <c r="H19" i="74"/>
  <c r="X275" i="66"/>
  <c r="T275" i="66"/>
  <c r="S130" i="66"/>
  <c r="Q130" i="66"/>
  <c r="W130" i="66" s="1"/>
  <c r="X130" i="66"/>
  <c r="T130" i="66"/>
  <c r="K130" i="74"/>
  <c r="J61" i="74"/>
  <c r="N118" i="74"/>
  <c r="N23" i="74"/>
  <c r="H37" i="74"/>
  <c r="N8" i="74"/>
  <c r="S88" i="66"/>
  <c r="Q88" i="66"/>
  <c r="W88" i="66" s="1"/>
  <c r="X88" i="66"/>
  <c r="T88" i="66"/>
  <c r="K88" i="74"/>
  <c r="X18" i="66"/>
  <c r="T18" i="66"/>
  <c r="S18" i="66"/>
  <c r="Q18" i="66"/>
  <c r="W18" i="66" s="1"/>
  <c r="K18" i="74"/>
  <c r="O208" i="66"/>
  <c r="S87" i="66"/>
  <c r="Q87" i="66"/>
  <c r="W87" i="66" s="1"/>
  <c r="X87" i="66"/>
  <c r="T87" i="66"/>
  <c r="K87" i="74"/>
  <c r="J48" i="74"/>
  <c r="N32" i="74"/>
  <c r="H87" i="74"/>
  <c r="J121" i="74"/>
  <c r="J47" i="74"/>
  <c r="L43" i="74"/>
  <c r="G36" i="53"/>
  <c r="H30" i="53"/>
  <c r="G30" i="53" s="1"/>
  <c r="J140" i="74"/>
  <c r="H46" i="74"/>
  <c r="L130" i="74"/>
  <c r="N109" i="74"/>
  <c r="T283" i="66"/>
  <c r="S283" i="66"/>
  <c r="Q283" i="66"/>
  <c r="W283" i="66" s="1"/>
  <c r="X283" i="66"/>
  <c r="H62" i="74"/>
  <c r="J95" i="74"/>
  <c r="L74" i="74"/>
  <c r="X242" i="66"/>
  <c r="T242" i="66"/>
  <c r="H100" i="74"/>
  <c r="O100" i="66"/>
  <c r="M82" i="74"/>
  <c r="N93" i="74"/>
  <c r="H135" i="74"/>
  <c r="H137" i="74"/>
  <c r="S53" i="66"/>
  <c r="U53" i="66" s="1"/>
  <c r="O235" i="66"/>
  <c r="H38" i="74"/>
  <c r="O38" i="66"/>
  <c r="T52" i="66"/>
  <c r="X52" i="66"/>
  <c r="S52" i="66"/>
  <c r="Q52" i="66"/>
  <c r="W52" i="66" s="1"/>
  <c r="K52" i="74"/>
  <c r="O244" i="66"/>
  <c r="H41" i="74"/>
  <c r="J25" i="74"/>
  <c r="H28" i="74"/>
  <c r="O28" i="66"/>
  <c r="T121" i="66"/>
  <c r="S121" i="66"/>
  <c r="Q121" i="66"/>
  <c r="W121" i="66" s="1"/>
  <c r="X121" i="66"/>
  <c r="K121" i="74"/>
  <c r="H112" i="74"/>
  <c r="O112" i="66"/>
  <c r="G26" i="39"/>
  <c r="S173" i="66"/>
  <c r="X173" i="66"/>
  <c r="T173" i="66"/>
  <c r="Q173" i="66"/>
  <c r="W173" i="66" s="1"/>
  <c r="H12" i="74"/>
  <c r="O12" i="66"/>
  <c r="O253" i="66"/>
  <c r="S47" i="66"/>
  <c r="X47" i="66"/>
  <c r="T47" i="66"/>
  <c r="Q47" i="66"/>
  <c r="W47" i="66" s="1"/>
  <c r="K47" i="74"/>
  <c r="M64" i="74"/>
  <c r="L79" i="74"/>
  <c r="N74" i="74"/>
  <c r="X98" i="66"/>
  <c r="T98" i="66"/>
  <c r="K98" i="74"/>
  <c r="Q14" i="66"/>
  <c r="W14" i="66" s="1"/>
  <c r="X14" i="66"/>
  <c r="T14" i="66"/>
  <c r="S14" i="66"/>
  <c r="K14" i="74"/>
  <c r="N128" i="74"/>
  <c r="J113" i="74"/>
  <c r="T214" i="66"/>
  <c r="S214" i="66"/>
  <c r="Q214" i="66"/>
  <c r="W214" i="66" s="1"/>
  <c r="X214" i="66"/>
  <c r="M96" i="74"/>
  <c r="L65" i="74"/>
  <c r="M66" i="74"/>
  <c r="H134" i="74"/>
  <c r="O134" i="66"/>
  <c r="T169" i="66"/>
  <c r="S169" i="66"/>
  <c r="Q169" i="66"/>
  <c r="W169" i="66" s="1"/>
  <c r="X169" i="66"/>
  <c r="H132" i="74"/>
  <c r="X207" i="66"/>
  <c r="T207" i="66"/>
  <c r="S207" i="66"/>
  <c r="Q207" i="66"/>
  <c r="W207" i="66" s="1"/>
  <c r="L22" i="74"/>
  <c r="X216" i="66"/>
  <c r="Q216" i="66"/>
  <c r="W216" i="66" s="1"/>
  <c r="T216" i="66"/>
  <c r="S216" i="66"/>
  <c r="M124" i="74"/>
  <c r="N70" i="74"/>
  <c r="J81" i="74"/>
  <c r="L143" i="74"/>
  <c r="S75" i="66"/>
  <c r="Q75" i="66"/>
  <c r="W75" i="66" s="1"/>
  <c r="X75" i="66"/>
  <c r="T75" i="66"/>
  <c r="K75" i="74"/>
  <c r="J39" i="74"/>
  <c r="N91" i="74"/>
  <c r="J46" i="74"/>
  <c r="L111" i="74"/>
  <c r="J27" i="74"/>
  <c r="X281" i="66"/>
  <c r="T281" i="66"/>
  <c r="J117" i="74"/>
  <c r="M92" i="74"/>
  <c r="M110" i="74"/>
  <c r="J18" i="74"/>
  <c r="S82" i="66"/>
  <c r="S66" i="66"/>
  <c r="Q66" i="66"/>
  <c r="W66" i="66" s="1"/>
  <c r="X66" i="66"/>
  <c r="T66" i="66"/>
  <c r="K66" i="74"/>
  <c r="S109" i="66"/>
  <c r="Q109" i="66"/>
  <c r="W109" i="66" s="1"/>
  <c r="X109" i="66"/>
  <c r="T109" i="66"/>
  <c r="K109" i="74"/>
  <c r="X194" i="66"/>
  <c r="T194" i="66"/>
  <c r="S111" i="66"/>
  <c r="X111" i="66"/>
  <c r="T111" i="66"/>
  <c r="Q111" i="66"/>
  <c r="W111" i="66" s="1"/>
  <c r="K111" i="74"/>
  <c r="T37" i="74"/>
  <c r="X37" i="74"/>
  <c r="H117" i="74"/>
  <c r="N16" i="74"/>
  <c r="M28" i="74"/>
  <c r="S28" i="66"/>
  <c r="T51" i="66"/>
  <c r="X51" i="66"/>
  <c r="S51" i="66"/>
  <c r="Q51" i="66"/>
  <c r="W51" i="66" s="1"/>
  <c r="K51" i="74"/>
  <c r="L87" i="74"/>
  <c r="S81" i="66"/>
  <c r="Q81" i="66"/>
  <c r="W81" i="66" s="1"/>
  <c r="X81" i="66"/>
  <c r="T81" i="66"/>
  <c r="K81" i="74"/>
  <c r="Q64" i="66"/>
  <c r="X64" i="66"/>
  <c r="T64" i="66"/>
  <c r="K64" i="74"/>
  <c r="L145" i="74"/>
  <c r="L127" i="74"/>
  <c r="M122" i="74"/>
  <c r="H104" i="74"/>
  <c r="Q280" i="66"/>
  <c r="W280" i="66" s="1"/>
  <c r="T280" i="66"/>
  <c r="S280" i="66"/>
  <c r="X280" i="66"/>
  <c r="X200" i="66"/>
  <c r="T200" i="66"/>
  <c r="S200" i="66"/>
  <c r="Q200" i="66"/>
  <c r="W200" i="66" s="1"/>
  <c r="O283" i="66"/>
  <c r="J55" i="74"/>
  <c r="M138" i="74"/>
  <c r="T228" i="66"/>
  <c r="X228" i="66"/>
  <c r="J58" i="74"/>
  <c r="M23" i="74"/>
  <c r="S23" i="66"/>
  <c r="Q112" i="66"/>
  <c r="T112" i="66"/>
  <c r="X112" i="66"/>
  <c r="K112" i="74"/>
  <c r="J142" i="74"/>
  <c r="S197" i="66"/>
  <c r="Q197" i="66"/>
  <c r="W197" i="66" s="1"/>
  <c r="X197" i="66"/>
  <c r="T197" i="66"/>
  <c r="L96" i="74"/>
  <c r="H143" i="74"/>
  <c r="S195" i="66"/>
  <c r="X195" i="66"/>
  <c r="T195" i="66"/>
  <c r="Q195" i="66"/>
  <c r="W195" i="66" s="1"/>
  <c r="T155" i="66"/>
  <c r="Q155" i="66"/>
  <c r="W155" i="66" s="1"/>
  <c r="X155" i="66"/>
  <c r="S155" i="66"/>
  <c r="S73" i="66"/>
  <c r="Q73" i="66"/>
  <c r="W73" i="66" s="1"/>
  <c r="T73" i="66"/>
  <c r="X73" i="66"/>
  <c r="K73" i="74"/>
  <c r="M58" i="74"/>
  <c r="N57" i="74"/>
  <c r="X232" i="66"/>
  <c r="T232" i="66"/>
  <c r="S232" i="66"/>
  <c r="Q232" i="66"/>
  <c r="W232" i="66" s="1"/>
  <c r="J145" i="74"/>
  <c r="T36" i="66"/>
  <c r="X36" i="66"/>
  <c r="K36" i="74"/>
  <c r="M26" i="74"/>
  <c r="Q91" i="66"/>
  <c r="W91" i="66" s="1"/>
  <c r="X91" i="66"/>
  <c r="T91" i="66"/>
  <c r="S91" i="66"/>
  <c r="K91" i="74"/>
  <c r="S104" i="66"/>
  <c r="X104" i="66"/>
  <c r="T104" i="66"/>
  <c r="Q104" i="66"/>
  <c r="W104" i="66" s="1"/>
  <c r="K104" i="74"/>
  <c r="X125" i="66"/>
  <c r="T125" i="66"/>
  <c r="Q125" i="66"/>
  <c r="W125" i="66" s="1"/>
  <c r="S125" i="66"/>
  <c r="K125" i="74"/>
  <c r="T41" i="66"/>
  <c r="X41" i="66"/>
  <c r="K41" i="74"/>
  <c r="M120" i="74"/>
  <c r="N92" i="74"/>
  <c r="N121" i="74"/>
  <c r="J116" i="74"/>
  <c r="H72" i="74"/>
  <c r="H21" i="74"/>
  <c r="H131" i="74"/>
  <c r="J125" i="74"/>
  <c r="L50" i="74"/>
  <c r="N80" i="74"/>
  <c r="J32" i="74"/>
  <c r="X208" i="66"/>
  <c r="T208" i="66"/>
  <c r="Q208" i="66"/>
  <c r="J88" i="74"/>
  <c r="M30" i="74"/>
  <c r="H110" i="74"/>
  <c r="Q267" i="66"/>
  <c r="W267" i="66" s="1"/>
  <c r="S267" i="66"/>
  <c r="X267" i="66"/>
  <c r="T267" i="66"/>
  <c r="H85" i="74"/>
  <c r="M90" i="74"/>
  <c r="J31" i="74"/>
  <c r="N61" i="74"/>
  <c r="N66" i="74"/>
  <c r="X43" i="66"/>
  <c r="T43" i="66"/>
  <c r="S43" i="66"/>
  <c r="Q43" i="66"/>
  <c r="W43" i="66" s="1"/>
  <c r="K43" i="74"/>
  <c r="T244" i="66"/>
  <c r="Q244" i="66"/>
  <c r="W244" i="66" s="1"/>
  <c r="X244" i="66"/>
  <c r="S244" i="66"/>
  <c r="Q95" i="66"/>
  <c r="W95" i="66" s="1"/>
  <c r="S95" i="66"/>
  <c r="X95" i="66"/>
  <c r="T95" i="66"/>
  <c r="K95" i="74"/>
  <c r="Q63" i="66"/>
  <c r="W63" i="66" s="1"/>
  <c r="X63" i="66"/>
  <c r="T63" i="66"/>
  <c r="S63" i="66"/>
  <c r="K63" i="74"/>
  <c r="S147" i="66"/>
  <c r="X147" i="66"/>
  <c r="T147" i="66"/>
  <c r="Q147" i="66"/>
  <c r="W147" i="66" s="1"/>
  <c r="K147" i="74"/>
  <c r="T7" i="66"/>
  <c r="U7" i="66" s="1"/>
  <c r="X7" i="66"/>
  <c r="K7" i="74"/>
  <c r="X256" i="66"/>
  <c r="T256" i="66"/>
  <c r="Q256" i="66"/>
  <c r="H93" i="74"/>
  <c r="O93" i="66"/>
  <c r="F15" i="39"/>
  <c r="H86" i="74"/>
  <c r="O86" i="66"/>
  <c r="H146" i="74"/>
  <c r="J68" i="74"/>
  <c r="H130" i="74"/>
  <c r="J10" i="74"/>
  <c r="H106" i="74"/>
  <c r="H89" i="74"/>
  <c r="H8" i="74"/>
  <c r="S248" i="66"/>
  <c r="X248" i="66"/>
  <c r="T248" i="66"/>
  <c r="Q248" i="66"/>
  <c r="W248" i="66" s="1"/>
  <c r="O148" i="66"/>
  <c r="L70" i="74"/>
  <c r="N122" i="74"/>
  <c r="Q77" i="66"/>
  <c r="W77" i="66" s="1"/>
  <c r="S77" i="66"/>
  <c r="X77" i="66"/>
  <c r="T77" i="66"/>
  <c r="K77" i="74"/>
  <c r="M106" i="74"/>
  <c r="H45" i="74"/>
  <c r="O45" i="66"/>
  <c r="H83" i="74"/>
  <c r="S114" i="66"/>
  <c r="U114" i="66" s="1"/>
  <c r="N64" i="74"/>
  <c r="O220" i="66"/>
  <c r="H4" i="74"/>
  <c r="O4" i="66"/>
  <c r="J21" i="74"/>
  <c r="L66" i="74"/>
  <c r="X140" i="66"/>
  <c r="S140" i="66"/>
  <c r="T140" i="66"/>
  <c r="Q140" i="66"/>
  <c r="W140" i="66" s="1"/>
  <c r="K140" i="74"/>
  <c r="L135" i="74"/>
  <c r="J124" i="74"/>
  <c r="X131" i="66"/>
  <c r="T131" i="66"/>
  <c r="K131" i="74"/>
  <c r="N138" i="74"/>
  <c r="J70" i="74"/>
  <c r="N144" i="74"/>
  <c r="S178" i="66"/>
  <c r="Q178" i="66"/>
  <c r="W178" i="66" s="1"/>
  <c r="X178" i="66"/>
  <c r="T178" i="66"/>
  <c r="J60" i="74"/>
  <c r="M70" i="74"/>
  <c r="L98" i="74"/>
  <c r="L86" i="74"/>
  <c r="Q274" i="66"/>
  <c r="W274" i="66" s="1"/>
  <c r="S274" i="66"/>
  <c r="X274" i="66"/>
  <c r="T274" i="66"/>
  <c r="H109" i="74"/>
  <c r="M51" i="74"/>
  <c r="Q221" i="66"/>
  <c r="W221" i="66" s="1"/>
  <c r="X221" i="66"/>
  <c r="T221" i="66"/>
  <c r="S221" i="66"/>
  <c r="H81" i="74"/>
  <c r="O81" i="66"/>
  <c r="O177" i="66"/>
  <c r="M97" i="74"/>
  <c r="K34" i="74"/>
  <c r="H119" i="74"/>
  <c r="T29" i="66"/>
  <c r="Q29" i="66"/>
  <c r="W29" i="66" s="1"/>
  <c r="X29" i="66"/>
  <c r="S29" i="66"/>
  <c r="K29" i="74"/>
  <c r="M141" i="74"/>
  <c r="T291" i="66"/>
  <c r="S291" i="66"/>
  <c r="Q291" i="66"/>
  <c r="W291" i="66" s="1"/>
  <c r="X291" i="66"/>
  <c r="L52" i="74"/>
  <c r="X8" i="66"/>
  <c r="T8" i="66"/>
  <c r="Q8" i="66"/>
  <c r="W8" i="66" s="1"/>
  <c r="S8" i="66"/>
  <c r="K8" i="74"/>
  <c r="S157" i="66"/>
  <c r="U157" i="66" s="1"/>
  <c r="J126" i="74"/>
  <c r="T11" i="66"/>
  <c r="Q11" i="66"/>
  <c r="W11" i="66" s="1"/>
  <c r="X11" i="66"/>
  <c r="S11" i="66"/>
  <c r="K11" i="74"/>
  <c r="S134" i="66"/>
  <c r="Q134" i="66"/>
  <c r="W134" i="66" s="1"/>
  <c r="X134" i="66"/>
  <c r="T134" i="66"/>
  <c r="K134" i="74"/>
  <c r="S24" i="66"/>
  <c r="T24" i="66"/>
  <c r="Q24" i="66"/>
  <c r="W24" i="66" s="1"/>
  <c r="X24" i="66"/>
  <c r="K24" i="74"/>
  <c r="N7" i="74"/>
  <c r="H141" i="74"/>
  <c r="S239" i="66"/>
  <c r="X239" i="66"/>
  <c r="T239" i="66"/>
  <c r="Q239" i="66"/>
  <c r="W239" i="66" s="1"/>
  <c r="H124" i="74"/>
  <c r="G13" i="39"/>
  <c r="H63" i="74"/>
  <c r="T199" i="66"/>
  <c r="U199" i="66" s="1"/>
  <c r="X199" i="66"/>
  <c r="H36" i="74"/>
  <c r="M108" i="74"/>
  <c r="T70" i="66"/>
  <c r="X70" i="66"/>
  <c r="S70" i="66"/>
  <c r="Q70" i="66"/>
  <c r="W70" i="66" s="1"/>
  <c r="K70" i="74"/>
  <c r="H99" i="74"/>
  <c r="Y4" i="66"/>
  <c r="M60" i="74"/>
  <c r="X229" i="66"/>
  <c r="T229" i="66"/>
  <c r="O187" i="66"/>
  <c r="L25" i="74"/>
  <c r="L83" i="74"/>
  <c r="L54" i="74"/>
  <c r="X289" i="66"/>
  <c r="T289" i="66"/>
  <c r="Q289" i="66"/>
  <c r="T139" i="66"/>
  <c r="S139" i="66"/>
  <c r="Q139" i="66"/>
  <c r="W139" i="66" s="1"/>
  <c r="X139" i="66"/>
  <c r="K139" i="74"/>
  <c r="J64" i="74"/>
  <c r="N106" i="74"/>
  <c r="S49" i="66"/>
  <c r="T49" i="66"/>
  <c r="Q49" i="66"/>
  <c r="W49" i="66" s="1"/>
  <c r="X49" i="66"/>
  <c r="K49" i="74"/>
  <c r="J119" i="74"/>
  <c r="L140" i="74"/>
  <c r="X35" i="66"/>
  <c r="T35" i="66"/>
  <c r="K35" i="74"/>
  <c r="O237" i="66"/>
  <c r="X219" i="66"/>
  <c r="T219" i="66"/>
  <c r="S219" i="66"/>
  <c r="Q219" i="66"/>
  <c r="W219" i="66" s="1"/>
  <c r="L126" i="74"/>
  <c r="T27" i="66"/>
  <c r="S27" i="66"/>
  <c r="Q27" i="66"/>
  <c r="W27" i="66" s="1"/>
  <c r="X27" i="66"/>
  <c r="K27" i="74"/>
  <c r="X233" i="66"/>
  <c r="T233" i="66"/>
  <c r="J128" i="74"/>
  <c r="J7" i="74"/>
  <c r="O172" i="66"/>
  <c r="S15" i="66"/>
  <c r="X15" i="66"/>
  <c r="T15" i="66"/>
  <c r="Q15" i="66"/>
  <c r="W15" i="66" s="1"/>
  <c r="K15" i="74"/>
  <c r="X284" i="66"/>
  <c r="T284" i="66"/>
  <c r="S284" i="66"/>
  <c r="Q284" i="66"/>
  <c r="W284" i="66" s="1"/>
  <c r="H105" i="74"/>
  <c r="X152" i="66"/>
  <c r="T152" i="66"/>
  <c r="S152" i="66"/>
  <c r="Q152" i="66"/>
  <c r="W152" i="66" s="1"/>
  <c r="J86" i="74"/>
  <c r="X149" i="66"/>
  <c r="Q149" i="66"/>
  <c r="W149" i="66" s="1"/>
  <c r="T149" i="66"/>
  <c r="S149" i="66"/>
  <c r="J109" i="74"/>
  <c r="T159" i="66"/>
  <c r="Q159" i="66"/>
  <c r="W159" i="66" s="1"/>
  <c r="X159" i="66"/>
  <c r="S159" i="66"/>
  <c r="M136" i="74"/>
  <c r="J138" i="74"/>
  <c r="O10" i="66"/>
  <c r="S279" i="66"/>
  <c r="Q279" i="66"/>
  <c r="W279" i="66" s="1"/>
  <c r="X279" i="66"/>
  <c r="T279" i="66"/>
  <c r="N134" i="74"/>
  <c r="H7" i="74"/>
  <c r="T223" i="66"/>
  <c r="S223" i="66"/>
  <c r="Q223" i="66"/>
  <c r="W223" i="66" s="1"/>
  <c r="X223" i="66"/>
  <c r="H43" i="74"/>
  <c r="O43" i="66"/>
  <c r="J51" i="74"/>
  <c r="Q34" i="66"/>
  <c r="W34" i="66" s="1"/>
  <c r="Y34" i="66" s="1"/>
  <c r="J87" i="74"/>
  <c r="X241" i="66"/>
  <c r="T241" i="66"/>
  <c r="Q241" i="66"/>
  <c r="L121" i="74"/>
  <c r="O154" i="66"/>
  <c r="M127" i="74"/>
  <c r="S162" i="66"/>
  <c r="T162" i="66"/>
  <c r="Q162" i="66"/>
  <c r="W162" i="66" s="1"/>
  <c r="X162" i="66"/>
  <c r="M142" i="74"/>
  <c r="S38" i="66"/>
  <c r="Q38" i="66"/>
  <c r="W38" i="66" s="1"/>
  <c r="X38" i="66"/>
  <c r="T38" i="66"/>
  <c r="K38" i="74"/>
  <c r="J106" i="74"/>
  <c r="L92" i="74"/>
  <c r="Q19" i="66"/>
  <c r="W19" i="66" s="1"/>
  <c r="T19" i="66"/>
  <c r="S19" i="66"/>
  <c r="X19" i="66"/>
  <c r="K19" i="74"/>
  <c r="X146" i="66"/>
  <c r="T146" i="66"/>
  <c r="K146" i="74"/>
  <c r="O193" i="66"/>
  <c r="O16" i="66"/>
  <c r="H16" i="74"/>
  <c r="K99" i="74"/>
  <c r="J35" i="74"/>
  <c r="M45" i="74"/>
  <c r="S45" i="66"/>
  <c r="T183" i="66"/>
  <c r="S183" i="66"/>
  <c r="Q183" i="66"/>
  <c r="W183" i="66" s="1"/>
  <c r="X183" i="66"/>
  <c r="N67" i="74"/>
  <c r="X181" i="66"/>
  <c r="T181" i="66"/>
  <c r="Q110" i="66"/>
  <c r="W110" i="66" s="1"/>
  <c r="X110" i="66"/>
  <c r="S110" i="66"/>
  <c r="T110" i="66"/>
  <c r="K110" i="74"/>
  <c r="X143" i="66"/>
  <c r="T143" i="66"/>
  <c r="S143" i="66"/>
  <c r="Q143" i="66"/>
  <c r="W143" i="66" s="1"/>
  <c r="K143" i="74"/>
  <c r="M80" i="74"/>
  <c r="S182" i="66"/>
  <c r="T182" i="66"/>
  <c r="Q182" i="66"/>
  <c r="W182" i="66" s="1"/>
  <c r="X182" i="66"/>
  <c r="S72" i="66"/>
  <c r="X72" i="66"/>
  <c r="Q72" i="66"/>
  <c r="W72" i="66" s="1"/>
  <c r="T72" i="66"/>
  <c r="K72" i="74"/>
  <c r="H69" i="74"/>
  <c r="S86" i="66"/>
  <c r="X86" i="66"/>
  <c r="T86" i="66"/>
  <c r="Q86" i="66"/>
  <c r="W86" i="66" s="1"/>
  <c r="K86" i="74"/>
  <c r="X290" i="66"/>
  <c r="T290" i="66"/>
  <c r="X258" i="66"/>
  <c r="T258" i="66"/>
  <c r="S258" i="66"/>
  <c r="Q258" i="66"/>
  <c r="W258" i="66" s="1"/>
  <c r="N125" i="74"/>
  <c r="T101" i="66"/>
  <c r="X101" i="66"/>
  <c r="S101" i="66"/>
  <c r="Q101" i="66"/>
  <c r="W101" i="66" s="1"/>
  <c r="K101" i="74"/>
  <c r="S92" i="66"/>
  <c r="T92" i="66"/>
  <c r="Q92" i="66"/>
  <c r="W92" i="66" s="1"/>
  <c r="X92" i="66"/>
  <c r="K92" i="74"/>
  <c r="S118" i="66"/>
  <c r="Q118" i="66"/>
  <c r="W118" i="66" s="1"/>
  <c r="X118" i="66"/>
  <c r="T118" i="66"/>
  <c r="K118" i="74"/>
  <c r="H34" i="74"/>
  <c r="Q25" i="66"/>
  <c r="W25" i="66" s="1"/>
  <c r="X25" i="66"/>
  <c r="T25" i="66"/>
  <c r="S25" i="66"/>
  <c r="K25" i="74"/>
  <c r="O189" i="66"/>
  <c r="J44" i="74"/>
  <c r="J133" i="74"/>
  <c r="X277" i="66"/>
  <c r="T277" i="66"/>
  <c r="H108" i="74"/>
  <c r="O205" i="66"/>
  <c r="H76" i="74"/>
  <c r="O76" i="66"/>
  <c r="F13" i="39"/>
  <c r="S160" i="66"/>
  <c r="T160" i="66"/>
  <c r="Q160" i="66"/>
  <c r="W160" i="66" s="1"/>
  <c r="X160" i="66"/>
  <c r="N48" i="74"/>
  <c r="F26" i="39"/>
  <c r="O64" i="66"/>
  <c r="H64" i="74"/>
  <c r="O273" i="66"/>
  <c r="H91" i="74"/>
  <c r="O91" i="66"/>
  <c r="Q163" i="66"/>
  <c r="W163" i="66" s="1"/>
  <c r="X163" i="66"/>
  <c r="T163" i="66"/>
  <c r="S163" i="66"/>
  <c r="X44" i="66"/>
  <c r="T44" i="66"/>
  <c r="S44" i="66"/>
  <c r="Q44" i="66"/>
  <c r="W44" i="66" s="1"/>
  <c r="K44" i="74"/>
  <c r="T85" i="66"/>
  <c r="X85" i="66"/>
  <c r="K85" i="74"/>
  <c r="L21" i="74"/>
  <c r="X226" i="66"/>
  <c r="S226" i="66"/>
  <c r="T226" i="66"/>
  <c r="Q226" i="66"/>
  <c r="W226" i="66" s="1"/>
  <c r="J96" i="74"/>
  <c r="F28" i="39"/>
  <c r="H13" i="74"/>
  <c r="O13" i="66"/>
  <c r="M94" i="74"/>
  <c r="L77" i="74"/>
  <c r="H58" i="74"/>
  <c r="O58" i="66"/>
  <c r="F16" i="39"/>
  <c r="M59" i="74"/>
  <c r="H31" i="74"/>
  <c r="O31" i="66"/>
  <c r="J111" i="74"/>
  <c r="J74" i="74"/>
  <c r="M57" i="74"/>
  <c r="M65" i="74"/>
  <c r="J144" i="74"/>
  <c r="T76" i="74"/>
  <c r="X188" i="66"/>
  <c r="T188" i="66"/>
  <c r="S188" i="66"/>
  <c r="Q188" i="66"/>
  <c r="W188" i="66" s="1"/>
  <c r="N104" i="74"/>
  <c r="S22" i="66"/>
  <c r="X22" i="66"/>
  <c r="T22" i="66"/>
  <c r="Q22" i="66"/>
  <c r="W22" i="66" s="1"/>
  <c r="K22" i="74"/>
  <c r="H120" i="74"/>
  <c r="J122" i="74"/>
  <c r="S62" i="66"/>
  <c r="X62" i="66"/>
  <c r="T62" i="66"/>
  <c r="Q62" i="66"/>
  <c r="W62" i="66" s="1"/>
  <c r="K62" i="74"/>
  <c r="H94" i="74"/>
  <c r="O94" i="66"/>
  <c r="Y99" i="66"/>
  <c r="J80" i="74"/>
  <c r="F27" i="39"/>
  <c r="O157" i="66"/>
  <c r="X151" i="66"/>
  <c r="T151" i="66"/>
  <c r="U151" i="66" s="1"/>
  <c r="H84" i="74"/>
  <c r="M140" i="74"/>
  <c r="N140" i="74"/>
  <c r="J71" i="74"/>
  <c r="Q262" i="66"/>
  <c r="W262" i="66" s="1"/>
  <c r="Y262" i="66" s="1"/>
  <c r="X251" i="66"/>
  <c r="S251" i="66"/>
  <c r="Q251" i="66"/>
  <c r="W251" i="66" s="1"/>
  <c r="T251" i="66"/>
  <c r="J6" i="74"/>
  <c r="M62" i="74"/>
  <c r="X235" i="66"/>
  <c r="T235" i="66"/>
  <c r="Q235" i="66"/>
  <c r="W235" i="66" s="1"/>
  <c r="S235" i="66"/>
  <c r="H50" i="74"/>
  <c r="Q136" i="66"/>
  <c r="W136" i="66" s="1"/>
  <c r="T136" i="66"/>
  <c r="X136" i="66"/>
  <c r="S136" i="66"/>
  <c r="K136" i="74"/>
  <c r="J4" i="74"/>
  <c r="S196" i="66"/>
  <c r="Q196" i="66"/>
  <c r="W196" i="66" s="1"/>
  <c r="X196" i="66"/>
  <c r="T196" i="66"/>
  <c r="H123" i="74"/>
  <c r="Q114" i="66"/>
  <c r="W114" i="66" s="1"/>
  <c r="Y114" i="66" s="1"/>
  <c r="T127" i="66"/>
  <c r="X127" i="66"/>
  <c r="S127" i="66"/>
  <c r="Q127" i="66"/>
  <c r="W127" i="66" s="1"/>
  <c r="K127" i="74"/>
  <c r="N50" i="74"/>
  <c r="M31" i="74"/>
  <c r="L68" i="74"/>
  <c r="N143" i="74"/>
  <c r="X184" i="66"/>
  <c r="T184" i="66"/>
  <c r="S184" i="66"/>
  <c r="Q184" i="66"/>
  <c r="W184" i="66" s="1"/>
  <c r="X83" i="66"/>
  <c r="T83" i="66"/>
  <c r="K83" i="74"/>
  <c r="H24" i="74"/>
  <c r="M126" i="74"/>
  <c r="H111" i="74"/>
  <c r="L16" i="74"/>
  <c r="L105" i="74"/>
  <c r="M81" i="74"/>
  <c r="J37" i="74"/>
  <c r="O191" i="66"/>
  <c r="H6" i="74"/>
  <c r="L73" i="74"/>
  <c r="L93" i="74"/>
  <c r="N55" i="74"/>
  <c r="T206" i="66"/>
  <c r="X206" i="66"/>
  <c r="Q206" i="66"/>
  <c r="W206" i="66" s="1"/>
  <c r="S206" i="66"/>
  <c r="H35" i="74"/>
  <c r="L20" i="74"/>
  <c r="X148" i="66"/>
  <c r="Q148" i="66"/>
  <c r="W148" i="66" s="1"/>
  <c r="T148" i="66"/>
  <c r="S148" i="66"/>
  <c r="X276" i="66"/>
  <c r="T276" i="66"/>
  <c r="H15" i="74"/>
  <c r="X40" i="66"/>
  <c r="S40" i="66"/>
  <c r="Q40" i="66"/>
  <c r="W40" i="66" s="1"/>
  <c r="T40" i="66"/>
  <c r="K40" i="74"/>
  <c r="M78" i="74"/>
  <c r="X230" i="66"/>
  <c r="S230" i="66"/>
  <c r="T230" i="66"/>
  <c r="Q230" i="66"/>
  <c r="W230" i="66" s="1"/>
  <c r="J66" i="74"/>
  <c r="M46" i="74"/>
  <c r="S46" i="66"/>
  <c r="L19" i="74"/>
  <c r="H97" i="74"/>
  <c r="O97" i="66"/>
  <c r="Q79" i="66"/>
  <c r="W79" i="66" s="1"/>
  <c r="T79" i="66"/>
  <c r="S79" i="66"/>
  <c r="X79" i="66"/>
  <c r="K79" i="74"/>
  <c r="J147" i="74"/>
  <c r="J45" i="74"/>
  <c r="X5" i="66"/>
  <c r="Q5" i="66"/>
  <c r="W5" i="66" s="1"/>
  <c r="T5" i="66"/>
  <c r="S5" i="66"/>
  <c r="K5" i="74"/>
  <c r="H60" i="74"/>
  <c r="O60" i="66"/>
  <c r="F14" i="39"/>
  <c r="T158" i="66"/>
  <c r="Q158" i="66"/>
  <c r="W158" i="66" s="1"/>
  <c r="S158" i="66"/>
  <c r="X158" i="66"/>
  <c r="S269" i="66"/>
  <c r="X269" i="66"/>
  <c r="Q269" i="66"/>
  <c r="W269" i="66" s="1"/>
  <c r="T269" i="66"/>
  <c r="M93" i="74"/>
  <c r="H33" i="74"/>
  <c r="O33" i="66"/>
  <c r="S115" i="66"/>
  <c r="X115" i="66"/>
  <c r="Q115" i="66"/>
  <c r="W115" i="66" s="1"/>
  <c r="T115" i="66"/>
  <c r="K115" i="74"/>
  <c r="N124" i="74"/>
  <c r="J103" i="74"/>
  <c r="M113" i="74"/>
  <c r="H57" i="74"/>
  <c r="L144" i="74"/>
  <c r="N96" i="74"/>
  <c r="T259" i="66"/>
  <c r="S259" i="66"/>
  <c r="X259" i="66"/>
  <c r="Q259" i="66"/>
  <c r="W259" i="66" s="1"/>
  <c r="X103" i="66"/>
  <c r="T103" i="66"/>
  <c r="U103" i="66" s="1"/>
  <c r="K103" i="74"/>
  <c r="S236" i="66"/>
  <c r="X236" i="66"/>
  <c r="T236" i="66"/>
  <c r="Q236" i="66"/>
  <c r="W236" i="66" s="1"/>
  <c r="M119" i="74"/>
  <c r="O160" i="66"/>
  <c r="T179" i="66"/>
  <c r="X179" i="66"/>
  <c r="O167" i="66"/>
  <c r="X227" i="66"/>
  <c r="T227" i="66"/>
  <c r="L116" i="74"/>
  <c r="O289" i="66"/>
  <c r="M8" i="74"/>
  <c r="Q67" i="66"/>
  <c r="W67" i="66" s="1"/>
  <c r="X67" i="66"/>
  <c r="T67" i="66"/>
  <c r="S67" i="66"/>
  <c r="K67" i="74"/>
  <c r="M123" i="74"/>
  <c r="J137" i="74"/>
  <c r="M130" i="74"/>
  <c r="L39" i="74"/>
  <c r="N19" i="74"/>
  <c r="M74" i="74"/>
  <c r="J24" i="74"/>
  <c r="J91" i="74"/>
  <c r="N130" i="74"/>
  <c r="J127" i="74"/>
  <c r="J78" i="74"/>
  <c r="X247" i="66"/>
  <c r="T247" i="66"/>
  <c r="U247" i="66" s="1"/>
  <c r="N84" i="74"/>
  <c r="O23" i="66"/>
  <c r="Q253" i="66"/>
  <c r="W253" i="66" s="1"/>
  <c r="Y253" i="66" s="1"/>
  <c r="H39" i="74"/>
  <c r="T187" i="66"/>
  <c r="S187" i="66"/>
  <c r="Q187" i="66"/>
  <c r="W187" i="66" s="1"/>
  <c r="X187" i="66"/>
  <c r="H82" i="74"/>
  <c r="S273" i="66"/>
  <c r="T273" i="66"/>
  <c r="Q273" i="66"/>
  <c r="W273" i="66" s="1"/>
  <c r="X273" i="66"/>
  <c r="T254" i="66"/>
  <c r="Q254" i="66"/>
  <c r="W254" i="66" s="1"/>
  <c r="X254" i="66"/>
  <c r="S254" i="66"/>
  <c r="H47" i="74"/>
  <c r="O47" i="66"/>
  <c r="J69" i="74"/>
  <c r="X217" i="66"/>
  <c r="S217" i="66"/>
  <c r="T217" i="66"/>
  <c r="Q217" i="66"/>
  <c r="W217" i="66" s="1"/>
  <c r="X137" i="66"/>
  <c r="T137" i="66"/>
  <c r="K137" i="74"/>
  <c r="K132" i="74"/>
  <c r="J118" i="74"/>
  <c r="Q56" i="66"/>
  <c r="W56" i="66" s="1"/>
  <c r="X56" i="66"/>
  <c r="T56" i="66"/>
  <c r="S56" i="66"/>
  <c r="K56" i="74"/>
  <c r="S59" i="66"/>
  <c r="Q59" i="66"/>
  <c r="W59" i="66" s="1"/>
  <c r="T59" i="66"/>
  <c r="X59" i="66"/>
  <c r="K59" i="74"/>
  <c r="M71" i="74"/>
  <c r="H52" i="74"/>
  <c r="O52" i="66"/>
  <c r="J90" i="74"/>
  <c r="M10" i="74"/>
  <c r="S10" i="74" s="1"/>
  <c r="S10" i="66"/>
  <c r="N103" i="74"/>
  <c r="T31" i="66"/>
  <c r="X31" i="66"/>
  <c r="S31" i="66"/>
  <c r="Q31" i="66"/>
  <c r="W31" i="66" s="1"/>
  <c r="K31" i="74"/>
  <c r="X225" i="66"/>
  <c r="S225" i="66"/>
  <c r="T225" i="66"/>
  <c r="Q225" i="66"/>
  <c r="W225" i="66" s="1"/>
  <c r="J123" i="74"/>
  <c r="L18" i="74"/>
  <c r="L34" i="74"/>
  <c r="L113" i="74"/>
  <c r="M48" i="74"/>
  <c r="S48" i="66"/>
  <c r="N111" i="74"/>
  <c r="L128" i="74"/>
  <c r="J30" i="74"/>
  <c r="L30" i="74"/>
  <c r="N18" i="74"/>
  <c r="M17" i="74"/>
  <c r="J93" i="74"/>
  <c r="J139" i="74"/>
  <c r="L57" i="74"/>
  <c r="J26" i="74"/>
  <c r="L137" i="74"/>
  <c r="N43" i="74"/>
  <c r="H102" i="74"/>
  <c r="X185" i="66"/>
  <c r="T185" i="66"/>
  <c r="T203" i="66"/>
  <c r="Q203" i="66"/>
  <c r="W203" i="66" s="1"/>
  <c r="X203" i="66"/>
  <c r="S203" i="66"/>
  <c r="J72" i="74"/>
  <c r="O278" i="66"/>
  <c r="M107" i="74"/>
  <c r="M144" i="74"/>
  <c r="L131" i="74"/>
  <c r="L7" i="74"/>
  <c r="M43" i="74"/>
  <c r="N108" i="74"/>
  <c r="H23" i="74"/>
  <c r="X211" i="66"/>
  <c r="T211" i="66"/>
  <c r="S211" i="66"/>
  <c r="Q211" i="66"/>
  <c r="W211" i="66" s="1"/>
  <c r="Q13" i="66"/>
  <c r="W13" i="66" s="1"/>
  <c r="X13" i="66"/>
  <c r="T13" i="66"/>
  <c r="S13" i="66"/>
  <c r="K13" i="74"/>
  <c r="J28" i="74"/>
  <c r="S265" i="66"/>
  <c r="Q265" i="66"/>
  <c r="W265" i="66" s="1"/>
  <c r="X265" i="66"/>
  <c r="T265" i="66"/>
  <c r="T177" i="66"/>
  <c r="Q177" i="66"/>
  <c r="W177" i="66" s="1"/>
  <c r="X177" i="66"/>
  <c r="S177" i="66"/>
  <c r="T191" i="66"/>
  <c r="S191" i="66"/>
  <c r="Q191" i="66"/>
  <c r="W191" i="66" s="1"/>
  <c r="X191" i="66"/>
  <c r="H133" i="74"/>
  <c r="T133" i="66"/>
  <c r="X133" i="66"/>
  <c r="K133" i="74"/>
  <c r="X175" i="66"/>
  <c r="S175" i="66"/>
  <c r="T175" i="66"/>
  <c r="Q175" i="66"/>
  <c r="W175" i="66" s="1"/>
  <c r="S166" i="66"/>
  <c r="X166" i="66"/>
  <c r="T166" i="66"/>
  <c r="Q166" i="66"/>
  <c r="W166" i="66" s="1"/>
  <c r="Q61" i="66"/>
  <c r="W61" i="66" s="1"/>
  <c r="T61" i="66"/>
  <c r="S61" i="66"/>
  <c r="X61" i="66"/>
  <c r="K61" i="74"/>
  <c r="J65" i="74"/>
  <c r="H95" i="74"/>
  <c r="O95" i="66"/>
  <c r="O230" i="66"/>
  <c r="L51" i="74"/>
  <c r="J52" i="74"/>
  <c r="L139" i="74"/>
  <c r="L81" i="74"/>
  <c r="L120" i="74"/>
  <c r="M12" i="74"/>
  <c r="S12" i="66"/>
  <c r="H147" i="74"/>
  <c r="N38" i="74"/>
  <c r="J67" i="74"/>
  <c r="J112" i="74"/>
  <c r="L84" i="74"/>
  <c r="H51" i="74"/>
  <c r="S271" i="66"/>
  <c r="T271" i="66"/>
  <c r="Q271" i="66"/>
  <c r="W271" i="66" s="1"/>
  <c r="X271" i="66"/>
  <c r="L5" i="74"/>
  <c r="H127" i="74"/>
  <c r="S123" i="66"/>
  <c r="Q123" i="66"/>
  <c r="W123" i="66" s="1"/>
  <c r="X123" i="66"/>
  <c r="T123" i="66"/>
  <c r="K123" i="74"/>
  <c r="H103" i="74"/>
  <c r="N59" i="74"/>
  <c r="M34" i="74"/>
  <c r="J136" i="74"/>
  <c r="J29" i="74"/>
  <c r="N86" i="74"/>
  <c r="X100" i="66"/>
  <c r="T100" i="66"/>
  <c r="S100" i="66"/>
  <c r="Q100" i="66"/>
  <c r="W100" i="66" s="1"/>
  <c r="K100" i="74"/>
  <c r="L109" i="74"/>
  <c r="H54" i="74"/>
  <c r="S171" i="66"/>
  <c r="X171" i="66"/>
  <c r="T171" i="66"/>
  <c r="Q171" i="66"/>
  <c r="W171" i="66" s="1"/>
  <c r="J62" i="74"/>
  <c r="T84" i="66"/>
  <c r="X84" i="66"/>
  <c r="K84" i="74"/>
  <c r="J49" i="74"/>
  <c r="N81" i="74"/>
  <c r="J9" i="74"/>
  <c r="N42" i="74"/>
  <c r="Q264" i="66"/>
  <c r="W264" i="66" s="1"/>
  <c r="X264" i="66"/>
  <c r="T264" i="66"/>
  <c r="S264" i="66"/>
  <c r="M32" i="74"/>
  <c r="S32" i="66"/>
  <c r="K82" i="74"/>
  <c r="D199" i="72" a="1"/>
  <c r="D199" i="72" s="1"/>
  <c r="D200" i="72" s="1" a="1"/>
  <c r="D200" i="72" s="1"/>
  <c r="D137" i="72" a="1"/>
  <c r="D137" i="72" s="1"/>
  <c r="D138" i="72" s="1" a="1"/>
  <c r="D138" i="72" s="1"/>
  <c r="D262" i="72" a="1"/>
  <c r="D262" i="72" s="1"/>
  <c r="J454" i="41" l="1"/>
  <c r="S23" i="74"/>
  <c r="O51" i="66"/>
  <c r="G28" i="39"/>
  <c r="U48" i="66"/>
  <c r="O284" i="66"/>
  <c r="P202" i="66"/>
  <c r="U82" i="66"/>
  <c r="Y157" i="66"/>
  <c r="P156" i="66"/>
  <c r="G139" i="74"/>
  <c r="O139" i="74" s="1"/>
  <c r="G27" i="39"/>
  <c r="U167" i="66"/>
  <c r="O124" i="66"/>
  <c r="P124" i="66" s="1"/>
  <c r="X76" i="74"/>
  <c r="AC3" i="39"/>
  <c r="U12" i="66"/>
  <c r="AA61" i="66"/>
  <c r="Q114" i="74"/>
  <c r="W114" i="74" s="1"/>
  <c r="T114" i="74"/>
  <c r="X4" i="74"/>
  <c r="Q4" i="74"/>
  <c r="W4" i="74" s="1"/>
  <c r="S4" i="74"/>
  <c r="U4" i="74" s="1"/>
  <c r="U23" i="66"/>
  <c r="U154" i="66"/>
  <c r="U10" i="66"/>
  <c r="O143" i="66"/>
  <c r="G141" i="74"/>
  <c r="Y9" i="66"/>
  <c r="AA46" i="66"/>
  <c r="S48" i="74"/>
  <c r="S114" i="74"/>
  <c r="U114" i="74" s="1"/>
  <c r="S32" i="74"/>
  <c r="O108" i="66"/>
  <c r="H140" i="74"/>
  <c r="O127" i="66"/>
  <c r="P190" i="66"/>
  <c r="P46" i="66"/>
  <c r="R46" i="66" s="1"/>
  <c r="Z190" i="66"/>
  <c r="S28" i="74"/>
  <c r="AA190" i="66"/>
  <c r="Z46" i="66"/>
  <c r="K215" i="66"/>
  <c r="O215" i="66" s="1"/>
  <c r="O129" i="66"/>
  <c r="Z129" i="66" s="1"/>
  <c r="J446" i="41"/>
  <c r="S46" i="74"/>
  <c r="P240" i="66"/>
  <c r="V240" i="66" s="1"/>
  <c r="U253" i="66"/>
  <c r="O109" i="66"/>
  <c r="AA109" i="66" s="1"/>
  <c r="G14" i="39"/>
  <c r="Y12" i="66"/>
  <c r="J463" i="41"/>
  <c r="H126" i="74"/>
  <c r="G119" i="74"/>
  <c r="J450" i="41"/>
  <c r="H113" i="74"/>
  <c r="U32" i="66"/>
  <c r="O139" i="66"/>
  <c r="AA139" i="66" s="1"/>
  <c r="E46" i="39"/>
  <c r="E125" i="38" s="1"/>
  <c r="J467" i="37" s="1"/>
  <c r="J461" i="41"/>
  <c r="H101" i="74"/>
  <c r="J473" i="37"/>
  <c r="K141" i="66"/>
  <c r="J460" i="41"/>
  <c r="K285" i="66"/>
  <c r="J473" i="58"/>
  <c r="P224" i="66"/>
  <c r="R224" i="66" s="1"/>
  <c r="S224" i="66" s="1"/>
  <c r="U224" i="66" s="1"/>
  <c r="U230" i="66"/>
  <c r="U63" i="66"/>
  <c r="Y10" i="66"/>
  <c r="U203" i="66"/>
  <c r="S45" i="74"/>
  <c r="Y159" i="66"/>
  <c r="G16" i="39"/>
  <c r="S12" i="74"/>
  <c r="F12" i="39"/>
  <c r="U46" i="66"/>
  <c r="M46" i="39"/>
  <c r="E176" i="38" s="1"/>
  <c r="K263" i="66" s="1"/>
  <c r="O263" i="66" s="1"/>
  <c r="P193" i="66"/>
  <c r="R193" i="66" s="1"/>
  <c r="P160" i="66"/>
  <c r="V160" i="66" s="1"/>
  <c r="U45" i="66"/>
  <c r="P289" i="66"/>
  <c r="V289" i="66" s="1"/>
  <c r="U190" i="66"/>
  <c r="O106" i="66"/>
  <c r="P250" i="66" s="1"/>
  <c r="Y274" i="66"/>
  <c r="U34" i="66"/>
  <c r="U92" i="66"/>
  <c r="U14" i="66"/>
  <c r="H107" i="74"/>
  <c r="U70" i="66"/>
  <c r="J440" i="41"/>
  <c r="U191" i="66"/>
  <c r="Y232" i="66"/>
  <c r="P176" i="66"/>
  <c r="R176" i="66" s="1"/>
  <c r="P237" i="66"/>
  <c r="R237" i="66" s="1"/>
  <c r="S237" i="66" s="1"/>
  <c r="U237" i="66" s="1"/>
  <c r="U149" i="66"/>
  <c r="U273" i="66"/>
  <c r="Y171" i="66"/>
  <c r="U155" i="66"/>
  <c r="Y173" i="66"/>
  <c r="U243" i="66"/>
  <c r="Y27" i="66"/>
  <c r="Y154" i="66"/>
  <c r="U236" i="66"/>
  <c r="U206" i="66"/>
  <c r="Y101" i="66"/>
  <c r="U44" i="66"/>
  <c r="P154" i="66"/>
  <c r="V154" i="66" s="1"/>
  <c r="Y52" i="66"/>
  <c r="Y188" i="66"/>
  <c r="J443" i="41"/>
  <c r="U183" i="66"/>
  <c r="Y15" i="66"/>
  <c r="Y25" i="66"/>
  <c r="U110" i="66"/>
  <c r="U40" i="66"/>
  <c r="Y182" i="66"/>
  <c r="Y114" i="74"/>
  <c r="Y39" i="66"/>
  <c r="U158" i="66"/>
  <c r="Y8" i="66"/>
  <c r="U52" i="66"/>
  <c r="U193" i="66"/>
  <c r="Y258" i="66"/>
  <c r="Y143" i="66"/>
  <c r="Y38" i="66"/>
  <c r="Y87" i="66"/>
  <c r="Y190" i="66"/>
  <c r="U118" i="66"/>
  <c r="Y280" i="66"/>
  <c r="P189" i="66"/>
  <c r="R189" i="66" s="1"/>
  <c r="U143" i="66"/>
  <c r="U11" i="66"/>
  <c r="U91" i="66"/>
  <c r="Y109" i="66"/>
  <c r="Y107" i="66"/>
  <c r="Y271" i="66"/>
  <c r="Y11" i="66"/>
  <c r="U245" i="66"/>
  <c r="U271" i="66"/>
  <c r="U265" i="66"/>
  <c r="U5" i="66"/>
  <c r="Y235" i="66"/>
  <c r="Y22" i="66"/>
  <c r="Y24" i="66"/>
  <c r="U77" i="66"/>
  <c r="Y91" i="66"/>
  <c r="Y51" i="66"/>
  <c r="Y269" i="66"/>
  <c r="Y152" i="66"/>
  <c r="Y195" i="66"/>
  <c r="Y33" i="66"/>
  <c r="Y40" i="66"/>
  <c r="U43" i="66"/>
  <c r="Y47" i="66"/>
  <c r="U283" i="66"/>
  <c r="Y23" i="66"/>
  <c r="Y206" i="66"/>
  <c r="U223" i="66"/>
  <c r="U39" i="66"/>
  <c r="U123" i="66"/>
  <c r="J444" i="41"/>
  <c r="U177" i="66"/>
  <c r="Y217" i="66"/>
  <c r="U136" i="66"/>
  <c r="U95" i="66"/>
  <c r="U130" i="66"/>
  <c r="U255" i="66"/>
  <c r="U59" i="66"/>
  <c r="U284" i="66"/>
  <c r="U140" i="66"/>
  <c r="U232" i="66"/>
  <c r="Y75" i="66"/>
  <c r="U121" i="66"/>
  <c r="U231" i="66"/>
  <c r="Y167" i="66"/>
  <c r="Y31" i="66"/>
  <c r="U148" i="66"/>
  <c r="U196" i="66"/>
  <c r="Y226" i="66"/>
  <c r="Y223" i="66"/>
  <c r="U152" i="66"/>
  <c r="U27" i="66"/>
  <c r="Y95" i="66"/>
  <c r="U28" i="66"/>
  <c r="D286" i="72" a="1"/>
  <c r="D286" i="72" s="1"/>
  <c r="D287" i="72" s="1" a="1"/>
  <c r="D287" i="72" s="1"/>
  <c r="I6" i="6"/>
  <c r="AA80" i="66"/>
  <c r="AA224" i="66"/>
  <c r="Z224" i="66"/>
  <c r="Z80" i="66"/>
  <c r="P80" i="66"/>
  <c r="J11" i="18"/>
  <c r="F11" i="18"/>
  <c r="Y189" i="66"/>
  <c r="X28" i="74"/>
  <c r="T28" i="74"/>
  <c r="Q28" i="74"/>
  <c r="W28" i="74" s="1"/>
  <c r="F4" i="18"/>
  <c r="J4" i="18"/>
  <c r="Y172" i="66"/>
  <c r="D163" i="72" a="1"/>
  <c r="D163" i="72" s="1"/>
  <c r="D164" i="72" s="1" a="1"/>
  <c r="D164" i="72" s="1"/>
  <c r="D165" i="72" s="1" a="1"/>
  <c r="D165" i="72" s="1"/>
  <c r="B19" i="8"/>
  <c r="N21" i="66"/>
  <c r="N21" i="74" s="1"/>
  <c r="D102" i="72" a="1"/>
  <c r="D102" i="72" s="1"/>
  <c r="J458" i="37"/>
  <c r="K142" i="66"/>
  <c r="J459" i="37"/>
  <c r="T48" i="74"/>
  <c r="U48" i="74" s="1"/>
  <c r="Q48" i="74"/>
  <c r="W48" i="74" s="1"/>
  <c r="X48" i="74"/>
  <c r="F45" i="18"/>
  <c r="J45" i="18"/>
  <c r="F50" i="18"/>
  <c r="J50" i="18"/>
  <c r="E73" i="22"/>
  <c r="H37" i="20"/>
  <c r="Q37" i="20"/>
  <c r="H39" i="20"/>
  <c r="Q39" i="20"/>
  <c r="Q41" i="20"/>
  <c r="H42" i="20"/>
  <c r="H38" i="20"/>
  <c r="Q45" i="20"/>
  <c r="H35" i="20"/>
  <c r="Q34" i="20"/>
  <c r="H43" i="20"/>
  <c r="Q33" i="20"/>
  <c r="Q43" i="20"/>
  <c r="Q46" i="20"/>
  <c r="Q35" i="20"/>
  <c r="H46" i="20"/>
  <c r="H34" i="20"/>
  <c r="H45" i="20"/>
  <c r="H41" i="20"/>
  <c r="H33" i="20"/>
  <c r="Q42" i="20"/>
  <c r="Q40" i="20"/>
  <c r="H40" i="20"/>
  <c r="Q36" i="20"/>
  <c r="H44" i="20"/>
  <c r="O40" i="9"/>
  <c r="Q44" i="20"/>
  <c r="Q38" i="20"/>
  <c r="H36" i="20"/>
  <c r="J51" i="18"/>
  <c r="F51" i="18"/>
  <c r="Z188" i="66"/>
  <c r="AA44" i="66"/>
  <c r="Z44" i="66"/>
  <c r="AA188" i="66"/>
  <c r="E30" i="22"/>
  <c r="O8" i="9"/>
  <c r="K71" i="66"/>
  <c r="I467" i="37"/>
  <c r="I467" i="41" s="1"/>
  <c r="F47" i="18"/>
  <c r="J47" i="18"/>
  <c r="T96" i="74"/>
  <c r="Q96" i="74"/>
  <c r="X96" i="74"/>
  <c r="J10" i="18"/>
  <c r="F10" i="18"/>
  <c r="H118" i="74"/>
  <c r="O118" i="66"/>
  <c r="F5" i="18"/>
  <c r="J5" i="18"/>
  <c r="AC44" i="74"/>
  <c r="AD44" i="74" s="1"/>
  <c r="O44" i="74"/>
  <c r="I125" i="35" a="1"/>
  <c r="I125" i="35" s="1"/>
  <c r="G451" i="18" a="1"/>
  <c r="G451" i="18" s="1"/>
  <c r="K47" i="20"/>
  <c r="I115" i="35" a="1"/>
  <c r="I115" i="35" s="1"/>
  <c r="G450" i="18" a="1"/>
  <c r="G450" i="18" s="1"/>
  <c r="I128" i="35" a="1"/>
  <c r="I128" i="35" s="1"/>
  <c r="I121" i="35" a="1"/>
  <c r="I121" i="35" s="1"/>
  <c r="G462" i="18" a="1"/>
  <c r="G462" i="18" s="1"/>
  <c r="I124" i="35" a="1"/>
  <c r="I124" i="35" s="1"/>
  <c r="I117" i="35" a="1"/>
  <c r="I117" i="35" s="1"/>
  <c r="G459" i="18" a="1"/>
  <c r="G459" i="18" s="1"/>
  <c r="I120" i="35" a="1"/>
  <c r="I120" i="35" s="1"/>
  <c r="G458" i="18" a="1"/>
  <c r="G458" i="18" s="1"/>
  <c r="G454" i="18" a="1"/>
  <c r="G454" i="18" s="1"/>
  <c r="I116" i="35" a="1"/>
  <c r="I116" i="35" s="1"/>
  <c r="G452" i="18" a="1"/>
  <c r="G452" i="18" s="1"/>
  <c r="G463" i="18" a="1"/>
  <c r="G463" i="18" s="1"/>
  <c r="I126" i="35" a="1"/>
  <c r="I126" i="35" s="1"/>
  <c r="G461" i="18" a="1"/>
  <c r="G461" i="18" s="1"/>
  <c r="I127" i="35" a="1"/>
  <c r="I127" i="35" s="1"/>
  <c r="G453" i="18" a="1"/>
  <c r="G453" i="18" s="1"/>
  <c r="I122" i="35" a="1"/>
  <c r="I122" i="35" s="1"/>
  <c r="G460" i="18" a="1"/>
  <c r="G460" i="18" s="1"/>
  <c r="I123" i="35" a="1"/>
  <c r="I123" i="35" s="1"/>
  <c r="G456" i="18" a="1"/>
  <c r="G456" i="18" s="1"/>
  <c r="I118" i="35" a="1"/>
  <c r="I118" i="35" s="1"/>
  <c r="G455" i="18" a="1"/>
  <c r="G455" i="18" s="1"/>
  <c r="I119" i="35" a="1"/>
  <c r="I119" i="35" s="1"/>
  <c r="G457" i="18" a="1"/>
  <c r="G457" i="18" s="1"/>
  <c r="G245" i="18" a="1"/>
  <c r="G245" i="18" s="1"/>
  <c r="G242" i="18" a="1"/>
  <c r="G242" i="18" s="1"/>
  <c r="G243" i="18" a="1"/>
  <c r="G243" i="18" s="1"/>
  <c r="G252" i="18" a="1"/>
  <c r="G252" i="18" s="1"/>
  <c r="G247" i="18" a="1"/>
  <c r="G247" i="18" s="1"/>
  <c r="G240" i="18" a="1"/>
  <c r="G240" i="18" s="1"/>
  <c r="G244" i="18" a="1"/>
  <c r="G244" i="18" s="1"/>
  <c r="G250" i="18" a="1"/>
  <c r="G250" i="18" s="1"/>
  <c r="I83" i="35" a="1"/>
  <c r="I83" i="35" s="1"/>
  <c r="G249" i="18" a="1"/>
  <c r="G249" i="18" s="1"/>
  <c r="I84" i="35" a="1"/>
  <c r="I84" i="35" s="1"/>
  <c r="I80" i="35" a="1"/>
  <c r="I80" i="35" s="1"/>
  <c r="G246" i="18" a="1"/>
  <c r="G246" i="18" s="1"/>
  <c r="G251" i="18" a="1"/>
  <c r="G251" i="18" s="1"/>
  <c r="I76" i="35" a="1"/>
  <c r="I76" i="35" s="1"/>
  <c r="G248" i="18" a="1"/>
  <c r="G248" i="18" s="1"/>
  <c r="G253" i="18" a="1"/>
  <c r="G253" i="18" s="1"/>
  <c r="G241" i="18" a="1"/>
  <c r="G241" i="18" s="1"/>
  <c r="I79" i="35" a="1"/>
  <c r="I79" i="35" s="1"/>
  <c r="I77" i="35" a="1"/>
  <c r="I77" i="35" s="1"/>
  <c r="I82" i="35" a="1"/>
  <c r="I82" i="35" s="1"/>
  <c r="I85" i="35" a="1"/>
  <c r="I85" i="35" s="1"/>
  <c r="I73" i="35" a="1"/>
  <c r="I73" i="35" s="1"/>
  <c r="I81" i="35" a="1"/>
  <c r="I81" i="35" s="1"/>
  <c r="T20" i="20"/>
  <c r="I78" i="35" a="1"/>
  <c r="I78" i="35" s="1"/>
  <c r="I86" i="35" a="1"/>
  <c r="I86" i="35" s="1"/>
  <c r="I74" i="35" a="1"/>
  <c r="I74" i="35" s="1"/>
  <c r="I485" i="58"/>
  <c r="M213" i="66"/>
  <c r="J57" i="18"/>
  <c r="F57" i="18"/>
  <c r="U254" i="66"/>
  <c r="Y230" i="66"/>
  <c r="Y148" i="66"/>
  <c r="U62" i="66"/>
  <c r="U188" i="66"/>
  <c r="U19" i="66"/>
  <c r="P172" i="66"/>
  <c r="R172" i="66" s="1"/>
  <c r="Y139" i="66"/>
  <c r="Y267" i="66"/>
  <c r="Y104" i="66"/>
  <c r="Y18" i="66"/>
  <c r="U205" i="66"/>
  <c r="U33" i="66"/>
  <c r="U278" i="66"/>
  <c r="U16" i="66"/>
  <c r="J48" i="18"/>
  <c r="F48" i="18"/>
  <c r="I75" i="35" a="1"/>
  <c r="I75" i="35" s="1"/>
  <c r="F8" i="18"/>
  <c r="J8" i="18"/>
  <c r="AA22" i="66"/>
  <c r="AA166" i="66"/>
  <c r="Z22" i="66"/>
  <c r="Z166" i="66"/>
  <c r="T45" i="74"/>
  <c r="Q45" i="74"/>
  <c r="W45" i="74" s="1"/>
  <c r="X45" i="74"/>
  <c r="Y28" i="66"/>
  <c r="U262" i="66"/>
  <c r="Y48" i="66"/>
  <c r="X128" i="74"/>
  <c r="T128" i="74"/>
  <c r="Q128" i="74"/>
  <c r="J449" i="41"/>
  <c r="J49" i="18"/>
  <c r="F49" i="18"/>
  <c r="O125" i="66"/>
  <c r="H125" i="74"/>
  <c r="H6" i="6"/>
  <c r="Z32" i="66"/>
  <c r="AA32" i="66"/>
  <c r="Z176" i="66"/>
  <c r="AA176" i="66"/>
  <c r="P32" i="66"/>
  <c r="H122" i="74"/>
  <c r="I166" i="35" a="1"/>
  <c r="I166" i="35" s="1"/>
  <c r="G504" i="18" a="1"/>
  <c r="G504" i="18" s="1"/>
  <c r="I167" i="35" a="1"/>
  <c r="I167" i="35" s="1"/>
  <c r="G497" i="18" a="1"/>
  <c r="G497" i="18" s="1"/>
  <c r="I162" i="35" a="1"/>
  <c r="I162" i="35" s="1"/>
  <c r="G498" i="18" a="1"/>
  <c r="G498" i="18" s="1"/>
  <c r="I163" i="35" a="1"/>
  <c r="I163" i="35" s="1"/>
  <c r="G501" i="18" a="1"/>
  <c r="G501" i="18" s="1"/>
  <c r="I169" i="35" a="1"/>
  <c r="I169" i="35" s="1"/>
  <c r="G495" i="18" a="1"/>
  <c r="G495" i="18" s="1"/>
  <c r="T47" i="20"/>
  <c r="I158" i="35" a="1"/>
  <c r="I158" i="35" s="1"/>
  <c r="G494" i="18" a="1"/>
  <c r="G494" i="18" s="1"/>
  <c r="I161" i="35" a="1"/>
  <c r="I161" i="35" s="1"/>
  <c r="I159" i="35" a="1"/>
  <c r="I159" i="35" s="1"/>
  <c r="G492" i="18" a="1"/>
  <c r="G492" i="18" s="1"/>
  <c r="I157" i="35" a="1"/>
  <c r="I157" i="35" s="1"/>
  <c r="I165" i="35" a="1"/>
  <c r="I165" i="35" s="1"/>
  <c r="G496" i="18" a="1"/>
  <c r="G496" i="18" s="1"/>
  <c r="I168" i="35" a="1"/>
  <c r="I168" i="35" s="1"/>
  <c r="G502" i="18" a="1"/>
  <c r="G502" i="18" s="1"/>
  <c r="G493" i="18" a="1"/>
  <c r="G493" i="18" s="1"/>
  <c r="I164" i="35" a="1"/>
  <c r="I164" i="35" s="1"/>
  <c r="G499" i="18" a="1"/>
  <c r="G499" i="18" s="1"/>
  <c r="G505" i="18" a="1"/>
  <c r="G505" i="18" s="1"/>
  <c r="I160" i="35" a="1"/>
  <c r="I160" i="35" s="1"/>
  <c r="G503" i="18" a="1"/>
  <c r="G503" i="18" s="1"/>
  <c r="I170" i="35" a="1"/>
  <c r="I170" i="35" s="1"/>
  <c r="G500" i="18" a="1"/>
  <c r="G500" i="18" s="1"/>
  <c r="AC80" i="74"/>
  <c r="AD80" i="74" s="1"/>
  <c r="O80" i="74"/>
  <c r="U61" i="66"/>
  <c r="Y219" i="66"/>
  <c r="U139" i="66"/>
  <c r="U274" i="66"/>
  <c r="Y207" i="66"/>
  <c r="U18" i="66"/>
  <c r="U210" i="66"/>
  <c r="H114" i="74"/>
  <c r="O22" i="74"/>
  <c r="AC22" i="74"/>
  <c r="T80" i="74"/>
  <c r="Q80" i="74"/>
  <c r="X80" i="74"/>
  <c r="E28" i="22"/>
  <c r="O6" i="9"/>
  <c r="H14" i="20"/>
  <c r="H9" i="20"/>
  <c r="H7" i="20"/>
  <c r="Q6" i="20"/>
  <c r="Q12" i="20"/>
  <c r="H17" i="20"/>
  <c r="Q9" i="20"/>
  <c r="Q10" i="20"/>
  <c r="H13" i="20"/>
  <c r="Q19" i="20"/>
  <c r="H8" i="20"/>
  <c r="Q14" i="20"/>
  <c r="H19" i="20"/>
  <c r="H6" i="20"/>
  <c r="H11" i="20"/>
  <c r="Q18" i="20"/>
  <c r="Q16" i="20"/>
  <c r="H16" i="20"/>
  <c r="H12" i="20"/>
  <c r="Q17" i="20"/>
  <c r="Q8" i="20"/>
  <c r="H15" i="20"/>
  <c r="Q13" i="20"/>
  <c r="H18" i="20"/>
  <c r="Q11" i="20"/>
  <c r="Q7" i="20"/>
  <c r="H10" i="20"/>
  <c r="Q15" i="20"/>
  <c r="O30" i="9"/>
  <c r="AC32" i="74"/>
  <c r="O32" i="74"/>
  <c r="D42" i="72" a="1"/>
  <c r="D42" i="72" s="1"/>
  <c r="U101" i="66"/>
  <c r="Y19" i="66"/>
  <c r="Y111" i="66"/>
  <c r="U109" i="66"/>
  <c r="J447" i="41"/>
  <c r="J15" i="18"/>
  <c r="F15" i="18"/>
  <c r="I485" i="37"/>
  <c r="M69" i="66"/>
  <c r="O128" i="66"/>
  <c r="P272" i="66" s="1"/>
  <c r="H128" i="74"/>
  <c r="Z77" i="66"/>
  <c r="Z221" i="66"/>
  <c r="AA221" i="66"/>
  <c r="AA77" i="66"/>
  <c r="J52" i="18"/>
  <c r="F52" i="18"/>
  <c r="T215" i="66"/>
  <c r="X215" i="66"/>
  <c r="Q215" i="66"/>
  <c r="O155" i="66"/>
  <c r="Z11" i="66" s="1"/>
  <c r="G11" i="74"/>
  <c r="Y61" i="66"/>
  <c r="U79" i="66"/>
  <c r="Y163" i="66"/>
  <c r="Y160" i="66"/>
  <c r="Y284" i="66"/>
  <c r="U244" i="66"/>
  <c r="U73" i="66"/>
  <c r="Y245" i="66"/>
  <c r="U53" i="74"/>
  <c r="Y32" i="66"/>
  <c r="J492" i="37"/>
  <c r="J490" i="37"/>
  <c r="J491" i="37"/>
  <c r="N113" i="66"/>
  <c r="X69" i="74"/>
  <c r="T69" i="74"/>
  <c r="Y45" i="66"/>
  <c r="X252" i="66"/>
  <c r="T252" i="66"/>
  <c r="Q252" i="66"/>
  <c r="T238" i="66"/>
  <c r="X238" i="66"/>
  <c r="Q238" i="66"/>
  <c r="H485" i="58"/>
  <c r="M165" i="66"/>
  <c r="C19" i="8"/>
  <c r="N69" i="66"/>
  <c r="Q106" i="66"/>
  <c r="X106" i="66"/>
  <c r="T106" i="66"/>
  <c r="K106" i="74"/>
  <c r="X250" i="66"/>
  <c r="T250" i="66"/>
  <c r="Q250" i="66"/>
  <c r="O77" i="74"/>
  <c r="AC77" i="74"/>
  <c r="AD77" i="74" s="1"/>
  <c r="Q144" i="74"/>
  <c r="T144" i="74"/>
  <c r="X144" i="74"/>
  <c r="T60" i="74"/>
  <c r="X60" i="74"/>
  <c r="Q60" i="74"/>
  <c r="X10" i="74"/>
  <c r="Q10" i="74"/>
  <c r="W10" i="74" s="1"/>
  <c r="T10" i="74"/>
  <c r="U10" i="74" s="1"/>
  <c r="I38" i="35" a="1"/>
  <c r="I38" i="35" s="1"/>
  <c r="J492" i="58"/>
  <c r="J490" i="58"/>
  <c r="G258" i="66" s="1"/>
  <c r="O258" i="66" s="1"/>
  <c r="J491" i="58"/>
  <c r="G251" i="66" s="1"/>
  <c r="O251" i="66" s="1"/>
  <c r="N257" i="66"/>
  <c r="C29" i="39"/>
  <c r="C30" i="39" s="1"/>
  <c r="C32" i="39"/>
  <c r="C33" i="39" s="1"/>
  <c r="P17" i="39"/>
  <c r="J56" i="18"/>
  <c r="F56" i="18"/>
  <c r="X21" i="74"/>
  <c r="T21" i="74"/>
  <c r="J54" i="18"/>
  <c r="F54" i="18"/>
  <c r="F55" i="18"/>
  <c r="J55" i="18"/>
  <c r="T46" i="74"/>
  <c r="Q46" i="74"/>
  <c r="W46" i="74" s="1"/>
  <c r="X46" i="74"/>
  <c r="AA173" i="66"/>
  <c r="Z29" i="66"/>
  <c r="AA29" i="66"/>
  <c r="Z173" i="66"/>
  <c r="F9" i="18"/>
  <c r="J9" i="18"/>
  <c r="J451" i="41"/>
  <c r="J46" i="18"/>
  <c r="F46" i="18"/>
  <c r="H136" i="74"/>
  <c r="J448" i="41"/>
  <c r="U67" i="66"/>
  <c r="Y79" i="66"/>
  <c r="Y118" i="66"/>
  <c r="E330" i="38"/>
  <c r="E336" i="38"/>
  <c r="E27" i="17"/>
  <c r="E25" i="17"/>
  <c r="R10" i="9"/>
  <c r="J452" i="41"/>
  <c r="AA236" i="66"/>
  <c r="Z236" i="66"/>
  <c r="Z92" i="66"/>
  <c r="AA92" i="66"/>
  <c r="E144" i="38"/>
  <c r="J2" i="18"/>
  <c r="F2" i="18"/>
  <c r="G59" i="66"/>
  <c r="I491" i="41"/>
  <c r="T94" i="66"/>
  <c r="Q94" i="66"/>
  <c r="X94" i="66"/>
  <c r="K94" i="74"/>
  <c r="AC94" i="74" s="1"/>
  <c r="AD94" i="74" s="1"/>
  <c r="O29" i="74"/>
  <c r="AC29" i="74"/>
  <c r="AD29" i="74" s="1"/>
  <c r="J7" i="18"/>
  <c r="F7" i="18"/>
  <c r="Y192" i="66"/>
  <c r="X117" i="74"/>
  <c r="T117" i="74"/>
  <c r="J12" i="18"/>
  <c r="F12" i="18"/>
  <c r="Q23" i="74"/>
  <c r="W23" i="74" s="1"/>
  <c r="X23" i="74"/>
  <c r="T23" i="74"/>
  <c r="U23" i="74" s="1"/>
  <c r="J19" i="20"/>
  <c r="S19" i="20"/>
  <c r="E38" i="22"/>
  <c r="J8" i="20"/>
  <c r="S8" i="20"/>
  <c r="Q6" i="9"/>
  <c r="J9" i="20"/>
  <c r="S6" i="20"/>
  <c r="J6" i="20"/>
  <c r="S17" i="20"/>
  <c r="J17" i="20"/>
  <c r="S13" i="20"/>
  <c r="J15" i="20"/>
  <c r="J12" i="20"/>
  <c r="J13" i="20"/>
  <c r="S15" i="20"/>
  <c r="S12" i="20"/>
  <c r="S16" i="20"/>
  <c r="J10" i="20"/>
  <c r="S18" i="20"/>
  <c r="S7" i="20"/>
  <c r="J14" i="20"/>
  <c r="J11" i="20"/>
  <c r="J16" i="20"/>
  <c r="S10" i="20"/>
  <c r="J18" i="20"/>
  <c r="J7" i="20"/>
  <c r="S14" i="20"/>
  <c r="S11" i="20"/>
  <c r="S9" i="20"/>
  <c r="Q30" i="9"/>
  <c r="P192" i="66"/>
  <c r="Z192" i="66"/>
  <c r="Z48" i="66"/>
  <c r="AA48" i="66"/>
  <c r="P48" i="66"/>
  <c r="AA192" i="66"/>
  <c r="H7" i="6"/>
  <c r="Y156" i="66"/>
  <c r="J44" i="18"/>
  <c r="F44" i="18"/>
  <c r="Y197" i="66"/>
  <c r="Y287" i="66"/>
  <c r="X32" i="74"/>
  <c r="T32" i="74"/>
  <c r="Q32" i="74"/>
  <c r="W32" i="74" s="1"/>
  <c r="Q58" i="74"/>
  <c r="X58" i="74"/>
  <c r="T58" i="74"/>
  <c r="I36" i="35" a="1"/>
  <c r="I36" i="35" s="1"/>
  <c r="G204" i="18" a="1"/>
  <c r="G204" i="18" s="1"/>
  <c r="I34" i="35" a="1"/>
  <c r="I34" i="35" s="1"/>
  <c r="I31" i="35" a="1"/>
  <c r="I31" i="35" s="1"/>
  <c r="G206" i="18" a="1"/>
  <c r="G206" i="18" s="1"/>
  <c r="G201" i="18" a="1"/>
  <c r="G201" i="18" s="1"/>
  <c r="G208" i="18" a="1"/>
  <c r="G208" i="18" s="1"/>
  <c r="G198" i="18" a="1"/>
  <c r="G198" i="18" s="1"/>
  <c r="I37" i="35" a="1"/>
  <c r="I37" i="35" s="1"/>
  <c r="I39" i="35" a="1"/>
  <c r="I39" i="35" s="1"/>
  <c r="G203" i="18" a="1"/>
  <c r="G203" i="18" s="1"/>
  <c r="G209" i="18" a="1"/>
  <c r="G209" i="18" s="1"/>
  <c r="I42" i="35" a="1"/>
  <c r="I42" i="35" s="1"/>
  <c r="G199" i="18" a="1"/>
  <c r="G199" i="18" s="1"/>
  <c r="G200" i="18" a="1"/>
  <c r="G200" i="18" s="1"/>
  <c r="G211" i="18" a="1"/>
  <c r="G211" i="18" s="1"/>
  <c r="G207" i="18" a="1"/>
  <c r="G207" i="18" s="1"/>
  <c r="G210" i="18" a="1"/>
  <c r="G210" i="18" s="1"/>
  <c r="G205" i="18" a="1"/>
  <c r="G205" i="18" s="1"/>
  <c r="G202" i="18" a="1"/>
  <c r="G202" i="18" s="1"/>
  <c r="K20" i="20"/>
  <c r="I44" i="35" a="1"/>
  <c r="I44" i="35" s="1"/>
  <c r="I35" i="35" a="1"/>
  <c r="I35" i="35" s="1"/>
  <c r="I40" i="35" a="1"/>
  <c r="I40" i="35" s="1"/>
  <c r="I32" i="35" a="1"/>
  <c r="I32" i="35" s="1"/>
  <c r="I41" i="35" a="1"/>
  <c r="I41" i="35" s="1"/>
  <c r="I33" i="35" a="1"/>
  <c r="I33" i="35" s="1"/>
  <c r="I43" i="35" a="1"/>
  <c r="I43" i="35" s="1"/>
  <c r="Z70" i="66"/>
  <c r="Z214" i="66"/>
  <c r="AA214" i="66"/>
  <c r="AA70" i="66"/>
  <c r="AC92" i="74"/>
  <c r="AD92" i="74" s="1"/>
  <c r="O92" i="74"/>
  <c r="O144" i="66"/>
  <c r="H144" i="74"/>
  <c r="J442" i="41"/>
  <c r="G66" i="66"/>
  <c r="I490" i="41"/>
  <c r="D70" i="72" a="1"/>
  <c r="D70" i="72" s="1"/>
  <c r="D71" i="72" s="1" a="1"/>
  <c r="D71" i="72" s="1"/>
  <c r="C20" i="63"/>
  <c r="I459" i="41"/>
  <c r="Y46" i="66"/>
  <c r="O252" i="66"/>
  <c r="T93" i="74"/>
  <c r="Q93" i="74"/>
  <c r="X93" i="74"/>
  <c r="AC48" i="74"/>
  <c r="AD48" i="74" s="1"/>
  <c r="O48" i="74"/>
  <c r="J453" i="41"/>
  <c r="G201" i="66"/>
  <c r="L44" i="39"/>
  <c r="X263" i="66"/>
  <c r="T263" i="66"/>
  <c r="Q263" i="66"/>
  <c r="O162" i="66"/>
  <c r="Z18" i="66" s="1"/>
  <c r="G18" i="74"/>
  <c r="U166" i="66"/>
  <c r="U225" i="66"/>
  <c r="AC10" i="74"/>
  <c r="AD10" i="74" s="1"/>
  <c r="U49" i="66"/>
  <c r="U125" i="66"/>
  <c r="U51" i="66"/>
  <c r="U66" i="66"/>
  <c r="Y214" i="66"/>
  <c r="Y88" i="66"/>
  <c r="U129" i="66"/>
  <c r="F3" i="18"/>
  <c r="J3" i="18"/>
  <c r="AC70" i="74"/>
  <c r="AD70" i="74" s="1"/>
  <c r="O70" i="74"/>
  <c r="H138" i="74"/>
  <c r="J6" i="18"/>
  <c r="F6" i="18"/>
  <c r="H121" i="74"/>
  <c r="J14" i="18"/>
  <c r="F14" i="18"/>
  <c r="G57" i="66"/>
  <c r="D44" i="39"/>
  <c r="I492" i="41"/>
  <c r="D17" i="39" s="1"/>
  <c r="J462" i="41"/>
  <c r="I458" i="41"/>
  <c r="G140" i="74"/>
  <c r="O140" i="66"/>
  <c r="E40" i="22"/>
  <c r="Q8" i="9"/>
  <c r="V8" i="9" s="1"/>
  <c r="Y175" i="66"/>
  <c r="Y259" i="66"/>
  <c r="Y184" i="66"/>
  <c r="U251" i="66"/>
  <c r="Y44" i="66"/>
  <c r="O10" i="74"/>
  <c r="Z10" i="74" s="1"/>
  <c r="U25" i="66"/>
  <c r="Y183" i="66"/>
  <c r="Y43" i="66"/>
  <c r="U216" i="66"/>
  <c r="U88" i="66"/>
  <c r="U135" i="66"/>
  <c r="U120" i="66"/>
  <c r="F53" i="18"/>
  <c r="J53" i="18"/>
  <c r="Q108" i="66"/>
  <c r="X108" i="66"/>
  <c r="T108" i="66"/>
  <c r="K108" i="74"/>
  <c r="AC108" i="74" s="1"/>
  <c r="AD108" i="74" s="1"/>
  <c r="C9" i="63"/>
  <c r="K286" i="66"/>
  <c r="J458" i="58"/>
  <c r="J459" i="58"/>
  <c r="C60" i="63" s="1"/>
  <c r="J13" i="18"/>
  <c r="F13" i="18"/>
  <c r="I7" i="6"/>
  <c r="Z240" i="66"/>
  <c r="Z96" i="66"/>
  <c r="AA96" i="66"/>
  <c r="AA240" i="66"/>
  <c r="P96" i="66"/>
  <c r="J43" i="20"/>
  <c r="J44" i="20"/>
  <c r="J46" i="20"/>
  <c r="J35" i="20"/>
  <c r="J42" i="20"/>
  <c r="S33" i="20"/>
  <c r="J38" i="20"/>
  <c r="S44" i="20"/>
  <c r="J45" i="20"/>
  <c r="S35" i="20"/>
  <c r="S43" i="20"/>
  <c r="S40" i="20"/>
  <c r="S37" i="20"/>
  <c r="S39" i="20"/>
  <c r="J36" i="20"/>
  <c r="J34" i="20"/>
  <c r="J37" i="20"/>
  <c r="S42" i="20"/>
  <c r="S41" i="20"/>
  <c r="J33" i="20"/>
  <c r="J40" i="20"/>
  <c r="E83" i="22"/>
  <c r="S34" i="20"/>
  <c r="S45" i="20"/>
  <c r="J41" i="20"/>
  <c r="J39" i="20"/>
  <c r="S38" i="20"/>
  <c r="S36" i="20"/>
  <c r="S46" i="20"/>
  <c r="Q40" i="9"/>
  <c r="D225" i="72" a="1"/>
  <c r="D225" i="72" s="1"/>
  <c r="Y239" i="66"/>
  <c r="Y147" i="66"/>
  <c r="U87" i="66"/>
  <c r="Y193" i="66"/>
  <c r="H485" i="37"/>
  <c r="M21" i="66"/>
  <c r="T12" i="74"/>
  <c r="X12" i="74"/>
  <c r="Q12" i="74"/>
  <c r="W12" i="74" s="1"/>
  <c r="J445" i="41"/>
  <c r="O96" i="74"/>
  <c r="AC96" i="74"/>
  <c r="AD96" i="74" s="1"/>
  <c r="N38" i="9" a="1"/>
  <c r="N38" i="9" s="1"/>
  <c r="E70" i="22" s="1"/>
  <c r="N36" i="9" a="1"/>
  <c r="N36" i="9" s="1"/>
  <c r="N28" i="9" a="1"/>
  <c r="N28" i="9" s="1"/>
  <c r="N26" i="9" a="1"/>
  <c r="N26" i="9" s="1"/>
  <c r="T124" i="74"/>
  <c r="Q124" i="74"/>
  <c r="X124" i="74"/>
  <c r="D8" i="72" a="1"/>
  <c r="D8" i="72" s="1"/>
  <c r="X84" i="74"/>
  <c r="T84" i="74"/>
  <c r="T31" i="74"/>
  <c r="X31" i="74"/>
  <c r="S31" i="74"/>
  <c r="Q31" i="74"/>
  <c r="W31" i="74" s="1"/>
  <c r="U56" i="66"/>
  <c r="S79" i="74"/>
  <c r="X79" i="74"/>
  <c r="Q79" i="74"/>
  <c r="W79" i="74" s="1"/>
  <c r="T79" i="74"/>
  <c r="U184" i="66"/>
  <c r="Y196" i="66"/>
  <c r="T85" i="74"/>
  <c r="X85" i="74"/>
  <c r="U182" i="66"/>
  <c r="Y110" i="66"/>
  <c r="T125" i="74"/>
  <c r="S125" i="74"/>
  <c r="X125" i="74"/>
  <c r="Q125" i="74"/>
  <c r="W125" i="74" s="1"/>
  <c r="Y14" i="66"/>
  <c r="AA12" i="66"/>
  <c r="Z12" i="66"/>
  <c r="AA156" i="66"/>
  <c r="Z156" i="66"/>
  <c r="P12" i="66"/>
  <c r="Z112" i="66"/>
  <c r="AA256" i="66"/>
  <c r="AA112" i="66"/>
  <c r="Z256" i="66"/>
  <c r="P112" i="66"/>
  <c r="X50" i="74"/>
  <c r="T50" i="74"/>
  <c r="X123" i="74"/>
  <c r="T123" i="74"/>
  <c r="S123" i="74"/>
  <c r="Q123" i="74"/>
  <c r="W123" i="74" s="1"/>
  <c r="X100" i="74"/>
  <c r="T100" i="74"/>
  <c r="S100" i="74"/>
  <c r="Q100" i="74"/>
  <c r="W100" i="74" s="1"/>
  <c r="P167" i="66"/>
  <c r="T62" i="74"/>
  <c r="X62" i="74"/>
  <c r="S62" i="74"/>
  <c r="Q62" i="74"/>
  <c r="W62" i="74" s="1"/>
  <c r="Q118" i="74"/>
  <c r="W118" i="74" s="1"/>
  <c r="X118" i="74"/>
  <c r="T118" i="74"/>
  <c r="S118" i="74"/>
  <c r="X99" i="74"/>
  <c r="T99" i="74"/>
  <c r="S99" i="74"/>
  <c r="Q99" i="74"/>
  <c r="W99" i="74" s="1"/>
  <c r="Y134" i="66"/>
  <c r="AA81" i="66"/>
  <c r="Z81" i="66"/>
  <c r="Z225" i="66"/>
  <c r="AA225" i="66"/>
  <c r="X131" i="74"/>
  <c r="T131" i="74"/>
  <c r="S109" i="74"/>
  <c r="Q109" i="74"/>
  <c r="W109" i="74" s="1"/>
  <c r="X109" i="74"/>
  <c r="T109" i="74"/>
  <c r="AC12" i="74"/>
  <c r="AD12" i="74" s="1"/>
  <c r="O12" i="74"/>
  <c r="AC112" i="74"/>
  <c r="O112" i="74"/>
  <c r="Y283" i="66"/>
  <c r="P208" i="66"/>
  <c r="Y243" i="66"/>
  <c r="T89" i="74"/>
  <c r="X89" i="74"/>
  <c r="Y120" i="66"/>
  <c r="Y100" i="66"/>
  <c r="Y166" i="66"/>
  <c r="Y211" i="66"/>
  <c r="U31" i="66"/>
  <c r="Z52" i="66"/>
  <c r="AA52" i="66"/>
  <c r="AA196" i="66"/>
  <c r="Z196" i="66"/>
  <c r="U217" i="66"/>
  <c r="Y273" i="66"/>
  <c r="X103" i="74"/>
  <c r="T103" i="74"/>
  <c r="U103" i="74" s="1"/>
  <c r="Y62" i="66"/>
  <c r="U22" i="66"/>
  <c r="AA91" i="66"/>
  <c r="Z91" i="66"/>
  <c r="AA235" i="66"/>
  <c r="Z235" i="66"/>
  <c r="Q86" i="74"/>
  <c r="W86" i="74" s="1"/>
  <c r="X86" i="74"/>
  <c r="T86" i="74"/>
  <c r="S86" i="74"/>
  <c r="O16" i="74"/>
  <c r="AC16" i="74"/>
  <c r="U159" i="66"/>
  <c r="U15" i="66"/>
  <c r="X139" i="74"/>
  <c r="T139" i="74"/>
  <c r="S139" i="74"/>
  <c r="Q139" i="74"/>
  <c r="W139" i="74" s="1"/>
  <c r="S70" i="74"/>
  <c r="Q70" i="74"/>
  <c r="W70" i="74" s="1"/>
  <c r="X70" i="74"/>
  <c r="T70" i="74"/>
  <c r="U134" i="66"/>
  <c r="X8" i="74"/>
  <c r="T8" i="74"/>
  <c r="S8" i="74"/>
  <c r="Q8" i="74"/>
  <c r="W8" i="74" s="1"/>
  <c r="X29" i="74"/>
  <c r="S29" i="74"/>
  <c r="T29" i="74"/>
  <c r="Q29" i="74"/>
  <c r="W29" i="74" s="1"/>
  <c r="AC81" i="74"/>
  <c r="AD81" i="74" s="1"/>
  <c r="O81" i="74"/>
  <c r="Q77" i="74"/>
  <c r="W77" i="74" s="1"/>
  <c r="X77" i="74"/>
  <c r="T77" i="74"/>
  <c r="S77" i="74"/>
  <c r="U248" i="66"/>
  <c r="Y125" i="66"/>
  <c r="Y155" i="66"/>
  <c r="Y81" i="66"/>
  <c r="Y169" i="66"/>
  <c r="U214" i="66"/>
  <c r="X98" i="74"/>
  <c r="T98" i="74"/>
  <c r="T18" i="74"/>
  <c r="X18" i="74"/>
  <c r="S18" i="74"/>
  <c r="Q18" i="74"/>
  <c r="W18" i="74" s="1"/>
  <c r="U168" i="66"/>
  <c r="T16" i="74"/>
  <c r="X16" i="74"/>
  <c r="S16" i="74"/>
  <c r="Q16" i="74"/>
  <c r="W16" i="74" s="1"/>
  <c r="P256" i="66"/>
  <c r="Q82" i="74"/>
  <c r="W82" i="74" s="1"/>
  <c r="X82" i="74"/>
  <c r="T82" i="74"/>
  <c r="S82" i="74"/>
  <c r="Y177" i="66"/>
  <c r="Y13" i="66"/>
  <c r="U264" i="66"/>
  <c r="U100" i="66"/>
  <c r="Y123" i="66"/>
  <c r="AA239" i="66"/>
  <c r="AA95" i="66"/>
  <c r="Z95" i="66"/>
  <c r="Z239" i="66"/>
  <c r="U211" i="66"/>
  <c r="O52" i="74"/>
  <c r="AC52" i="74"/>
  <c r="AD52" i="74" s="1"/>
  <c r="Y56" i="66"/>
  <c r="Y67" i="66"/>
  <c r="X115" i="74"/>
  <c r="S115" i="74"/>
  <c r="Q115" i="74"/>
  <c r="W115" i="74" s="1"/>
  <c r="T115" i="74"/>
  <c r="U269" i="66"/>
  <c r="AA204" i="66"/>
  <c r="Z60" i="66"/>
  <c r="AA60" i="66"/>
  <c r="Z204" i="66"/>
  <c r="P60" i="66"/>
  <c r="T136" i="74"/>
  <c r="X136" i="74"/>
  <c r="S136" i="74"/>
  <c r="Q136" i="74"/>
  <c r="W136" i="74" s="1"/>
  <c r="Z13" i="66"/>
  <c r="AA13" i="66"/>
  <c r="AA157" i="66"/>
  <c r="Z157" i="66"/>
  <c r="AC91" i="74"/>
  <c r="AD91" i="74" s="1"/>
  <c r="O91" i="74"/>
  <c r="U160" i="66"/>
  <c r="Y86" i="66"/>
  <c r="X143" i="74"/>
  <c r="S143" i="74"/>
  <c r="Q143" i="74"/>
  <c r="W143" i="74" s="1"/>
  <c r="T143" i="74"/>
  <c r="AA16" i="66"/>
  <c r="Z16" i="66"/>
  <c r="AA160" i="66"/>
  <c r="Z160" i="66"/>
  <c r="P16" i="66"/>
  <c r="Y70" i="66"/>
  <c r="U8" i="66"/>
  <c r="U29" i="66"/>
  <c r="U221" i="66"/>
  <c r="AA4" i="66"/>
  <c r="Z4" i="66"/>
  <c r="AA148" i="66"/>
  <c r="Z148" i="66"/>
  <c r="U147" i="66"/>
  <c r="U267" i="66"/>
  <c r="U280" i="66"/>
  <c r="U81" i="66"/>
  <c r="T75" i="74"/>
  <c r="S75" i="74"/>
  <c r="Q75" i="74"/>
  <c r="W75" i="74" s="1"/>
  <c r="X75" i="74"/>
  <c r="Y216" i="66"/>
  <c r="U169" i="66"/>
  <c r="T121" i="74"/>
  <c r="S121" i="74"/>
  <c r="X121" i="74"/>
  <c r="Q121" i="74"/>
  <c r="W121" i="74" s="1"/>
  <c r="T52" i="74"/>
  <c r="S52" i="74"/>
  <c r="X52" i="74"/>
  <c r="Q52" i="74"/>
  <c r="W52" i="74" s="1"/>
  <c r="Y255" i="66"/>
  <c r="T39" i="74"/>
  <c r="Q39" i="74"/>
  <c r="W39" i="74" s="1"/>
  <c r="S39" i="74"/>
  <c r="X39" i="74"/>
  <c r="U287" i="66"/>
  <c r="S107" i="74"/>
  <c r="Q107" i="74"/>
  <c r="W107" i="74" s="1"/>
  <c r="X107" i="74"/>
  <c r="T107" i="74"/>
  <c r="O49" i="74"/>
  <c r="AC49" i="74"/>
  <c r="AD49" i="74" s="1"/>
  <c r="Z79" i="66"/>
  <c r="AA223" i="66"/>
  <c r="Z223" i="66"/>
  <c r="AA79" i="66"/>
  <c r="O95" i="74"/>
  <c r="AC95" i="74"/>
  <c r="AD95" i="74" s="1"/>
  <c r="O60" i="74"/>
  <c r="AC60" i="74"/>
  <c r="AD60" i="74" s="1"/>
  <c r="V156" i="66"/>
  <c r="R156" i="66"/>
  <c r="O13" i="74"/>
  <c r="AC13" i="74"/>
  <c r="T72" i="74"/>
  <c r="S72" i="74"/>
  <c r="X72" i="74"/>
  <c r="Q72" i="74"/>
  <c r="W72" i="74" s="1"/>
  <c r="S38" i="74"/>
  <c r="Q38" i="74"/>
  <c r="W38" i="74" s="1"/>
  <c r="X38" i="74"/>
  <c r="T38" i="74"/>
  <c r="P204" i="66"/>
  <c r="X11" i="74"/>
  <c r="T11" i="74"/>
  <c r="S11" i="74"/>
  <c r="Q11" i="74"/>
  <c r="W11" i="74" s="1"/>
  <c r="O4" i="74"/>
  <c r="AC4" i="74"/>
  <c r="T63" i="74"/>
  <c r="Q63" i="74"/>
  <c r="W63" i="74" s="1"/>
  <c r="S63" i="74"/>
  <c r="X63" i="74"/>
  <c r="U197" i="66"/>
  <c r="T111" i="74"/>
  <c r="S111" i="74"/>
  <c r="X111" i="74"/>
  <c r="Q111" i="74"/>
  <c r="W111" i="74" s="1"/>
  <c r="X47" i="74"/>
  <c r="T47" i="74"/>
  <c r="S47" i="74"/>
  <c r="Q47" i="74"/>
  <c r="W47" i="74" s="1"/>
  <c r="X130" i="74"/>
  <c r="T130" i="74"/>
  <c r="S130" i="74"/>
  <c r="Q130" i="74"/>
  <c r="W130" i="74" s="1"/>
  <c r="S33" i="74"/>
  <c r="Q33" i="74"/>
  <c r="W33" i="74" s="1"/>
  <c r="T33" i="74"/>
  <c r="X33" i="74"/>
  <c r="AA49" i="66"/>
  <c r="Z49" i="66"/>
  <c r="AA193" i="66"/>
  <c r="Z193" i="66"/>
  <c r="P49" i="66"/>
  <c r="AC79" i="74"/>
  <c r="AD79" i="74" s="1"/>
  <c r="O79" i="74"/>
  <c r="Y16" i="66"/>
  <c r="O145" i="74"/>
  <c r="AC145" i="74"/>
  <c r="AD145" i="74" s="1"/>
  <c r="Z271" i="66"/>
  <c r="AA127" i="66"/>
  <c r="AA271" i="66"/>
  <c r="Z127" i="66"/>
  <c r="Y265" i="66"/>
  <c r="AA47" i="66"/>
  <c r="AA191" i="66"/>
  <c r="Z191" i="66"/>
  <c r="Z47" i="66"/>
  <c r="Y115" i="66"/>
  <c r="S5" i="74"/>
  <c r="X5" i="74"/>
  <c r="T5" i="74"/>
  <c r="Q5" i="74"/>
  <c r="W5" i="74" s="1"/>
  <c r="AA97" i="66"/>
  <c r="Z97" i="66"/>
  <c r="AA241" i="66"/>
  <c r="Z241" i="66"/>
  <c r="P97" i="66"/>
  <c r="T44" i="74"/>
  <c r="S44" i="74"/>
  <c r="Q44" i="74"/>
  <c r="W44" i="74" s="1"/>
  <c r="X44" i="74"/>
  <c r="AA220" i="66"/>
  <c r="Z76" i="66"/>
  <c r="AA76" i="66"/>
  <c r="Z220" i="66"/>
  <c r="P76" i="66"/>
  <c r="Q24" i="74"/>
  <c r="W24" i="74" s="1"/>
  <c r="X24" i="74"/>
  <c r="T24" i="74"/>
  <c r="S24" i="74"/>
  <c r="Y29" i="66"/>
  <c r="P220" i="66"/>
  <c r="X64" i="74"/>
  <c r="T64" i="74"/>
  <c r="Q64" i="74"/>
  <c r="T51" i="74"/>
  <c r="Q51" i="74"/>
  <c r="W51" i="74" s="1"/>
  <c r="X51" i="74"/>
  <c r="S51" i="74"/>
  <c r="Z278" i="66"/>
  <c r="AA278" i="66"/>
  <c r="Z134" i="66"/>
  <c r="AA134" i="66"/>
  <c r="Y121" i="66"/>
  <c r="Y205" i="66"/>
  <c r="X97" i="74"/>
  <c r="T97" i="74"/>
  <c r="Q97" i="74"/>
  <c r="AA145" i="66"/>
  <c r="Z289" i="66"/>
  <c r="Z145" i="66"/>
  <c r="AA289" i="66"/>
  <c r="P145" i="66"/>
  <c r="AC139" i="74"/>
  <c r="AD139" i="74" s="1"/>
  <c r="AC127" i="74"/>
  <c r="O127" i="74"/>
  <c r="AC23" i="74"/>
  <c r="AD23" i="74" s="1"/>
  <c r="O23" i="74"/>
  <c r="X59" i="74"/>
  <c r="T59" i="74"/>
  <c r="S59" i="74"/>
  <c r="Q59" i="74"/>
  <c r="W59" i="74" s="1"/>
  <c r="X132" i="74"/>
  <c r="T132" i="74"/>
  <c r="AC47" i="74"/>
  <c r="O47" i="74"/>
  <c r="Z23" i="66"/>
  <c r="AA23" i="66"/>
  <c r="AA167" i="66"/>
  <c r="Z167" i="66"/>
  <c r="P23" i="66"/>
  <c r="R160" i="66"/>
  <c r="Y158" i="66"/>
  <c r="O97" i="74"/>
  <c r="AC97" i="74"/>
  <c r="AD97" i="74" s="1"/>
  <c r="T83" i="74"/>
  <c r="X83" i="74"/>
  <c r="AA31" i="66"/>
  <c r="Z31" i="66"/>
  <c r="AA175" i="66"/>
  <c r="Z175" i="66"/>
  <c r="AC76" i="74"/>
  <c r="AD76" i="74" s="1"/>
  <c r="O76" i="74"/>
  <c r="Q25" i="74"/>
  <c r="W25" i="74" s="1"/>
  <c r="X25" i="74"/>
  <c r="T25" i="74"/>
  <c r="S25" i="74"/>
  <c r="T92" i="74"/>
  <c r="S92" i="74"/>
  <c r="X92" i="74"/>
  <c r="Q92" i="74"/>
  <c r="W92" i="74" s="1"/>
  <c r="U258" i="66"/>
  <c r="U86" i="66"/>
  <c r="Y72" i="66"/>
  <c r="X146" i="74"/>
  <c r="T146" i="74"/>
  <c r="Y162" i="66"/>
  <c r="U219" i="66"/>
  <c r="O124" i="74"/>
  <c r="AC124" i="74"/>
  <c r="AD124" i="74" s="1"/>
  <c r="Y221" i="66"/>
  <c r="Y77" i="66"/>
  <c r="Z86" i="66"/>
  <c r="AA86" i="66"/>
  <c r="AA230" i="66"/>
  <c r="Z230" i="66"/>
  <c r="X104" i="74"/>
  <c r="S104" i="74"/>
  <c r="T104" i="74"/>
  <c r="Q104" i="74"/>
  <c r="W104" i="74" s="1"/>
  <c r="X36" i="74"/>
  <c r="T36" i="74"/>
  <c r="T112" i="74"/>
  <c r="Q112" i="74"/>
  <c r="X112" i="74"/>
  <c r="Q66" i="74"/>
  <c r="W66" i="74" s="1"/>
  <c r="X66" i="74"/>
  <c r="S66" i="74"/>
  <c r="T66" i="74"/>
  <c r="O134" i="74"/>
  <c r="AC134" i="74"/>
  <c r="AD134" i="74" s="1"/>
  <c r="O46" i="74"/>
  <c r="AC46" i="74"/>
  <c r="AD46" i="74" s="1"/>
  <c r="O129" i="74"/>
  <c r="AC129" i="74"/>
  <c r="P238" i="66"/>
  <c r="T129" i="74"/>
  <c r="S129" i="74"/>
  <c r="Q129" i="74"/>
  <c r="W129" i="74" s="1"/>
  <c r="X129" i="74"/>
  <c r="X135" i="74"/>
  <c r="S135" i="74"/>
  <c r="T135" i="74"/>
  <c r="Q135" i="74"/>
  <c r="W135" i="74" s="1"/>
  <c r="Y191" i="66"/>
  <c r="Y203" i="66"/>
  <c r="T137" i="74"/>
  <c r="X137" i="74"/>
  <c r="U115" i="66"/>
  <c r="Y136" i="66"/>
  <c r="O31" i="74"/>
  <c r="AC31" i="74"/>
  <c r="O64" i="74"/>
  <c r="AC64" i="74"/>
  <c r="AD64" i="74" s="1"/>
  <c r="T49" i="74"/>
  <c r="S49" i="74"/>
  <c r="X49" i="74"/>
  <c r="Q49" i="74"/>
  <c r="W49" i="74" s="1"/>
  <c r="AC86" i="74"/>
  <c r="AD86" i="74" s="1"/>
  <c r="O86" i="74"/>
  <c r="X41" i="74"/>
  <c r="T41" i="74"/>
  <c r="S73" i="74"/>
  <c r="X73" i="74"/>
  <c r="T73" i="74"/>
  <c r="Q73" i="74"/>
  <c r="W73" i="74" s="1"/>
  <c r="U195" i="66"/>
  <c r="U75" i="66"/>
  <c r="U207" i="66"/>
  <c r="S88" i="74"/>
  <c r="X88" i="74"/>
  <c r="T88" i="74"/>
  <c r="Q88" i="74"/>
  <c r="W88" i="74" s="1"/>
  <c r="Y130" i="66"/>
  <c r="Y210" i="66"/>
  <c r="X145" i="74"/>
  <c r="T145" i="74"/>
  <c r="Q145" i="74"/>
  <c r="U107" i="66"/>
  <c r="Y129" i="66"/>
  <c r="Y135" i="66"/>
  <c r="Y53" i="74"/>
  <c r="Y264" i="66"/>
  <c r="U175" i="66"/>
  <c r="V202" i="66"/>
  <c r="R202" i="66"/>
  <c r="S202" i="66" s="1"/>
  <c r="U202" i="66" s="1"/>
  <c r="W202" i="66"/>
  <c r="Y202" i="66" s="1"/>
  <c r="Y225" i="66"/>
  <c r="Y187" i="66"/>
  <c r="U259" i="66"/>
  <c r="Z33" i="66"/>
  <c r="Z177" i="66"/>
  <c r="AA33" i="66"/>
  <c r="AA177" i="66"/>
  <c r="Y5" i="66"/>
  <c r="S127" i="74"/>
  <c r="Q127" i="74"/>
  <c r="W127" i="74" s="1"/>
  <c r="X127" i="74"/>
  <c r="T127" i="74"/>
  <c r="P64" i="66"/>
  <c r="AA208" i="66"/>
  <c r="AA64" i="66"/>
  <c r="Z208" i="66"/>
  <c r="Z64" i="66"/>
  <c r="Y92" i="66"/>
  <c r="U72" i="66"/>
  <c r="X110" i="74"/>
  <c r="S110" i="74"/>
  <c r="Q110" i="74"/>
  <c r="W110" i="74" s="1"/>
  <c r="T110" i="74"/>
  <c r="U38" i="66"/>
  <c r="U162" i="66"/>
  <c r="Y279" i="66"/>
  <c r="Y178" i="66"/>
  <c r="X140" i="74"/>
  <c r="T140" i="74"/>
  <c r="S140" i="74"/>
  <c r="Q140" i="74"/>
  <c r="W140" i="74" s="1"/>
  <c r="AA189" i="66"/>
  <c r="Z189" i="66"/>
  <c r="Z45" i="66"/>
  <c r="AA45" i="66"/>
  <c r="P45" i="66"/>
  <c r="T7" i="74"/>
  <c r="U7" i="74" s="1"/>
  <c r="X7" i="74"/>
  <c r="Y63" i="66"/>
  <c r="U111" i="66"/>
  <c r="X14" i="74"/>
  <c r="S14" i="74"/>
  <c r="T14" i="74"/>
  <c r="Q14" i="74"/>
  <c r="W14" i="74" s="1"/>
  <c r="U47" i="66"/>
  <c r="Z38" i="66"/>
  <c r="AA38" i="66"/>
  <c r="AA182" i="66"/>
  <c r="Z182" i="66"/>
  <c r="AA244" i="66"/>
  <c r="Z244" i="66"/>
  <c r="AA100" i="66"/>
  <c r="Z100" i="66"/>
  <c r="X87" i="74"/>
  <c r="T87" i="74"/>
  <c r="Q87" i="74"/>
  <c r="W87" i="74" s="1"/>
  <c r="S87" i="74"/>
  <c r="X55" i="74"/>
  <c r="T55" i="74"/>
  <c r="U55" i="74" s="1"/>
  <c r="AA205" i="66"/>
  <c r="U171" i="66"/>
  <c r="X61" i="74"/>
  <c r="T61" i="74"/>
  <c r="S61" i="74"/>
  <c r="Q61" i="74"/>
  <c r="W61" i="74" s="1"/>
  <c r="T13" i="74"/>
  <c r="X13" i="74"/>
  <c r="S13" i="74"/>
  <c r="Q13" i="74"/>
  <c r="W13" i="74" s="1"/>
  <c r="Y59" i="66"/>
  <c r="Y254" i="66"/>
  <c r="U187" i="66"/>
  <c r="Y236" i="66"/>
  <c r="O33" i="74"/>
  <c r="AC33" i="74"/>
  <c r="T40" i="74"/>
  <c r="Q40" i="74"/>
  <c r="W40" i="74" s="1"/>
  <c r="X40" i="74"/>
  <c r="S40" i="74"/>
  <c r="Y127" i="66"/>
  <c r="U226" i="66"/>
  <c r="T19" i="74"/>
  <c r="S19" i="74"/>
  <c r="Q19" i="74"/>
  <c r="W19" i="74" s="1"/>
  <c r="X19" i="74"/>
  <c r="U279" i="66"/>
  <c r="Y149" i="66"/>
  <c r="W237" i="66"/>
  <c r="Y237" i="66" s="1"/>
  <c r="Y49" i="66"/>
  <c r="U24" i="66"/>
  <c r="Y291" i="66"/>
  <c r="AC109" i="74"/>
  <c r="O109" i="74"/>
  <c r="U178" i="66"/>
  <c r="Y140" i="66"/>
  <c r="AC45" i="74"/>
  <c r="AD45" i="74" s="1"/>
  <c r="O45" i="74"/>
  <c r="AA93" i="66"/>
  <c r="Z93" i="66"/>
  <c r="AA237" i="66"/>
  <c r="Z237" i="66"/>
  <c r="P93" i="66"/>
  <c r="T95" i="74"/>
  <c r="S95" i="74"/>
  <c r="Q95" i="74"/>
  <c r="W95" i="74" s="1"/>
  <c r="X95" i="74"/>
  <c r="Y244" i="66"/>
  <c r="P241" i="66"/>
  <c r="Y66" i="66"/>
  <c r="AA28" i="66"/>
  <c r="AA172" i="66"/>
  <c r="Z172" i="66"/>
  <c r="Z28" i="66"/>
  <c r="P28" i="66"/>
  <c r="AC38" i="74"/>
  <c r="AD38" i="74" s="1"/>
  <c r="O38" i="74"/>
  <c r="AC100" i="74"/>
  <c r="O100" i="74"/>
  <c r="E342" i="38"/>
  <c r="E348" i="38"/>
  <c r="N261" i="66" s="1"/>
  <c r="Y278" i="66"/>
  <c r="Z205" i="66"/>
  <c r="X133" i="74"/>
  <c r="T133" i="74"/>
  <c r="U13" i="66"/>
  <c r="U127" i="66"/>
  <c r="U235" i="66"/>
  <c r="Y251" i="66"/>
  <c r="T22" i="74"/>
  <c r="S22" i="74"/>
  <c r="X22" i="74"/>
  <c r="Q22" i="74"/>
  <c r="W22" i="74" s="1"/>
  <c r="Z202" i="66"/>
  <c r="AA58" i="66"/>
  <c r="Z58" i="66"/>
  <c r="AA202" i="66"/>
  <c r="P58" i="66"/>
  <c r="U163" i="66"/>
  <c r="Z43" i="66"/>
  <c r="AA187" i="66"/>
  <c r="Z187" i="66"/>
  <c r="AA43" i="66"/>
  <c r="AA10" i="66"/>
  <c r="Z10" i="66"/>
  <c r="Z154" i="66"/>
  <c r="AA154" i="66"/>
  <c r="P10" i="66"/>
  <c r="Q15" i="74"/>
  <c r="W15" i="74" s="1"/>
  <c r="T15" i="74"/>
  <c r="S15" i="74"/>
  <c r="X15" i="74"/>
  <c r="X35" i="74"/>
  <c r="T35" i="74"/>
  <c r="U239" i="66"/>
  <c r="S134" i="74"/>
  <c r="X134" i="74"/>
  <c r="T134" i="74"/>
  <c r="Q134" i="74"/>
  <c r="W134" i="74" s="1"/>
  <c r="U291" i="66"/>
  <c r="S34" i="74"/>
  <c r="Q34" i="74"/>
  <c r="W34" i="74" s="1"/>
  <c r="X34" i="74"/>
  <c r="T34" i="74"/>
  <c r="O93" i="74"/>
  <c r="AC93" i="74"/>
  <c r="AD93" i="74" s="1"/>
  <c r="U104" i="66"/>
  <c r="Y73" i="66"/>
  <c r="AA143" i="66"/>
  <c r="Z287" i="66"/>
  <c r="AA287" i="66"/>
  <c r="Z143" i="66"/>
  <c r="Y200" i="66"/>
  <c r="AC61" i="74"/>
  <c r="AD61" i="74" s="1"/>
  <c r="U173" i="66"/>
  <c r="O28" i="74"/>
  <c r="AC28" i="74"/>
  <c r="AD28" i="74" s="1"/>
  <c r="S120" i="74"/>
  <c r="Q120" i="74"/>
  <c r="W120" i="74" s="1"/>
  <c r="X120" i="74"/>
  <c r="T120" i="74"/>
  <c r="Z61" i="66"/>
  <c r="X56" i="74"/>
  <c r="S56" i="74"/>
  <c r="Q56" i="74"/>
  <c r="W56" i="74" s="1"/>
  <c r="T56" i="74"/>
  <c r="X67" i="74"/>
  <c r="T67" i="74"/>
  <c r="S67" i="74"/>
  <c r="Q67" i="74"/>
  <c r="W67" i="74" s="1"/>
  <c r="Z94" i="66"/>
  <c r="Z238" i="66"/>
  <c r="AA94" i="66"/>
  <c r="AA238" i="66"/>
  <c r="P94" i="66"/>
  <c r="AC58" i="74"/>
  <c r="AD58" i="74" s="1"/>
  <c r="O58" i="74"/>
  <c r="S101" i="74"/>
  <c r="Q101" i="74"/>
  <c r="W101" i="74" s="1"/>
  <c r="X101" i="74"/>
  <c r="T101" i="74"/>
  <c r="AC43" i="74"/>
  <c r="AD43" i="74" s="1"/>
  <c r="O43" i="74"/>
  <c r="X27" i="74"/>
  <c r="T27" i="74"/>
  <c r="S27" i="74"/>
  <c r="Q27" i="74"/>
  <c r="W27" i="74" s="1"/>
  <c r="Y248" i="66"/>
  <c r="T147" i="74"/>
  <c r="X147" i="74"/>
  <c r="S147" i="74"/>
  <c r="Q147" i="74"/>
  <c r="W147" i="74" s="1"/>
  <c r="T43" i="74"/>
  <c r="S43" i="74"/>
  <c r="Q43" i="74"/>
  <c r="W43" i="74" s="1"/>
  <c r="X43" i="74"/>
  <c r="X91" i="74"/>
  <c r="S91" i="74"/>
  <c r="T91" i="74"/>
  <c r="Q91" i="74"/>
  <c r="W91" i="74" s="1"/>
  <c r="AC143" i="74"/>
  <c r="O143" i="74"/>
  <c r="U200" i="66"/>
  <c r="S81" i="74"/>
  <c r="Q81" i="74"/>
  <c r="W81" i="74" s="1"/>
  <c r="X81" i="74"/>
  <c r="T81" i="74"/>
  <c r="O61" i="74"/>
  <c r="Y168" i="66"/>
  <c r="R190" i="66"/>
  <c r="V190" i="66"/>
  <c r="D263" i="72" a="1"/>
  <c r="D263" i="72" s="1"/>
  <c r="D139" i="72" a="1"/>
  <c r="D139" i="72" s="1"/>
  <c r="D201" i="72" a="1"/>
  <c r="D201" i="72" s="1"/>
  <c r="V237" i="66" l="1"/>
  <c r="V224" i="66"/>
  <c r="W224" i="66"/>
  <c r="Y224" i="66" s="1"/>
  <c r="P268" i="66"/>
  <c r="R268" i="66" s="1"/>
  <c r="S268" i="66" s="1"/>
  <c r="U268" i="66" s="1"/>
  <c r="AA268" i="66"/>
  <c r="V46" i="66"/>
  <c r="Z268" i="66"/>
  <c r="Z124" i="66"/>
  <c r="AA124" i="66"/>
  <c r="W240" i="66"/>
  <c r="Y240" i="66" s="1"/>
  <c r="R240" i="66"/>
  <c r="S240" i="66" s="1"/>
  <c r="U240" i="66" s="1"/>
  <c r="K119" i="66"/>
  <c r="K119" i="74" s="1"/>
  <c r="Y4" i="74"/>
  <c r="U32" i="74"/>
  <c r="P252" i="66"/>
  <c r="V252" i="66" s="1"/>
  <c r="AA283" i="66"/>
  <c r="Z283" i="66"/>
  <c r="Z139" i="66"/>
  <c r="U46" i="74"/>
  <c r="AA250" i="66"/>
  <c r="AA253" i="66"/>
  <c r="U28" i="74"/>
  <c r="Z253" i="66"/>
  <c r="Z109" i="66"/>
  <c r="P106" i="66"/>
  <c r="V106" i="66" s="1"/>
  <c r="Z250" i="66"/>
  <c r="Z106" i="66"/>
  <c r="AA106" i="66"/>
  <c r="U12" i="74"/>
  <c r="V193" i="66"/>
  <c r="AA273" i="66"/>
  <c r="AA129" i="66"/>
  <c r="Z273" i="66"/>
  <c r="V172" i="66"/>
  <c r="J473" i="41"/>
  <c r="J467" i="58"/>
  <c r="J467" i="41" s="1"/>
  <c r="P10" i="74"/>
  <c r="R10" i="74" s="1"/>
  <c r="AA10" i="74"/>
  <c r="W289" i="66"/>
  <c r="Y289" i="66" s="1"/>
  <c r="R289" i="66"/>
  <c r="S289" i="66" s="1"/>
  <c r="U289" i="66" s="1"/>
  <c r="V176" i="66"/>
  <c r="U45" i="74"/>
  <c r="T285" i="66"/>
  <c r="Q285" i="66"/>
  <c r="X285" i="66"/>
  <c r="O285" i="66"/>
  <c r="H485" i="41"/>
  <c r="T141" i="66"/>
  <c r="O141" i="66"/>
  <c r="G15" i="39"/>
  <c r="Q141" i="66"/>
  <c r="K141" i="74"/>
  <c r="X141" i="66"/>
  <c r="D41" i="17"/>
  <c r="D42" i="17"/>
  <c r="D43" i="17"/>
  <c r="D44" i="17"/>
  <c r="D45" i="17"/>
  <c r="D36" i="17"/>
  <c r="D34" i="17"/>
  <c r="D32" i="17"/>
  <c r="D37" i="17"/>
  <c r="D38" i="17"/>
  <c r="D39" i="17"/>
  <c r="D40" i="17"/>
  <c r="V189" i="66"/>
  <c r="R154" i="66"/>
  <c r="U67" i="74"/>
  <c r="W250" i="66"/>
  <c r="Y250" i="66" s="1"/>
  <c r="V250" i="66"/>
  <c r="R250" i="66"/>
  <c r="S250" i="66" s="1"/>
  <c r="U250" i="66" s="1"/>
  <c r="U110" i="74"/>
  <c r="U5" i="74"/>
  <c r="O108" i="74"/>
  <c r="AA108" i="74" s="1"/>
  <c r="W252" i="66"/>
  <c r="Y252" i="66" s="1"/>
  <c r="Z252" i="66"/>
  <c r="Z108" i="66"/>
  <c r="P108" i="66"/>
  <c r="R108" i="66" s="1"/>
  <c r="S108" i="66" s="1"/>
  <c r="U108" i="66" s="1"/>
  <c r="AA108" i="66"/>
  <c r="AA252" i="66"/>
  <c r="Y111" i="74"/>
  <c r="Y66" i="74"/>
  <c r="U34" i="74"/>
  <c r="Y15" i="74"/>
  <c r="Z162" i="66"/>
  <c r="U77" i="74"/>
  <c r="Y79" i="74"/>
  <c r="Y101" i="74"/>
  <c r="U95" i="74"/>
  <c r="U135" i="74"/>
  <c r="Y82" i="74"/>
  <c r="Y100" i="74"/>
  <c r="AA18" i="66"/>
  <c r="AA162" i="66"/>
  <c r="Y12" i="74"/>
  <c r="U92" i="74"/>
  <c r="U125" i="74"/>
  <c r="U120" i="74"/>
  <c r="Y147" i="74"/>
  <c r="Y130" i="74"/>
  <c r="Y61" i="74"/>
  <c r="Y123" i="74"/>
  <c r="U134" i="74"/>
  <c r="Y95" i="74"/>
  <c r="Y38" i="74"/>
  <c r="Y10" i="74"/>
  <c r="Y109" i="74"/>
  <c r="Y31" i="74"/>
  <c r="Y134" i="74"/>
  <c r="U99" i="74"/>
  <c r="U31" i="74"/>
  <c r="Y11" i="74"/>
  <c r="Y115" i="74"/>
  <c r="Y48" i="74"/>
  <c r="Y143" i="74"/>
  <c r="AC144" i="74"/>
  <c r="AD144" i="74" s="1"/>
  <c r="O144" i="74"/>
  <c r="Y88" i="74"/>
  <c r="Z96" i="74"/>
  <c r="P96" i="74"/>
  <c r="AA96" i="74"/>
  <c r="D33" i="17"/>
  <c r="I63" i="35" a="1"/>
  <c r="I63" i="35" s="1"/>
  <c r="I19" i="35" a="1"/>
  <c r="I19" i="35" s="1"/>
  <c r="G107" i="66"/>
  <c r="J491" i="41"/>
  <c r="D27" i="17"/>
  <c r="D25" i="17"/>
  <c r="O10" i="9"/>
  <c r="I496" i="18"/>
  <c r="H496" i="18"/>
  <c r="I241" i="18"/>
  <c r="H241" i="18"/>
  <c r="I240" i="18"/>
  <c r="H240" i="18"/>
  <c r="I460" i="18"/>
  <c r="H460" i="18"/>
  <c r="I459" i="18"/>
  <c r="H459" i="18"/>
  <c r="H498" i="18"/>
  <c r="I498" i="18"/>
  <c r="I253" i="18"/>
  <c r="H253" i="18"/>
  <c r="I247" i="18"/>
  <c r="H247" i="18"/>
  <c r="X71" i="66"/>
  <c r="T71" i="66"/>
  <c r="Q71" i="66"/>
  <c r="K71" i="74"/>
  <c r="O71" i="66"/>
  <c r="F19" i="39"/>
  <c r="D103" i="72" a="1"/>
  <c r="D103" i="72" s="1"/>
  <c r="D104" i="72" s="1" a="1"/>
  <c r="D104" i="72" s="1"/>
  <c r="T106" i="74"/>
  <c r="Q106" i="74"/>
  <c r="X106" i="74"/>
  <c r="U101" i="74"/>
  <c r="Y40" i="74"/>
  <c r="U66" i="74"/>
  <c r="C5" i="77"/>
  <c r="D226" i="72" a="1"/>
  <c r="D226" i="72" s="1"/>
  <c r="D29" i="39"/>
  <c r="D30" i="39" s="1"/>
  <c r="D32" i="39"/>
  <c r="D33" i="39" s="1"/>
  <c r="J7" i="6"/>
  <c r="AA144" i="66"/>
  <c r="Z144" i="66"/>
  <c r="AA288" i="66"/>
  <c r="Z288" i="66"/>
  <c r="P144" i="66"/>
  <c r="I203" i="18"/>
  <c r="H203" i="18"/>
  <c r="Z29" i="74"/>
  <c r="AA29" i="74"/>
  <c r="E44" i="39"/>
  <c r="G105" i="66"/>
  <c r="J492" i="41"/>
  <c r="E17" i="39" s="1"/>
  <c r="I500" i="18"/>
  <c r="H500" i="18"/>
  <c r="AC125" i="74"/>
  <c r="AD125" i="74" s="1"/>
  <c r="O125" i="74"/>
  <c r="I248" i="18"/>
  <c r="H248" i="18"/>
  <c r="I252" i="18"/>
  <c r="H252" i="18"/>
  <c r="I453" i="18"/>
  <c r="H453" i="18"/>
  <c r="Y28" i="74"/>
  <c r="Y27" i="74"/>
  <c r="Y14" i="74"/>
  <c r="U88" i="74"/>
  <c r="U25" i="74"/>
  <c r="E110" i="38"/>
  <c r="AA70" i="74"/>
  <c r="Z70" i="74"/>
  <c r="AA92" i="74"/>
  <c r="Z92" i="74"/>
  <c r="Y23" i="74"/>
  <c r="J17" i="39"/>
  <c r="O11" i="74"/>
  <c r="AC11" i="74"/>
  <c r="AD11" i="74" s="1"/>
  <c r="I492" i="18"/>
  <c r="H492" i="18"/>
  <c r="H497" i="18"/>
  <c r="I497" i="18"/>
  <c r="Z125" i="66"/>
  <c r="AA125" i="66"/>
  <c r="Z269" i="66"/>
  <c r="AA269" i="66"/>
  <c r="H243" i="18"/>
  <c r="I243" i="18"/>
  <c r="I462" i="18"/>
  <c r="H462" i="18"/>
  <c r="Z118" i="66"/>
  <c r="Z262" i="66"/>
  <c r="AA118" i="66"/>
  <c r="AA262" i="66"/>
  <c r="R48" i="66"/>
  <c r="V48" i="66"/>
  <c r="AC106" i="74"/>
  <c r="AD106" i="74" s="1"/>
  <c r="I102" i="35" a="1"/>
  <c r="I102" i="35" s="1"/>
  <c r="G377" i="18" a="1"/>
  <c r="G377" i="18" s="1"/>
  <c r="G371" i="18" a="1"/>
  <c r="G371" i="18" s="1"/>
  <c r="I103" i="35" a="1"/>
  <c r="I103" i="35" s="1"/>
  <c r="G372" i="18" a="1"/>
  <c r="G372" i="18" s="1"/>
  <c r="G378" i="18" a="1"/>
  <c r="G378" i="18" s="1"/>
  <c r="I109" i="35" a="1"/>
  <c r="I109" i="35" s="1"/>
  <c r="G376" i="18" a="1"/>
  <c r="G376" i="18" s="1"/>
  <c r="I105" i="35" a="1"/>
  <c r="I105" i="35" s="1"/>
  <c r="G379" i="18" a="1"/>
  <c r="G379" i="18" s="1"/>
  <c r="I101" i="35" a="1"/>
  <c r="I101" i="35" s="1"/>
  <c r="G373" i="18" a="1"/>
  <c r="G373" i="18" s="1"/>
  <c r="I112" i="35" a="1"/>
  <c r="I112" i="35" s="1"/>
  <c r="G374" i="18" a="1"/>
  <c r="G374" i="18" s="1"/>
  <c r="I108" i="35" a="1"/>
  <c r="I108" i="35" s="1"/>
  <c r="G370" i="18" a="1"/>
  <c r="G370" i="18" s="1"/>
  <c r="I104" i="35" a="1"/>
  <c r="I104" i="35" s="1"/>
  <c r="G368" i="18" a="1"/>
  <c r="G368" i="18" s="1"/>
  <c r="I114" i="35" a="1"/>
  <c r="I114" i="35" s="1"/>
  <c r="G366" i="18" a="1"/>
  <c r="G366" i="18" s="1"/>
  <c r="J47" i="20"/>
  <c r="I110" i="35" a="1"/>
  <c r="I110" i="35" s="1"/>
  <c r="G367" i="18" a="1"/>
  <c r="G367" i="18" s="1"/>
  <c r="I107" i="35" a="1"/>
  <c r="I107" i="35" s="1"/>
  <c r="I111" i="35" a="1"/>
  <c r="I111" i="35" s="1"/>
  <c r="G375" i="18" a="1"/>
  <c r="G375" i="18" s="1"/>
  <c r="I113" i="35" a="1"/>
  <c r="I113" i="35" s="1"/>
  <c r="I106" i="35" a="1"/>
  <c r="I106" i="35" s="1"/>
  <c r="G369" i="18" a="1"/>
  <c r="G369" i="18" s="1"/>
  <c r="G57" i="74"/>
  <c r="E161" i="38"/>
  <c r="Y32" i="74"/>
  <c r="I30" i="35" a="1"/>
  <c r="I30" i="35" s="1"/>
  <c r="I22" i="35" a="1"/>
  <c r="I22" i="35" s="1"/>
  <c r="I29" i="35" a="1"/>
  <c r="I29" i="35" s="1"/>
  <c r="G115" i="18" a="1"/>
  <c r="G115" i="18" s="1"/>
  <c r="G118" i="18" a="1"/>
  <c r="G118" i="18" s="1"/>
  <c r="G116" i="18" a="1"/>
  <c r="G116" i="18" s="1"/>
  <c r="G124" i="18" a="1"/>
  <c r="G124" i="18" s="1"/>
  <c r="G125" i="18" a="1"/>
  <c r="G125" i="18" s="1"/>
  <c r="G123" i="18" a="1"/>
  <c r="G123" i="18" s="1"/>
  <c r="G122" i="18" a="1"/>
  <c r="G122" i="18" s="1"/>
  <c r="G117" i="18" a="1"/>
  <c r="G117" i="18" s="1"/>
  <c r="G119" i="18" a="1"/>
  <c r="G119" i="18" s="1"/>
  <c r="G121" i="18" a="1"/>
  <c r="G121" i="18" s="1"/>
  <c r="G114" i="18" a="1"/>
  <c r="G114" i="18" s="1"/>
  <c r="G126" i="18" a="1"/>
  <c r="G126" i="18" s="1"/>
  <c r="I17" i="35" a="1"/>
  <c r="I17" i="35" s="1"/>
  <c r="G120" i="18" a="1"/>
  <c r="G120" i="18" s="1"/>
  <c r="I23" i="35" a="1"/>
  <c r="I23" i="35" s="1"/>
  <c r="G127" i="18" a="1"/>
  <c r="G127" i="18" s="1"/>
  <c r="J20" i="20"/>
  <c r="I26" i="35" a="1"/>
  <c r="I26" i="35" s="1"/>
  <c r="I20" i="35" a="1"/>
  <c r="I20" i="35" s="1"/>
  <c r="I27" i="35" a="1"/>
  <c r="I27" i="35" s="1"/>
  <c r="I21" i="35" a="1"/>
  <c r="I21" i="35" s="1"/>
  <c r="I24" i="35" a="1"/>
  <c r="I24" i="35" s="1"/>
  <c r="I18" i="35" a="1"/>
  <c r="I18" i="35" s="1"/>
  <c r="I25" i="35" a="1"/>
  <c r="I25" i="35" s="1"/>
  <c r="I28" i="35" a="1"/>
  <c r="I28" i="35" s="1"/>
  <c r="Q17" i="39"/>
  <c r="P29" i="39"/>
  <c r="Q29" i="39" s="1"/>
  <c r="AA32" i="74"/>
  <c r="Z32" i="74"/>
  <c r="P32" i="74"/>
  <c r="I503" i="18"/>
  <c r="H503" i="18"/>
  <c r="I251" i="18"/>
  <c r="H251" i="18"/>
  <c r="I242" i="18"/>
  <c r="H242" i="18"/>
  <c r="H461" i="18"/>
  <c r="I461" i="18"/>
  <c r="O118" i="74"/>
  <c r="AC118" i="74"/>
  <c r="C30" i="63"/>
  <c r="J459" i="41"/>
  <c r="E56" i="17"/>
  <c r="D35" i="17"/>
  <c r="E55" i="17"/>
  <c r="Y120" i="74"/>
  <c r="O106" i="74"/>
  <c r="AA106" i="74" s="1"/>
  <c r="U14" i="74"/>
  <c r="U49" i="74"/>
  <c r="Y44" i="74"/>
  <c r="U72" i="74"/>
  <c r="U52" i="74"/>
  <c r="P12" i="20"/>
  <c r="P14" i="20"/>
  <c r="G8" i="20"/>
  <c r="E23" i="22"/>
  <c r="G9" i="20"/>
  <c r="P16" i="20"/>
  <c r="P18" i="20"/>
  <c r="G12" i="20"/>
  <c r="P7" i="20"/>
  <c r="P6" i="20"/>
  <c r="P10" i="20"/>
  <c r="N6" i="9"/>
  <c r="G18" i="20"/>
  <c r="G7" i="20"/>
  <c r="G6" i="20"/>
  <c r="P17" i="20"/>
  <c r="G17" i="20"/>
  <c r="G15" i="20"/>
  <c r="P15" i="20"/>
  <c r="G14" i="20"/>
  <c r="P11" i="20"/>
  <c r="G19" i="20"/>
  <c r="G10" i="20"/>
  <c r="P8" i="20"/>
  <c r="G16" i="20"/>
  <c r="P19" i="20"/>
  <c r="G11" i="20"/>
  <c r="P13" i="20"/>
  <c r="G13" i="20"/>
  <c r="P9" i="20"/>
  <c r="N30" i="9"/>
  <c r="M21" i="74"/>
  <c r="Q21" i="66"/>
  <c r="W21" i="66" s="1"/>
  <c r="Y21" i="66" s="1"/>
  <c r="S21" i="66"/>
  <c r="U21" i="66" s="1"/>
  <c r="O21" i="66"/>
  <c r="I202" i="18"/>
  <c r="H202" i="18"/>
  <c r="H198" i="18"/>
  <c r="I198" i="18"/>
  <c r="R192" i="66"/>
  <c r="V192" i="66"/>
  <c r="I60" i="35" a="1"/>
  <c r="I60" i="35" s="1"/>
  <c r="G162" i="18" a="1"/>
  <c r="G162" i="18" s="1"/>
  <c r="G157" i="18" a="1"/>
  <c r="G157" i="18" s="1"/>
  <c r="G158" i="18" a="1"/>
  <c r="G158" i="18" s="1"/>
  <c r="G160" i="18" a="1"/>
  <c r="G160" i="18" s="1"/>
  <c r="G168" i="18" a="1"/>
  <c r="G168" i="18" s="1"/>
  <c r="I59" i="35" a="1"/>
  <c r="I59" i="35" s="1"/>
  <c r="G161" i="18" a="1"/>
  <c r="G161" i="18" s="1"/>
  <c r="G165" i="18" a="1"/>
  <c r="G165" i="18" s="1"/>
  <c r="G156" i="18" a="1"/>
  <c r="G156" i="18" s="1"/>
  <c r="I71" i="35" a="1"/>
  <c r="I71" i="35" s="1"/>
  <c r="G164" i="18" a="1"/>
  <c r="G164" i="18" s="1"/>
  <c r="G166" i="18" a="1"/>
  <c r="G166" i="18" s="1"/>
  <c r="G167" i="18" a="1"/>
  <c r="G167" i="18" s="1"/>
  <c r="I69" i="35" a="1"/>
  <c r="I69" i="35" s="1"/>
  <c r="G159" i="18" a="1"/>
  <c r="G159" i="18" s="1"/>
  <c r="G169" i="18" a="1"/>
  <c r="G169" i="18" s="1"/>
  <c r="I72" i="35" a="1"/>
  <c r="I72" i="35" s="1"/>
  <c r="G163" i="18" a="1"/>
  <c r="G163" i="18" s="1"/>
  <c r="I64" i="35" a="1"/>
  <c r="I64" i="35" s="1"/>
  <c r="I68" i="35" a="1"/>
  <c r="I68" i="35" s="1"/>
  <c r="S20" i="20"/>
  <c r="I66" i="35" a="1"/>
  <c r="I66" i="35" s="1"/>
  <c r="I62" i="35" a="1"/>
  <c r="I62" i="35" s="1"/>
  <c r="I67" i="35" a="1"/>
  <c r="I67" i="35" s="1"/>
  <c r="I65" i="35" a="1"/>
  <c r="I65" i="35" s="1"/>
  <c r="I61" i="35" a="1"/>
  <c r="I61" i="35" s="1"/>
  <c r="I70" i="35" a="1"/>
  <c r="I70" i="35" s="1"/>
  <c r="D227" i="72" a="1"/>
  <c r="D227" i="72" s="1"/>
  <c r="N69" i="74"/>
  <c r="F25" i="39"/>
  <c r="AD32" i="74"/>
  <c r="E28" i="77" s="1"/>
  <c r="C28" i="77"/>
  <c r="C9" i="77"/>
  <c r="I504" i="18"/>
  <c r="H504" i="18"/>
  <c r="I246" i="18"/>
  <c r="H246" i="18"/>
  <c r="I245" i="18"/>
  <c r="H245" i="18"/>
  <c r="Q142" i="66"/>
  <c r="X142" i="66"/>
  <c r="T142" i="66"/>
  <c r="K142" i="74"/>
  <c r="O142" i="66"/>
  <c r="G12" i="39"/>
  <c r="D166" i="72" a="1"/>
  <c r="D166" i="72" s="1"/>
  <c r="G114" i="66"/>
  <c r="J490" i="41"/>
  <c r="E25" i="22"/>
  <c r="N8" i="9"/>
  <c r="U8" i="9" s="1"/>
  <c r="I146" i="35" a="1"/>
  <c r="I146" i="35" s="1"/>
  <c r="G412" i="18" a="1"/>
  <c r="G412" i="18" s="1"/>
  <c r="G413" i="18" a="1"/>
  <c r="G413" i="18" s="1"/>
  <c r="G416" i="18" a="1"/>
  <c r="G416" i="18" s="1"/>
  <c r="I149" i="35" a="1"/>
  <c r="I149" i="35" s="1"/>
  <c r="G420" i="18" a="1"/>
  <c r="G420" i="18" s="1"/>
  <c r="I145" i="35" a="1"/>
  <c r="I145" i="35" s="1"/>
  <c r="I156" i="35" a="1"/>
  <c r="I156" i="35" s="1"/>
  <c r="G409" i="18" a="1"/>
  <c r="G409" i="18" s="1"/>
  <c r="I152" i="35" a="1"/>
  <c r="I152" i="35" s="1"/>
  <c r="S47" i="20"/>
  <c r="I148" i="35" a="1"/>
  <c r="I148" i="35" s="1"/>
  <c r="G419" i="18" a="1"/>
  <c r="G419" i="18" s="1"/>
  <c r="I155" i="35" a="1"/>
  <c r="I155" i="35" s="1"/>
  <c r="G418" i="18" a="1"/>
  <c r="G418" i="18" s="1"/>
  <c r="G417" i="18" a="1"/>
  <c r="G417" i="18" s="1"/>
  <c r="I144" i="35" a="1"/>
  <c r="I144" i="35" s="1"/>
  <c r="I150" i="35" a="1"/>
  <c r="I150" i="35" s="1"/>
  <c r="I154" i="35" a="1"/>
  <c r="I154" i="35" s="1"/>
  <c r="G415" i="18" a="1"/>
  <c r="G415" i="18" s="1"/>
  <c r="I151" i="35" a="1"/>
  <c r="I151" i="35" s="1"/>
  <c r="G408" i="18" a="1"/>
  <c r="G408" i="18" s="1"/>
  <c r="I153" i="35" a="1"/>
  <c r="I153" i="35" s="1"/>
  <c r="G421" i="18" a="1"/>
  <c r="G421" i="18" s="1"/>
  <c r="G410" i="18" a="1"/>
  <c r="G410" i="18" s="1"/>
  <c r="I147" i="35" a="1"/>
  <c r="I147" i="35" s="1"/>
  <c r="G411" i="18" a="1"/>
  <c r="G411" i="18" s="1"/>
  <c r="I143" i="35" a="1"/>
  <c r="I143" i="35" s="1"/>
  <c r="G414" i="18" a="1"/>
  <c r="G414" i="18" s="1"/>
  <c r="I205" i="18"/>
  <c r="H205" i="18"/>
  <c r="I208" i="18"/>
  <c r="H208" i="18"/>
  <c r="T94" i="74"/>
  <c r="Q94" i="74"/>
  <c r="X94" i="74"/>
  <c r="I505" i="18"/>
  <c r="H505" i="18"/>
  <c r="I494" i="18"/>
  <c r="H494" i="18"/>
  <c r="I457" i="18"/>
  <c r="H457" i="18"/>
  <c r="I463" i="18"/>
  <c r="H463" i="18"/>
  <c r="I450" i="18"/>
  <c r="H450" i="18"/>
  <c r="H158" i="35" a="1"/>
  <c r="H158" i="35" s="1"/>
  <c r="G481" i="18" a="1"/>
  <c r="G481" i="18" s="1"/>
  <c r="H168" i="35" a="1"/>
  <c r="H168" i="35" s="1"/>
  <c r="G480" i="18" a="1"/>
  <c r="G480" i="18" s="1"/>
  <c r="G482" i="18" a="1"/>
  <c r="G482" i="18" s="1"/>
  <c r="H161" i="35" a="1"/>
  <c r="H161" i="35" s="1"/>
  <c r="H164" i="35" a="1"/>
  <c r="H164" i="35" s="1"/>
  <c r="G478" i="18" a="1"/>
  <c r="G478" i="18" s="1"/>
  <c r="H160" i="35" a="1"/>
  <c r="H160" i="35" s="1"/>
  <c r="G488" i="18" a="1"/>
  <c r="G488" i="18" s="1"/>
  <c r="H165" i="35" a="1"/>
  <c r="H165" i="35" s="1"/>
  <c r="G483" i="18" a="1"/>
  <c r="G483" i="18" s="1"/>
  <c r="Q47" i="20"/>
  <c r="H167" i="35" a="1"/>
  <c r="H167" i="35" s="1"/>
  <c r="G490" i="18" a="1"/>
  <c r="G490" i="18" s="1"/>
  <c r="H163" i="35" a="1"/>
  <c r="H163" i="35" s="1"/>
  <c r="H169" i="35" a="1"/>
  <c r="H169" i="35" s="1"/>
  <c r="H166" i="35" a="1"/>
  <c r="H166" i="35" s="1"/>
  <c r="G479" i="18" a="1"/>
  <c r="G479" i="18" s="1"/>
  <c r="H170" i="35" a="1"/>
  <c r="H170" i="35" s="1"/>
  <c r="H157" i="35" a="1"/>
  <c r="H157" i="35" s="1"/>
  <c r="G486" i="18" a="1"/>
  <c r="G486" i="18" s="1"/>
  <c r="G489" i="18" a="1"/>
  <c r="G489" i="18" s="1"/>
  <c r="H159" i="35" a="1"/>
  <c r="H159" i="35" s="1"/>
  <c r="G491" i="18" a="1"/>
  <c r="G491" i="18" s="1"/>
  <c r="G487" i="18" a="1"/>
  <c r="G487" i="18" s="1"/>
  <c r="G485" i="18" a="1"/>
  <c r="G485" i="18" s="1"/>
  <c r="H162" i="35" a="1"/>
  <c r="H162" i="35" s="1"/>
  <c r="G484" i="18" a="1"/>
  <c r="G484" i="18" s="1"/>
  <c r="J458" i="41"/>
  <c r="U91" i="74"/>
  <c r="Y127" i="74"/>
  <c r="Y51" i="74"/>
  <c r="Y77" i="74"/>
  <c r="P44" i="20"/>
  <c r="G38" i="20"/>
  <c r="G45" i="20"/>
  <c r="G35" i="20"/>
  <c r="P40" i="20"/>
  <c r="P34" i="20"/>
  <c r="G39" i="20"/>
  <c r="P35" i="20"/>
  <c r="G36" i="20"/>
  <c r="G43" i="20"/>
  <c r="G46" i="20"/>
  <c r="P37" i="20"/>
  <c r="G42" i="20"/>
  <c r="P42" i="20"/>
  <c r="P39" i="20"/>
  <c r="G40" i="20"/>
  <c r="P38" i="20"/>
  <c r="P33" i="20"/>
  <c r="P43" i="20"/>
  <c r="G44" i="20"/>
  <c r="P41" i="20"/>
  <c r="P45" i="20"/>
  <c r="G37" i="20"/>
  <c r="E68" i="22"/>
  <c r="P36" i="20"/>
  <c r="G33" i="20"/>
  <c r="P46" i="20"/>
  <c r="G34" i="20"/>
  <c r="G41" i="20"/>
  <c r="N40" i="9"/>
  <c r="V96" i="66"/>
  <c r="R96" i="66"/>
  <c r="S96" i="66" s="1"/>
  <c r="U96" i="66" s="1"/>
  <c r="W96" i="66"/>
  <c r="Y96" i="66" s="1"/>
  <c r="Q286" i="66"/>
  <c r="X286" i="66"/>
  <c r="T286" i="66"/>
  <c r="O286" i="66"/>
  <c r="D288" i="72" a="1"/>
  <c r="D288" i="72" s="1"/>
  <c r="D72" i="72" a="1"/>
  <c r="D72" i="72" s="1"/>
  <c r="I210" i="18"/>
  <c r="H210" i="18"/>
  <c r="I201" i="18"/>
  <c r="H201" i="18"/>
  <c r="E26" i="17"/>
  <c r="E24" i="17"/>
  <c r="E28" i="17" s="1"/>
  <c r="Q10" i="9"/>
  <c r="V6" i="9"/>
  <c r="AA5" i="39"/>
  <c r="J12" i="39"/>
  <c r="J21" i="39"/>
  <c r="J13" i="39"/>
  <c r="J23" i="39"/>
  <c r="J22" i="39"/>
  <c r="J26" i="39"/>
  <c r="J24" i="39"/>
  <c r="J27" i="39"/>
  <c r="C31" i="39"/>
  <c r="J25" i="39"/>
  <c r="J15" i="39"/>
  <c r="J28" i="39"/>
  <c r="J20" i="39"/>
  <c r="AA6" i="39"/>
  <c r="J19" i="39"/>
  <c r="J16" i="39"/>
  <c r="J18" i="39"/>
  <c r="J14" i="39"/>
  <c r="AA77" i="74"/>
  <c r="Z77" i="74"/>
  <c r="S165" i="66"/>
  <c r="U165" i="66" s="1"/>
  <c r="O165" i="66"/>
  <c r="Q165" i="66"/>
  <c r="W165" i="66" s="1"/>
  <c r="Y165" i="66" s="1"/>
  <c r="O128" i="74"/>
  <c r="AC128" i="74"/>
  <c r="I499" i="18"/>
  <c r="H499" i="18"/>
  <c r="Y45" i="74"/>
  <c r="I452" i="18"/>
  <c r="H452" i="18"/>
  <c r="D9" i="72" a="1"/>
  <c r="D9" i="72" s="1"/>
  <c r="D10" i="72" s="1" a="1"/>
  <c r="D10" i="72" s="1"/>
  <c r="D11" i="72" s="1" a="1"/>
  <c r="D11" i="72" s="1"/>
  <c r="I209" i="18"/>
  <c r="H209" i="18"/>
  <c r="U127" i="74"/>
  <c r="U24" i="74"/>
  <c r="U33" i="74"/>
  <c r="Y63" i="74"/>
  <c r="U79" i="74"/>
  <c r="AA48" i="74"/>
  <c r="Z48" i="74"/>
  <c r="P48" i="74"/>
  <c r="I207" i="18"/>
  <c r="H207" i="18"/>
  <c r="I206" i="18"/>
  <c r="H206" i="18"/>
  <c r="H471" i="58"/>
  <c r="K153" i="66"/>
  <c r="D19" i="8"/>
  <c r="N117" i="66"/>
  <c r="J6" i="6"/>
  <c r="AA128" i="66"/>
  <c r="Z272" i="66"/>
  <c r="AA272" i="66"/>
  <c r="Z128" i="66"/>
  <c r="P128" i="66"/>
  <c r="H77" i="35" a="1"/>
  <c r="H77" i="35" s="1"/>
  <c r="G232" i="18" a="1"/>
  <c r="G232" i="18" s="1"/>
  <c r="G233" i="18" a="1"/>
  <c r="G233" i="18" s="1"/>
  <c r="Q20" i="20"/>
  <c r="H82" i="35" a="1"/>
  <c r="H82" i="35" s="1"/>
  <c r="G237" i="18" a="1"/>
  <c r="G237" i="18" s="1"/>
  <c r="H79" i="35" a="1"/>
  <c r="H79" i="35" s="1"/>
  <c r="H78" i="35" a="1"/>
  <c r="H78" i="35" s="1"/>
  <c r="H73" i="35" a="1"/>
  <c r="H73" i="35" s="1"/>
  <c r="H74" i="35" a="1"/>
  <c r="H74" i="35" s="1"/>
  <c r="G239" i="18" a="1"/>
  <c r="G239" i="18" s="1"/>
  <c r="H81" i="35" a="1"/>
  <c r="H81" i="35" s="1"/>
  <c r="G227" i="18" a="1"/>
  <c r="G227" i="18" s="1"/>
  <c r="G226" i="18" a="1"/>
  <c r="G226" i="18" s="1"/>
  <c r="G235" i="18" a="1"/>
  <c r="G235" i="18" s="1"/>
  <c r="H75" i="35" a="1"/>
  <c r="H75" i="35" s="1"/>
  <c r="G230" i="18" a="1"/>
  <c r="G230" i="18" s="1"/>
  <c r="H84" i="35" a="1"/>
  <c r="H84" i="35" s="1"/>
  <c r="G228" i="18" a="1"/>
  <c r="G228" i="18" s="1"/>
  <c r="H80" i="35" a="1"/>
  <c r="H80" i="35" s="1"/>
  <c r="G234" i="18" a="1"/>
  <c r="G234" i="18" s="1"/>
  <c r="H76" i="35" a="1"/>
  <c r="H76" i="35" s="1"/>
  <c r="G238" i="18" a="1"/>
  <c r="G238" i="18" s="1"/>
  <c r="H86" i="35" a="1"/>
  <c r="H86" i="35" s="1"/>
  <c r="G231" i="18" a="1"/>
  <c r="G231" i="18" s="1"/>
  <c r="H85" i="35" a="1"/>
  <c r="H85" i="35" s="1"/>
  <c r="G229" i="18" a="1"/>
  <c r="G229" i="18" s="1"/>
  <c r="H83" i="35" a="1"/>
  <c r="H83" i="35" s="1"/>
  <c r="G236" i="18" a="1"/>
  <c r="G236" i="18" s="1"/>
  <c r="R32" i="66"/>
  <c r="V32" i="66"/>
  <c r="AA155" i="66"/>
  <c r="I249" i="18"/>
  <c r="H249" i="18"/>
  <c r="I455" i="18"/>
  <c r="H455" i="18"/>
  <c r="V80" i="66"/>
  <c r="R80" i="66"/>
  <c r="S80" i="66" s="1"/>
  <c r="U80" i="66" s="1"/>
  <c r="W80" i="66"/>
  <c r="Y80" i="66" s="1"/>
  <c r="U147" i="74"/>
  <c r="Z284" i="66"/>
  <c r="Z140" i="66"/>
  <c r="AA140" i="66"/>
  <c r="AA284" i="66"/>
  <c r="O66" i="66"/>
  <c r="G66" i="74"/>
  <c r="I211" i="18"/>
  <c r="H211" i="18"/>
  <c r="V272" i="66"/>
  <c r="R272" i="66"/>
  <c r="S272" i="66" s="1"/>
  <c r="U272" i="66" s="1"/>
  <c r="W272" i="66"/>
  <c r="Y272" i="66" s="1"/>
  <c r="M117" i="66"/>
  <c r="J485" i="37"/>
  <c r="P288" i="66"/>
  <c r="M69" i="74"/>
  <c r="O69" i="66"/>
  <c r="Q69" i="66"/>
  <c r="I493" i="18"/>
  <c r="H493" i="18"/>
  <c r="H495" i="18"/>
  <c r="I495" i="18"/>
  <c r="AA11" i="66"/>
  <c r="I454" i="18"/>
  <c r="H454" i="18"/>
  <c r="I451" i="18"/>
  <c r="H451" i="18"/>
  <c r="Y34" i="74"/>
  <c r="U61" i="74"/>
  <c r="U87" i="74"/>
  <c r="Y16" i="74"/>
  <c r="Y29" i="74"/>
  <c r="Y86" i="74"/>
  <c r="U100" i="74"/>
  <c r="O94" i="74"/>
  <c r="P94" i="74" s="1"/>
  <c r="AC140" i="74"/>
  <c r="AD140" i="74" s="1"/>
  <c r="O140" i="74"/>
  <c r="AC18" i="74"/>
  <c r="AD18" i="74" s="1"/>
  <c r="O18" i="74"/>
  <c r="I200" i="18"/>
  <c r="H200" i="18"/>
  <c r="Y46" i="74"/>
  <c r="H38" i="35" a="1"/>
  <c r="H38" i="35" s="1"/>
  <c r="G187" i="18" a="1"/>
  <c r="G187" i="18" s="1"/>
  <c r="G192" i="18" a="1"/>
  <c r="G192" i="18" s="1"/>
  <c r="H34" i="35" a="1"/>
  <c r="H34" i="35" s="1"/>
  <c r="G188" i="18" a="1"/>
  <c r="G188" i="18" s="1"/>
  <c r="H20" i="20"/>
  <c r="H43" i="35" a="1"/>
  <c r="H43" i="35" s="1"/>
  <c r="H44" i="35" a="1"/>
  <c r="H44" i="35" s="1"/>
  <c r="G190" i="18" a="1"/>
  <c r="G190" i="18" s="1"/>
  <c r="G189" i="18" a="1"/>
  <c r="G189" i="18" s="1"/>
  <c r="H31" i="35" a="1"/>
  <c r="H31" i="35" s="1"/>
  <c r="G191" i="18" a="1"/>
  <c r="G191" i="18" s="1"/>
  <c r="H33" i="35" a="1"/>
  <c r="H33" i="35" s="1"/>
  <c r="H41" i="35" a="1"/>
  <c r="H41" i="35" s="1"/>
  <c r="H40" i="35" a="1"/>
  <c r="H40" i="35" s="1"/>
  <c r="G193" i="18" a="1"/>
  <c r="G193" i="18" s="1"/>
  <c r="H37" i="35" a="1"/>
  <c r="H37" i="35" s="1"/>
  <c r="G184" i="18" a="1"/>
  <c r="G184" i="18" s="1"/>
  <c r="G195" i="18" a="1"/>
  <c r="G195" i="18" s="1"/>
  <c r="G196" i="18" a="1"/>
  <c r="G196" i="18" s="1"/>
  <c r="H39" i="35" a="1"/>
  <c r="H39" i="35" s="1"/>
  <c r="H36" i="35" a="1"/>
  <c r="H36" i="35" s="1"/>
  <c r="G197" i="18" a="1"/>
  <c r="G197" i="18" s="1"/>
  <c r="H32" i="35" a="1"/>
  <c r="H32" i="35" s="1"/>
  <c r="G194" i="18" a="1"/>
  <c r="G194" i="18" s="1"/>
  <c r="G186" i="18" a="1"/>
  <c r="G186" i="18" s="1"/>
  <c r="H42" i="35" a="1"/>
  <c r="H42" i="35" s="1"/>
  <c r="G185" i="18" a="1"/>
  <c r="G185" i="18" s="1"/>
  <c r="H35" i="35" a="1"/>
  <c r="H35" i="35" s="1"/>
  <c r="AD22" i="74"/>
  <c r="I502" i="18"/>
  <c r="H502" i="18"/>
  <c r="Z155" i="66"/>
  <c r="O213" i="66"/>
  <c r="Q213" i="66"/>
  <c r="I250" i="18"/>
  <c r="H250" i="18"/>
  <c r="I456" i="18"/>
  <c r="H456" i="18"/>
  <c r="I458" i="18"/>
  <c r="H458" i="18"/>
  <c r="H116" i="35" a="1"/>
  <c r="H116" i="35" s="1"/>
  <c r="G440" i="18" a="1"/>
  <c r="G440" i="18" s="1"/>
  <c r="H126" i="35" a="1"/>
  <c r="H126" i="35" s="1"/>
  <c r="G447" i="18" a="1"/>
  <c r="G447" i="18" s="1"/>
  <c r="G441" i="18" a="1"/>
  <c r="G441" i="18" s="1"/>
  <c r="H117" i="35" a="1"/>
  <c r="H117" i="35" s="1"/>
  <c r="G437" i="18" a="1"/>
  <c r="G437" i="18" s="1"/>
  <c r="G446" i="18" a="1"/>
  <c r="G446" i="18" s="1"/>
  <c r="H119" i="35" a="1"/>
  <c r="H119" i="35" s="1"/>
  <c r="G448" i="18" a="1"/>
  <c r="G448" i="18" s="1"/>
  <c r="H121" i="35" a="1"/>
  <c r="H121" i="35" s="1"/>
  <c r="G438" i="18" a="1"/>
  <c r="G438" i="18" s="1"/>
  <c r="H123" i="35" a="1"/>
  <c r="H123" i="35" s="1"/>
  <c r="G439" i="18" a="1"/>
  <c r="G439" i="18" s="1"/>
  <c r="H128" i="35" a="1"/>
  <c r="H128" i="35" s="1"/>
  <c r="H125" i="35" a="1"/>
  <c r="H125" i="35" s="1"/>
  <c r="G449" i="18" a="1"/>
  <c r="G449" i="18" s="1"/>
  <c r="H124" i="35" a="1"/>
  <c r="H124" i="35" s="1"/>
  <c r="G445" i="18" a="1"/>
  <c r="G445" i="18" s="1"/>
  <c r="H120" i="35" a="1"/>
  <c r="H120" i="35" s="1"/>
  <c r="H122" i="35" a="1"/>
  <c r="H122" i="35" s="1"/>
  <c r="G443" i="18" a="1"/>
  <c r="G443" i="18" s="1"/>
  <c r="H47" i="20"/>
  <c r="G444" i="18" a="1"/>
  <c r="G444" i="18" s="1"/>
  <c r="H127" i="35" a="1"/>
  <c r="H127" i="35" s="1"/>
  <c r="G442" i="18" a="1"/>
  <c r="G442" i="18" s="1"/>
  <c r="H115" i="35" a="1"/>
  <c r="H115" i="35" s="1"/>
  <c r="H118" i="35" a="1"/>
  <c r="H118" i="35" s="1"/>
  <c r="G436" i="18" a="1"/>
  <c r="G436" i="18" s="1"/>
  <c r="D43" i="72" a="1"/>
  <c r="D43" i="72" s="1"/>
  <c r="Y73" i="74"/>
  <c r="U39" i="74"/>
  <c r="U16" i="74"/>
  <c r="Q108" i="74"/>
  <c r="X108" i="74"/>
  <c r="T108" i="74"/>
  <c r="I199" i="18"/>
  <c r="H199" i="18"/>
  <c r="I204" i="18"/>
  <c r="H204" i="18"/>
  <c r="O59" i="66"/>
  <c r="G59" i="74"/>
  <c r="G249" i="66"/>
  <c r="M44" i="39"/>
  <c r="N113" i="74"/>
  <c r="Z22" i="74"/>
  <c r="AA22" i="74"/>
  <c r="P80" i="74"/>
  <c r="AA80" i="74"/>
  <c r="Z80" i="74"/>
  <c r="I501" i="18"/>
  <c r="H501" i="18"/>
  <c r="I485" i="41"/>
  <c r="I244" i="18"/>
  <c r="H244" i="18"/>
  <c r="AA44" i="74"/>
  <c r="Z44" i="74"/>
  <c r="U43" i="74"/>
  <c r="AA109" i="74"/>
  <c r="Z109" i="74"/>
  <c r="U40" i="74"/>
  <c r="V45" i="66"/>
  <c r="R45" i="66"/>
  <c r="Y110" i="74"/>
  <c r="Z86" i="74"/>
  <c r="AA86" i="74"/>
  <c r="U129" i="74"/>
  <c r="Z124" i="74"/>
  <c r="AA124" i="74"/>
  <c r="P124" i="74"/>
  <c r="Z139" i="74"/>
  <c r="AA139" i="74"/>
  <c r="V124" i="66"/>
  <c r="R124" i="66"/>
  <c r="S124" i="66" s="1"/>
  <c r="U124" i="66" s="1"/>
  <c r="W124" i="66"/>
  <c r="Y124" i="66" s="1"/>
  <c r="U47" i="74"/>
  <c r="Z4" i="74"/>
  <c r="AA4" i="74"/>
  <c r="R204" i="66"/>
  <c r="S204" i="66" s="1"/>
  <c r="U204" i="66" s="1"/>
  <c r="W204" i="66"/>
  <c r="Y204" i="66" s="1"/>
  <c r="V204" i="66"/>
  <c r="Z95" i="74"/>
  <c r="AA95" i="74"/>
  <c r="U107" i="74"/>
  <c r="V60" i="66"/>
  <c r="R60" i="66"/>
  <c r="S60" i="66" s="1"/>
  <c r="U60" i="66" s="1"/>
  <c r="W60" i="66"/>
  <c r="Y60" i="66" s="1"/>
  <c r="U18" i="74"/>
  <c r="Y8" i="74"/>
  <c r="U139" i="74"/>
  <c r="U118" i="74"/>
  <c r="Y125" i="74"/>
  <c r="AD33" i="74"/>
  <c r="E34" i="77" s="1"/>
  <c r="C34" i="77"/>
  <c r="U15" i="74"/>
  <c r="R241" i="66"/>
  <c r="S241" i="66" s="1"/>
  <c r="U241" i="66" s="1"/>
  <c r="W241" i="66"/>
  <c r="Y241" i="66" s="1"/>
  <c r="V241" i="66"/>
  <c r="AD109" i="74"/>
  <c r="D35" i="77"/>
  <c r="D20" i="77"/>
  <c r="V64" i="66"/>
  <c r="R64" i="66"/>
  <c r="S64" i="66" s="1"/>
  <c r="U64" i="66" s="1"/>
  <c r="W64" i="66"/>
  <c r="Y64" i="66" s="1"/>
  <c r="U104" i="74"/>
  <c r="Y25" i="74"/>
  <c r="U121" i="74"/>
  <c r="AA52" i="74"/>
  <c r="Z52" i="74"/>
  <c r="V256" i="66"/>
  <c r="R256" i="66"/>
  <c r="S256" i="66" s="1"/>
  <c r="U256" i="66" s="1"/>
  <c r="W256" i="66"/>
  <c r="Y256" i="66" s="1"/>
  <c r="U8" i="74"/>
  <c r="Z43" i="74"/>
  <c r="AA43" i="74"/>
  <c r="AA58" i="74"/>
  <c r="Z58" i="74"/>
  <c r="P58" i="74"/>
  <c r="AA28" i="74"/>
  <c r="Z28" i="74"/>
  <c r="P28" i="74"/>
  <c r="Y22" i="74"/>
  <c r="V238" i="66"/>
  <c r="R238" i="66"/>
  <c r="S238" i="66" s="1"/>
  <c r="U238" i="66" s="1"/>
  <c r="W238" i="66"/>
  <c r="Y238" i="66" s="1"/>
  <c r="Z76" i="74"/>
  <c r="AA76" i="74"/>
  <c r="P76" i="74"/>
  <c r="V145" i="66"/>
  <c r="R145" i="66"/>
  <c r="S145" i="66" s="1"/>
  <c r="U145" i="66" s="1"/>
  <c r="W145" i="66"/>
  <c r="Y145" i="66" s="1"/>
  <c r="U130" i="74"/>
  <c r="U11" i="74"/>
  <c r="V112" i="66"/>
  <c r="R112" i="66"/>
  <c r="S112" i="66" s="1"/>
  <c r="U112" i="66" s="1"/>
  <c r="W112" i="66"/>
  <c r="Y112" i="66" s="1"/>
  <c r="AD129" i="74"/>
  <c r="F34" i="77" s="1"/>
  <c r="D34" i="77"/>
  <c r="V23" i="66"/>
  <c r="R23" i="66"/>
  <c r="AD13" i="74"/>
  <c r="C35" i="77"/>
  <c r="C20" i="77"/>
  <c r="V16" i="66"/>
  <c r="R16" i="66"/>
  <c r="Z112" i="74"/>
  <c r="AA112" i="74"/>
  <c r="P112" i="74"/>
  <c r="U109" i="74"/>
  <c r="Y99" i="74"/>
  <c r="Y118" i="74"/>
  <c r="AD143" i="74"/>
  <c r="F33" i="77" s="1"/>
  <c r="D33" i="77"/>
  <c r="AA61" i="74"/>
  <c r="Z61" i="74"/>
  <c r="Y81" i="74"/>
  <c r="Y56" i="74"/>
  <c r="Z93" i="74"/>
  <c r="AA93" i="74"/>
  <c r="P93" i="74"/>
  <c r="V10" i="66"/>
  <c r="R10" i="66"/>
  <c r="U22" i="74"/>
  <c r="J485" i="58"/>
  <c r="M261" i="66"/>
  <c r="Z129" i="74"/>
  <c r="AA129" i="74"/>
  <c r="Z134" i="74"/>
  <c r="AA134" i="74"/>
  <c r="Y59" i="74"/>
  <c r="U51" i="74"/>
  <c r="U38" i="74"/>
  <c r="Z13" i="74"/>
  <c r="AA13" i="74"/>
  <c r="Y39" i="74"/>
  <c r="AD112" i="74"/>
  <c r="D6" i="77"/>
  <c r="Y62" i="74"/>
  <c r="U81" i="74"/>
  <c r="R94" i="66"/>
  <c r="S94" i="66" s="1"/>
  <c r="U94" i="66" s="1"/>
  <c r="V94" i="66"/>
  <c r="W94" i="66"/>
  <c r="Y94" i="66" s="1"/>
  <c r="U56" i="74"/>
  <c r="Y13" i="74"/>
  <c r="Y140" i="74"/>
  <c r="U73" i="74"/>
  <c r="Z64" i="74"/>
  <c r="AA64" i="74"/>
  <c r="P64" i="74"/>
  <c r="U59" i="74"/>
  <c r="R97" i="66"/>
  <c r="S97" i="66" s="1"/>
  <c r="U97" i="66" s="1"/>
  <c r="V97" i="66"/>
  <c r="W97" i="66"/>
  <c r="Y97" i="66" s="1"/>
  <c r="AA145" i="74"/>
  <c r="Z145" i="74"/>
  <c r="P145" i="74"/>
  <c r="U111" i="74"/>
  <c r="U82" i="74"/>
  <c r="U86" i="74"/>
  <c r="U62" i="74"/>
  <c r="AA100" i="74"/>
  <c r="Z100" i="74"/>
  <c r="Z45" i="74"/>
  <c r="AA45" i="74"/>
  <c r="P45" i="74"/>
  <c r="Y19" i="74"/>
  <c r="U13" i="74"/>
  <c r="U140" i="74"/>
  <c r="Y49" i="74"/>
  <c r="AD31" i="74"/>
  <c r="E27" i="77" s="1"/>
  <c r="C27" i="77"/>
  <c r="Y135" i="74"/>
  <c r="Y92" i="74"/>
  <c r="AA97" i="74"/>
  <c r="Z97" i="74"/>
  <c r="P97" i="74"/>
  <c r="V220" i="66"/>
  <c r="R220" i="66"/>
  <c r="S220" i="66" s="1"/>
  <c r="U220" i="66" s="1"/>
  <c r="W220" i="66"/>
  <c r="Y220" i="66" s="1"/>
  <c r="U44" i="74"/>
  <c r="Y136" i="74"/>
  <c r="AA81" i="74"/>
  <c r="Z81" i="74"/>
  <c r="AA143" i="74"/>
  <c r="Z143" i="74"/>
  <c r="Y67" i="74"/>
  <c r="AD100" i="74"/>
  <c r="F18" i="77" s="1"/>
  <c r="D18" i="77"/>
  <c r="U19" i="74"/>
  <c r="AA31" i="74"/>
  <c r="Z31" i="74"/>
  <c r="Y72" i="74"/>
  <c r="Y52" i="74"/>
  <c r="Z91" i="74"/>
  <c r="AA91" i="74"/>
  <c r="U136" i="74"/>
  <c r="AA12" i="74"/>
  <c r="Z12" i="74"/>
  <c r="P12" i="74"/>
  <c r="U123" i="74"/>
  <c r="Z23" i="74"/>
  <c r="AA23" i="74"/>
  <c r="P23" i="74"/>
  <c r="Z49" i="74"/>
  <c r="AA49" i="74"/>
  <c r="P49" i="74"/>
  <c r="AD16" i="74"/>
  <c r="C6" i="77"/>
  <c r="R58" i="66"/>
  <c r="S58" i="66" s="1"/>
  <c r="U58" i="66" s="1"/>
  <c r="V58" i="66"/>
  <c r="W58" i="66"/>
  <c r="Y58" i="66" s="1"/>
  <c r="Z33" i="74"/>
  <c r="AA33" i="74"/>
  <c r="R76" i="66"/>
  <c r="S76" i="66" s="1"/>
  <c r="U76" i="66" s="1"/>
  <c r="V76" i="66"/>
  <c r="W76" i="66"/>
  <c r="Y76" i="66" s="1"/>
  <c r="AA79" i="74"/>
  <c r="Z79" i="74"/>
  <c r="Y70" i="74"/>
  <c r="AA16" i="74"/>
  <c r="Z16" i="74"/>
  <c r="P16" i="74"/>
  <c r="V208" i="66"/>
  <c r="R208" i="66"/>
  <c r="S208" i="66" s="1"/>
  <c r="U208" i="66" s="1"/>
  <c r="W208" i="66"/>
  <c r="Y208" i="66" s="1"/>
  <c r="R167" i="66"/>
  <c r="V167" i="66"/>
  <c r="V12" i="66"/>
  <c r="R12" i="66"/>
  <c r="AA38" i="74"/>
  <c r="Z38" i="74"/>
  <c r="R28" i="66"/>
  <c r="V28" i="66"/>
  <c r="AA46" i="74"/>
  <c r="Z46" i="74"/>
  <c r="P46" i="74"/>
  <c r="AA47" i="74"/>
  <c r="Z47" i="74"/>
  <c r="AA127" i="74"/>
  <c r="Z127" i="74"/>
  <c r="Y5" i="74"/>
  <c r="Y75" i="74"/>
  <c r="U115" i="74"/>
  <c r="U29" i="74"/>
  <c r="U70" i="74"/>
  <c r="Y91" i="74"/>
  <c r="Y43" i="74"/>
  <c r="U27" i="74"/>
  <c r="V93" i="66"/>
  <c r="R93" i="66"/>
  <c r="S93" i="66" s="1"/>
  <c r="U93" i="66" s="1"/>
  <c r="W93" i="66"/>
  <c r="Y93" i="66" s="1"/>
  <c r="Y87" i="74"/>
  <c r="Y129" i="74"/>
  <c r="Y104" i="74"/>
  <c r="AD47" i="74"/>
  <c r="E33" i="77" s="1"/>
  <c r="C33" i="77"/>
  <c r="AD127" i="74"/>
  <c r="F27" i="77" s="1"/>
  <c r="D27" i="77"/>
  <c r="Y24" i="74"/>
  <c r="R49" i="66"/>
  <c r="V49" i="66"/>
  <c r="Y33" i="74"/>
  <c r="Y47" i="74"/>
  <c r="U63" i="74"/>
  <c r="AD4" i="74"/>
  <c r="E18" i="77" s="1"/>
  <c r="C18" i="77"/>
  <c r="Z60" i="74"/>
  <c r="AA60" i="74"/>
  <c r="P60" i="74"/>
  <c r="Y107" i="74"/>
  <c r="Y121" i="74"/>
  <c r="U75" i="74"/>
  <c r="U143" i="74"/>
  <c r="Y18" i="74"/>
  <c r="Y139" i="74"/>
  <c r="D202" i="72" a="1"/>
  <c r="D202" i="72" s="1"/>
  <c r="D264" i="72" a="1"/>
  <c r="D264" i="72" s="1"/>
  <c r="D140" i="72" a="1"/>
  <c r="D140" i="72" s="1"/>
  <c r="V268" i="66" l="1"/>
  <c r="G19" i="39"/>
  <c r="O119" i="66"/>
  <c r="R252" i="66"/>
  <c r="S252" i="66" s="1"/>
  <c r="U252" i="66" s="1"/>
  <c r="T119" i="66"/>
  <c r="X119" i="66"/>
  <c r="Q119" i="66"/>
  <c r="W268" i="66"/>
  <c r="Y268" i="66" s="1"/>
  <c r="Z108" i="74"/>
  <c r="R106" i="66"/>
  <c r="S106" i="66" s="1"/>
  <c r="U106" i="66" s="1"/>
  <c r="W106" i="66"/>
  <c r="Y106" i="66" s="1"/>
  <c r="P106" i="74"/>
  <c r="Z106" i="74"/>
  <c r="V10" i="74"/>
  <c r="P108" i="74"/>
  <c r="J485" i="41"/>
  <c r="P213" i="66"/>
  <c r="W213" i="66" s="1"/>
  <c r="Y213" i="66" s="1"/>
  <c r="P285" i="66"/>
  <c r="V285" i="66" s="1"/>
  <c r="P165" i="66"/>
  <c r="R165" i="66" s="1"/>
  <c r="V108" i="66"/>
  <c r="W108" i="66"/>
  <c r="Y108" i="66" s="1"/>
  <c r="O141" i="74"/>
  <c r="AC141" i="74"/>
  <c r="AD141" i="74" s="1"/>
  <c r="Q141" i="74"/>
  <c r="X141" i="74"/>
  <c r="T141" i="74"/>
  <c r="AA285" i="66"/>
  <c r="AA141" i="66"/>
  <c r="Z141" i="66"/>
  <c r="P141" i="66"/>
  <c r="Z285" i="66"/>
  <c r="D228" i="72" a="1"/>
  <c r="D228" i="72" s="1"/>
  <c r="D229" i="72" s="1" a="1"/>
  <c r="D229" i="72" s="1"/>
  <c r="D230" i="72" s="1" a="1"/>
  <c r="D230" i="72" s="1"/>
  <c r="E47" i="17" a="1"/>
  <c r="E47" i="17" s="1"/>
  <c r="E46" i="17"/>
  <c r="K17" i="39"/>
  <c r="Z94" i="74"/>
  <c r="AA94" i="74"/>
  <c r="J244" i="18"/>
  <c r="F244" i="18"/>
  <c r="I444" i="18"/>
  <c r="H444" i="18"/>
  <c r="I438" i="18"/>
  <c r="H438" i="18"/>
  <c r="I185" i="18"/>
  <c r="H185" i="18"/>
  <c r="I193" i="18"/>
  <c r="H193" i="18"/>
  <c r="V128" i="66"/>
  <c r="R128" i="66"/>
  <c r="S128" i="66" s="1"/>
  <c r="U128" i="66" s="1"/>
  <c r="W128" i="66"/>
  <c r="Y128" i="66" s="1"/>
  <c r="H112" i="35" a="1"/>
  <c r="H112" i="35" s="1"/>
  <c r="G359" i="18" a="1"/>
  <c r="G359" i="18" s="1"/>
  <c r="H113" i="35" a="1"/>
  <c r="H113" i="35" s="1"/>
  <c r="H108" i="35" a="1"/>
  <c r="H108" i="35" s="1"/>
  <c r="G358" i="18" a="1"/>
  <c r="G358" i="18" s="1"/>
  <c r="G363" i="18" a="1"/>
  <c r="G363" i="18" s="1"/>
  <c r="H103" i="35" a="1"/>
  <c r="H103" i="35" s="1"/>
  <c r="H111" i="35" a="1"/>
  <c r="H111" i="35" s="1"/>
  <c r="G353" i="18" a="1"/>
  <c r="G353" i="18" s="1"/>
  <c r="G355" i="18" a="1"/>
  <c r="G355" i="18" s="1"/>
  <c r="H105" i="35" a="1"/>
  <c r="H105" i="35" s="1"/>
  <c r="H109" i="35" a="1"/>
  <c r="H109" i="35" s="1"/>
  <c r="G356" i="18" a="1"/>
  <c r="G356" i="18" s="1"/>
  <c r="G364" i="18" a="1"/>
  <c r="G364" i="18" s="1"/>
  <c r="G361" i="18" a="1"/>
  <c r="G361" i="18" s="1"/>
  <c r="H101" i="35" a="1"/>
  <c r="H101" i="35" s="1"/>
  <c r="G362" i="18" a="1"/>
  <c r="G362" i="18" s="1"/>
  <c r="G360" i="18" a="1"/>
  <c r="G360" i="18" s="1"/>
  <c r="H114" i="35" a="1"/>
  <c r="H114" i="35" s="1"/>
  <c r="H110" i="35" a="1"/>
  <c r="H110" i="35" s="1"/>
  <c r="G365" i="18" a="1"/>
  <c r="G365" i="18" s="1"/>
  <c r="H106" i="35" a="1"/>
  <c r="H106" i="35" s="1"/>
  <c r="G357" i="18" a="1"/>
  <c r="G357" i="18" s="1"/>
  <c r="H107" i="35" a="1"/>
  <c r="H107" i="35" s="1"/>
  <c r="G354" i="18" a="1"/>
  <c r="G354" i="18" s="1"/>
  <c r="H102" i="35" a="1"/>
  <c r="H102" i="35" s="1"/>
  <c r="G352" i="18" a="1"/>
  <c r="G352" i="18" s="1"/>
  <c r="G47" i="20"/>
  <c r="H104" i="35" a="1"/>
  <c r="H104" i="35" s="1"/>
  <c r="I480" i="18"/>
  <c r="H480" i="18"/>
  <c r="I411" i="18"/>
  <c r="H411" i="18"/>
  <c r="I418" i="18"/>
  <c r="H418" i="18"/>
  <c r="I413" i="18"/>
  <c r="H413" i="18"/>
  <c r="AA142" i="66"/>
  <c r="AA286" i="66"/>
  <c r="Z286" i="66"/>
  <c r="Z142" i="66"/>
  <c r="P142" i="66"/>
  <c r="J245" i="18"/>
  <c r="F245" i="18"/>
  <c r="H156" i="18"/>
  <c r="I156" i="18"/>
  <c r="S21" i="74"/>
  <c r="U21" i="74" s="1"/>
  <c r="O21" i="74"/>
  <c r="AC21" i="74"/>
  <c r="AD21" i="74" s="1"/>
  <c r="Q21" i="74"/>
  <c r="W21" i="74" s="1"/>
  <c r="Y21" i="74" s="1"/>
  <c r="J251" i="18"/>
  <c r="F251" i="18"/>
  <c r="I115" i="18"/>
  <c r="H115" i="18"/>
  <c r="I373" i="18"/>
  <c r="H373" i="18"/>
  <c r="Z11" i="74"/>
  <c r="AA11" i="74"/>
  <c r="J204" i="18"/>
  <c r="F204" i="18"/>
  <c r="I192" i="18"/>
  <c r="H192" i="18"/>
  <c r="J493" i="18"/>
  <c r="F493" i="18"/>
  <c r="I234" i="18"/>
  <c r="H234" i="18"/>
  <c r="J206" i="18"/>
  <c r="F206" i="18"/>
  <c r="F209" i="18"/>
  <c r="J209" i="18"/>
  <c r="I485" i="18"/>
  <c r="H485" i="18"/>
  <c r="I490" i="18"/>
  <c r="H490" i="18"/>
  <c r="I412" i="18"/>
  <c r="H412" i="18"/>
  <c r="T142" i="74"/>
  <c r="Q142" i="74"/>
  <c r="X142" i="74"/>
  <c r="O142" i="74"/>
  <c r="AC142" i="74"/>
  <c r="I165" i="18"/>
  <c r="H165" i="18"/>
  <c r="I126" i="18"/>
  <c r="H126" i="18"/>
  <c r="I471" i="58"/>
  <c r="K201" i="66"/>
  <c r="H367" i="18"/>
  <c r="I367" i="18"/>
  <c r="R80" i="74"/>
  <c r="S80" i="74" s="1"/>
  <c r="U80" i="74" s="1"/>
  <c r="W80" i="74"/>
  <c r="Y80" i="74" s="1"/>
  <c r="V80" i="74"/>
  <c r="I443" i="18"/>
  <c r="H443" i="18"/>
  <c r="I448" i="18"/>
  <c r="H448" i="18"/>
  <c r="I186" i="18"/>
  <c r="H186" i="18"/>
  <c r="I187" i="18"/>
  <c r="H187" i="18"/>
  <c r="D12" i="72" a="1"/>
  <c r="D12" i="72" s="1"/>
  <c r="F452" i="18"/>
  <c r="J452" i="18"/>
  <c r="D289" i="72" a="1"/>
  <c r="D289" i="72" s="1"/>
  <c r="I487" i="18"/>
  <c r="H487" i="18"/>
  <c r="I481" i="18"/>
  <c r="H481" i="18"/>
  <c r="I410" i="18"/>
  <c r="H410" i="18"/>
  <c r="I419" i="18"/>
  <c r="H419" i="18"/>
  <c r="J246" i="18"/>
  <c r="F246" i="18"/>
  <c r="I161" i="18"/>
  <c r="H161" i="18"/>
  <c r="AD118" i="74"/>
  <c r="I114" i="18"/>
  <c r="H114" i="18"/>
  <c r="I379" i="18"/>
  <c r="H379" i="18"/>
  <c r="J243" i="18"/>
  <c r="F243" i="18"/>
  <c r="F497" i="18"/>
  <c r="J497" i="18"/>
  <c r="J500" i="18"/>
  <c r="F500" i="18"/>
  <c r="Z215" i="66"/>
  <c r="Z71" i="66"/>
  <c r="P71" i="66"/>
  <c r="P215" i="66"/>
  <c r="AA71" i="66"/>
  <c r="AA215" i="66"/>
  <c r="P144" i="74"/>
  <c r="AA144" i="74"/>
  <c r="Z144" i="74"/>
  <c r="J199" i="18"/>
  <c r="F199" i="18"/>
  <c r="H194" i="18"/>
  <c r="I194" i="18"/>
  <c r="Z69" i="66"/>
  <c r="AA213" i="66"/>
  <c r="Z213" i="66"/>
  <c r="AA69" i="66"/>
  <c r="P69" i="66"/>
  <c r="I228" i="18"/>
  <c r="H228" i="18"/>
  <c r="F207" i="18"/>
  <c r="J207" i="18"/>
  <c r="P263" i="66"/>
  <c r="Z119" i="66"/>
  <c r="AA263" i="66"/>
  <c r="Z263" i="66"/>
  <c r="AA119" i="66"/>
  <c r="P119" i="66"/>
  <c r="I491" i="18"/>
  <c r="H491" i="18"/>
  <c r="H421" i="18"/>
  <c r="I421" i="18"/>
  <c r="H163" i="18"/>
  <c r="I163" i="18"/>
  <c r="F198" i="18"/>
  <c r="J198" i="18"/>
  <c r="AA118" i="74"/>
  <c r="Z118" i="74"/>
  <c r="I121" i="18"/>
  <c r="H121" i="18"/>
  <c r="X71" i="74"/>
  <c r="T71" i="74"/>
  <c r="Q71" i="74"/>
  <c r="AC71" i="74"/>
  <c r="AD71" i="74" s="1"/>
  <c r="O71" i="74"/>
  <c r="J247" i="18"/>
  <c r="F247" i="18"/>
  <c r="O261" i="66"/>
  <c r="Q261" i="66"/>
  <c r="I446" i="18"/>
  <c r="H446" i="18"/>
  <c r="I191" i="18"/>
  <c r="H191" i="18"/>
  <c r="AA18" i="74"/>
  <c r="Z18" i="74"/>
  <c r="O69" i="74"/>
  <c r="AC69" i="74"/>
  <c r="AD69" i="74" s="1"/>
  <c r="Q69" i="74"/>
  <c r="H237" i="18"/>
  <c r="I237" i="18"/>
  <c r="V48" i="74"/>
  <c r="R48" i="74"/>
  <c r="I483" i="18"/>
  <c r="H483" i="18"/>
  <c r="F504" i="18"/>
  <c r="J504" i="18"/>
  <c r="I168" i="18"/>
  <c r="H168" i="18"/>
  <c r="I119" i="18"/>
  <c r="H119" i="18"/>
  <c r="H366" i="18"/>
  <c r="I366" i="18"/>
  <c r="I376" i="18"/>
  <c r="H376" i="18"/>
  <c r="Z125" i="74"/>
  <c r="AA125" i="74"/>
  <c r="D73" i="72" a="1"/>
  <c r="D73" i="72" s="1"/>
  <c r="I445" i="18"/>
  <c r="H445" i="18"/>
  <c r="I437" i="18"/>
  <c r="H437" i="18"/>
  <c r="F458" i="18"/>
  <c r="J458" i="18"/>
  <c r="I197" i="18"/>
  <c r="H197" i="18"/>
  <c r="R288" i="66"/>
  <c r="S288" i="66" s="1"/>
  <c r="U288" i="66" s="1"/>
  <c r="V288" i="66"/>
  <c r="W288" i="66"/>
  <c r="Y288" i="66" s="1"/>
  <c r="F211" i="18"/>
  <c r="J211" i="18"/>
  <c r="F455" i="18"/>
  <c r="J455" i="18"/>
  <c r="H236" i="18"/>
  <c r="I236" i="18"/>
  <c r="H230" i="18"/>
  <c r="I230" i="18"/>
  <c r="I489" i="18"/>
  <c r="H489" i="18"/>
  <c r="F450" i="18"/>
  <c r="J450" i="18"/>
  <c r="F208" i="18"/>
  <c r="J208" i="18"/>
  <c r="I408" i="18"/>
  <c r="H408" i="18"/>
  <c r="I169" i="18"/>
  <c r="H169" i="18"/>
  <c r="I160" i="18"/>
  <c r="H160" i="18"/>
  <c r="H27" i="35" a="1"/>
  <c r="H27" i="35" s="1"/>
  <c r="G103" i="18" a="1"/>
  <c r="G103" i="18" s="1"/>
  <c r="H24" i="35" a="1"/>
  <c r="H24" i="35" s="1"/>
  <c r="H21" i="35" a="1"/>
  <c r="H21" i="35" s="1"/>
  <c r="G110" i="18" a="1"/>
  <c r="G110" i="18" s="1"/>
  <c r="H28" i="35" a="1"/>
  <c r="H28" i="35" s="1"/>
  <c r="G105" i="18" a="1"/>
  <c r="G105" i="18" s="1"/>
  <c r="G101" i="18" a="1"/>
  <c r="G101" i="18" s="1"/>
  <c r="H20" i="35" a="1"/>
  <c r="H20" i="35" s="1"/>
  <c r="G106" i="18" a="1"/>
  <c r="G106" i="18" s="1"/>
  <c r="H19" i="35" a="1"/>
  <c r="H19" i="35" s="1"/>
  <c r="G113" i="18" a="1"/>
  <c r="G113" i="18" s="1"/>
  <c r="H25" i="35" a="1"/>
  <c r="H25" i="35" s="1"/>
  <c r="G20" i="20"/>
  <c r="H30" i="35" a="1"/>
  <c r="H30" i="35" s="1"/>
  <c r="G102" i="18" a="1"/>
  <c r="G102" i="18" s="1"/>
  <c r="H26" i="35" a="1"/>
  <c r="H26" i="35" s="1"/>
  <c r="H23" i="35" a="1"/>
  <c r="H23" i="35" s="1"/>
  <c r="G107" i="18" a="1"/>
  <c r="G107" i="18" s="1"/>
  <c r="H29" i="35" a="1"/>
  <c r="H29" i="35" s="1"/>
  <c r="G108" i="18" a="1"/>
  <c r="G108" i="18" s="1"/>
  <c r="H22" i="35" a="1"/>
  <c r="H22" i="35" s="1"/>
  <c r="H17" i="35" a="1"/>
  <c r="H17" i="35" s="1"/>
  <c r="G100" i="18" a="1"/>
  <c r="G100" i="18" s="1"/>
  <c r="G109" i="18" a="1"/>
  <c r="G109" i="18" s="1"/>
  <c r="H18" i="35" a="1"/>
  <c r="H18" i="35" s="1"/>
  <c r="G112" i="18" a="1"/>
  <c r="G112" i="18" s="1"/>
  <c r="G104" i="18" a="1"/>
  <c r="G104" i="18" s="1"/>
  <c r="G111" i="18" a="1"/>
  <c r="G111" i="18" s="1"/>
  <c r="D55" i="17"/>
  <c r="D56" i="17"/>
  <c r="J503" i="18"/>
  <c r="F503" i="18"/>
  <c r="H117" i="18"/>
  <c r="I117" i="18"/>
  <c r="F492" i="18"/>
  <c r="J492" i="18"/>
  <c r="E32" i="39"/>
  <c r="E33" i="39" s="1"/>
  <c r="E29" i="39"/>
  <c r="E30" i="39" s="1"/>
  <c r="F253" i="18"/>
  <c r="J253" i="18"/>
  <c r="F459" i="18"/>
  <c r="J459" i="18"/>
  <c r="J496" i="18"/>
  <c r="F496" i="18"/>
  <c r="I45" i="20"/>
  <c r="R37" i="20"/>
  <c r="R10" i="20"/>
  <c r="I11" i="20"/>
  <c r="R18" i="20"/>
  <c r="R42" i="20"/>
  <c r="I35" i="20"/>
  <c r="I7" i="20"/>
  <c r="R9" i="20"/>
  <c r="I8" i="20"/>
  <c r="I33" i="20"/>
  <c r="R33" i="20"/>
  <c r="I46" i="20"/>
  <c r="I40" i="20"/>
  <c r="I38" i="20"/>
  <c r="I14" i="20"/>
  <c r="R19" i="20"/>
  <c r="I42" i="20"/>
  <c r="R15" i="20"/>
  <c r="R16" i="20"/>
  <c r="R46" i="20"/>
  <c r="R41" i="20"/>
  <c r="R35" i="20"/>
  <c r="R11" i="20"/>
  <c r="I34" i="20"/>
  <c r="R6" i="20"/>
  <c r="R8" i="20"/>
  <c r="R44" i="20"/>
  <c r="I16" i="20"/>
  <c r="R12" i="20"/>
  <c r="R39" i="20"/>
  <c r="R45" i="20"/>
  <c r="I19" i="20"/>
  <c r="I12" i="20"/>
  <c r="I18" i="20"/>
  <c r="I36" i="20"/>
  <c r="I39" i="20"/>
  <c r="I15" i="20"/>
  <c r="I6" i="20"/>
  <c r="I17" i="20"/>
  <c r="R36" i="20"/>
  <c r="R13" i="20"/>
  <c r="I41" i="20"/>
  <c r="R7" i="20"/>
  <c r="I9" i="20"/>
  <c r="R43" i="20"/>
  <c r="R34" i="20"/>
  <c r="I43" i="20"/>
  <c r="I13" i="20"/>
  <c r="R17" i="20"/>
  <c r="I10" i="20"/>
  <c r="R14" i="20"/>
  <c r="I44" i="20"/>
  <c r="R40" i="20"/>
  <c r="I37" i="20"/>
  <c r="R38" i="20"/>
  <c r="E178" i="38"/>
  <c r="I189" i="18"/>
  <c r="H189" i="18"/>
  <c r="Z140" i="74"/>
  <c r="AA140" i="74"/>
  <c r="I486" i="18"/>
  <c r="H486" i="18"/>
  <c r="I488" i="18"/>
  <c r="H488" i="18"/>
  <c r="I409" i="18"/>
  <c r="H409" i="18"/>
  <c r="O114" i="66"/>
  <c r="G114" i="74"/>
  <c r="H159" i="18"/>
  <c r="I159" i="18"/>
  <c r="I158" i="18"/>
  <c r="H158" i="18"/>
  <c r="F202" i="18"/>
  <c r="J202" i="18"/>
  <c r="R32" i="74"/>
  <c r="V32" i="74"/>
  <c r="I122" i="18"/>
  <c r="H122" i="18"/>
  <c r="I368" i="18"/>
  <c r="H368" i="18"/>
  <c r="I378" i="18"/>
  <c r="H378" i="18"/>
  <c r="G105" i="74"/>
  <c r="J203" i="18"/>
  <c r="F203" i="18"/>
  <c r="AB5" i="39"/>
  <c r="K25" i="39"/>
  <c r="D31" i="39"/>
  <c r="K28" i="39"/>
  <c r="K20" i="39"/>
  <c r="K19" i="39"/>
  <c r="K18" i="39"/>
  <c r="K21" i="39"/>
  <c r="K23" i="39"/>
  <c r="K22" i="39"/>
  <c r="K26" i="39"/>
  <c r="K24" i="39"/>
  <c r="K27" i="39"/>
  <c r="K13" i="39"/>
  <c r="K15" i="39"/>
  <c r="AB6" i="39"/>
  <c r="K14" i="39"/>
  <c r="K16" i="39"/>
  <c r="K12" i="39"/>
  <c r="J498" i="18"/>
  <c r="F498" i="18"/>
  <c r="D46" i="17"/>
  <c r="D47" i="17" a="1"/>
  <c r="D47" i="17" s="1"/>
  <c r="I436" i="18"/>
  <c r="H436" i="18"/>
  <c r="I449" i="18"/>
  <c r="H449" i="18"/>
  <c r="I441" i="18"/>
  <c r="H441" i="18"/>
  <c r="F456" i="18"/>
  <c r="J456" i="18"/>
  <c r="I190" i="18"/>
  <c r="H190" i="18"/>
  <c r="J249" i="18"/>
  <c r="F249" i="18"/>
  <c r="H229" i="18"/>
  <c r="I229" i="18"/>
  <c r="H235" i="18"/>
  <c r="I235" i="18"/>
  <c r="I233" i="18"/>
  <c r="H233" i="18"/>
  <c r="N117" i="74"/>
  <c r="G25" i="39"/>
  <c r="F499" i="18"/>
  <c r="J499" i="18"/>
  <c r="P286" i="66"/>
  <c r="T119" i="74"/>
  <c r="X119" i="74"/>
  <c r="Q119" i="74"/>
  <c r="AC119" i="74"/>
  <c r="AD119" i="74" s="1"/>
  <c r="O119" i="74"/>
  <c r="F463" i="18"/>
  <c r="J463" i="18"/>
  <c r="F205" i="18"/>
  <c r="J205" i="18"/>
  <c r="H415" i="18"/>
  <c r="I415" i="18"/>
  <c r="I157" i="18"/>
  <c r="H157" i="18"/>
  <c r="F461" i="18"/>
  <c r="J461" i="18"/>
  <c r="I123" i="18"/>
  <c r="H123" i="18"/>
  <c r="I369" i="18"/>
  <c r="H369" i="18"/>
  <c r="I372" i="18"/>
  <c r="H372" i="18"/>
  <c r="F453" i="18"/>
  <c r="J453" i="18"/>
  <c r="E127" i="38"/>
  <c r="F460" i="18"/>
  <c r="J460" i="18"/>
  <c r="F501" i="18"/>
  <c r="J501" i="18"/>
  <c r="AC59" i="74"/>
  <c r="AD59" i="74" s="1"/>
  <c r="O59" i="74"/>
  <c r="H447" i="18"/>
  <c r="I447" i="18"/>
  <c r="F502" i="18"/>
  <c r="J502" i="18"/>
  <c r="I196" i="18"/>
  <c r="H196" i="18"/>
  <c r="F451" i="18"/>
  <c r="J451" i="18"/>
  <c r="M117" i="74"/>
  <c r="O117" i="66"/>
  <c r="Q117" i="66"/>
  <c r="I226" i="18"/>
  <c r="H226" i="18"/>
  <c r="H232" i="18"/>
  <c r="I232" i="18"/>
  <c r="AD128" i="74"/>
  <c r="F28" i="77" s="1"/>
  <c r="D28" i="77"/>
  <c r="D9" i="77"/>
  <c r="H152" i="35" a="1"/>
  <c r="H152" i="35" s="1"/>
  <c r="G397" i="18" a="1"/>
  <c r="G397" i="18" s="1"/>
  <c r="P47" i="20"/>
  <c r="H148" i="35" a="1"/>
  <c r="H148" i="35" s="1"/>
  <c r="G403" i="18" a="1"/>
  <c r="G403" i="18" s="1"/>
  <c r="H151" i="35" a="1"/>
  <c r="H151" i="35" s="1"/>
  <c r="H144" i="35" a="1"/>
  <c r="H144" i="35" s="1"/>
  <c r="G396" i="18" a="1"/>
  <c r="G396" i="18" s="1"/>
  <c r="H145" i="35" a="1"/>
  <c r="H145" i="35" s="1"/>
  <c r="H143" i="35" a="1"/>
  <c r="H143" i="35" s="1"/>
  <c r="G398" i="18" a="1"/>
  <c r="G398" i="18" s="1"/>
  <c r="H147" i="35" a="1"/>
  <c r="H147" i="35" s="1"/>
  <c r="G406" i="18" a="1"/>
  <c r="G406" i="18" s="1"/>
  <c r="G394" i="18" a="1"/>
  <c r="G394" i="18" s="1"/>
  <c r="H155" i="35" a="1"/>
  <c r="H155" i="35" s="1"/>
  <c r="G404" i="18" a="1"/>
  <c r="G404" i="18" s="1"/>
  <c r="G399" i="18" a="1"/>
  <c r="G399" i="18" s="1"/>
  <c r="H154" i="35" a="1"/>
  <c r="H154" i="35" s="1"/>
  <c r="G405" i="18" a="1"/>
  <c r="G405" i="18" s="1"/>
  <c r="H149" i="35" a="1"/>
  <c r="H149" i="35" s="1"/>
  <c r="G395" i="18" a="1"/>
  <c r="G395" i="18" s="1"/>
  <c r="H150" i="35" a="1"/>
  <c r="H150" i="35" s="1"/>
  <c r="G400" i="18" a="1"/>
  <c r="G400" i="18" s="1"/>
  <c r="H146" i="35" a="1"/>
  <c r="H146" i="35" s="1"/>
  <c r="G402" i="18" a="1"/>
  <c r="G402" i="18" s="1"/>
  <c r="H153" i="35" a="1"/>
  <c r="H153" i="35" s="1"/>
  <c r="G407" i="18" a="1"/>
  <c r="G407" i="18" s="1"/>
  <c r="H156" i="35" a="1"/>
  <c r="H156" i="35" s="1"/>
  <c r="G401" i="18" a="1"/>
  <c r="G401" i="18" s="1"/>
  <c r="I478" i="18"/>
  <c r="H478" i="18"/>
  <c r="F494" i="18"/>
  <c r="J494" i="18"/>
  <c r="I167" i="18"/>
  <c r="H167" i="18"/>
  <c r="I162" i="18"/>
  <c r="H162" i="18"/>
  <c r="D26" i="17"/>
  <c r="D24" i="17"/>
  <c r="D28" i="17" s="1"/>
  <c r="N10" i="9"/>
  <c r="U6" i="9"/>
  <c r="I125" i="18"/>
  <c r="H125" i="18"/>
  <c r="I370" i="18"/>
  <c r="H370" i="18"/>
  <c r="D105" i="72" a="1"/>
  <c r="D105" i="72" s="1"/>
  <c r="AA59" i="66"/>
  <c r="Z59" i="66"/>
  <c r="Z203" i="66"/>
  <c r="AA203" i="66"/>
  <c r="J250" i="18"/>
  <c r="F250" i="18"/>
  <c r="I195" i="18"/>
  <c r="H195" i="18"/>
  <c r="F200" i="18"/>
  <c r="J200" i="18"/>
  <c r="O66" i="74"/>
  <c r="AC66" i="74"/>
  <c r="AD66" i="74" s="1"/>
  <c r="I231" i="18"/>
  <c r="H231" i="18"/>
  <c r="I227" i="18"/>
  <c r="H227" i="18"/>
  <c r="Z128" i="74"/>
  <c r="AA128" i="74"/>
  <c r="P128" i="74"/>
  <c r="J201" i="18"/>
  <c r="F201" i="18"/>
  <c r="H479" i="18"/>
  <c r="I479" i="18"/>
  <c r="F457" i="18"/>
  <c r="J457" i="18"/>
  <c r="I420" i="18"/>
  <c r="H420" i="18"/>
  <c r="I166" i="18"/>
  <c r="H166" i="18"/>
  <c r="P21" i="66"/>
  <c r="AA165" i="66"/>
  <c r="AA21" i="66"/>
  <c r="Z21" i="66"/>
  <c r="Z165" i="66"/>
  <c r="D167" i="72" a="1"/>
  <c r="D167" i="72" s="1"/>
  <c r="I127" i="18"/>
  <c r="H127" i="18"/>
  <c r="I124" i="18"/>
  <c r="H124" i="18"/>
  <c r="I371" i="18"/>
  <c r="H371" i="18"/>
  <c r="D44" i="72" a="1"/>
  <c r="D44" i="72" s="1"/>
  <c r="I471" i="37"/>
  <c r="K57" i="66"/>
  <c r="J252" i="18"/>
  <c r="F252" i="18"/>
  <c r="F240" i="18"/>
  <c r="J240" i="18"/>
  <c r="I442" i="18"/>
  <c r="H442" i="18"/>
  <c r="I439" i="18"/>
  <c r="H439" i="18"/>
  <c r="I440" i="18"/>
  <c r="H440" i="18"/>
  <c r="I184" i="18"/>
  <c r="H184" i="18"/>
  <c r="J454" i="18"/>
  <c r="F454" i="18"/>
  <c r="F495" i="18"/>
  <c r="J495" i="18"/>
  <c r="Z210" i="66"/>
  <c r="Z66" i="66"/>
  <c r="AA66" i="66"/>
  <c r="AA210" i="66"/>
  <c r="S153" i="66"/>
  <c r="X153" i="66"/>
  <c r="K9" i="74"/>
  <c r="Q153" i="66"/>
  <c r="W153" i="66" s="1"/>
  <c r="T153" i="66"/>
  <c r="O153" i="66"/>
  <c r="J29" i="39"/>
  <c r="F505" i="18"/>
  <c r="J505" i="18"/>
  <c r="I414" i="18"/>
  <c r="H414" i="18"/>
  <c r="I164" i="18"/>
  <c r="H164" i="18"/>
  <c r="P20" i="20"/>
  <c r="H65" i="35" a="1"/>
  <c r="H65" i="35" s="1"/>
  <c r="G143" i="18" a="1"/>
  <c r="G143" i="18" s="1"/>
  <c r="H61" i="35" a="1"/>
  <c r="H61" i="35" s="1"/>
  <c r="H60" i="35" a="1"/>
  <c r="H60" i="35" s="1"/>
  <c r="G145" i="18" a="1"/>
  <c r="G145" i="18" s="1"/>
  <c r="H69" i="35" a="1"/>
  <c r="H69" i="35" s="1"/>
  <c r="H70" i="35" a="1"/>
  <c r="H70" i="35" s="1"/>
  <c r="G154" i="18" a="1"/>
  <c r="G154" i="18" s="1"/>
  <c r="H67" i="35" a="1"/>
  <c r="H67" i="35" s="1"/>
  <c r="G147" i="18" a="1"/>
  <c r="G147" i="18" s="1"/>
  <c r="G153" i="18" a="1"/>
  <c r="G153" i="18" s="1"/>
  <c r="H63" i="35" a="1"/>
  <c r="H63" i="35" s="1"/>
  <c r="G144" i="18" a="1"/>
  <c r="G144" i="18" s="1"/>
  <c r="G150" i="18" a="1"/>
  <c r="G150" i="18" s="1"/>
  <c r="H66" i="35" a="1"/>
  <c r="H66" i="35" s="1"/>
  <c r="G148" i="18" a="1"/>
  <c r="G148" i="18" s="1"/>
  <c r="H62" i="35" a="1"/>
  <c r="H62" i="35" s="1"/>
  <c r="G152" i="18" a="1"/>
  <c r="G152" i="18" s="1"/>
  <c r="H59" i="35" a="1"/>
  <c r="H59" i="35" s="1"/>
  <c r="G146" i="18" a="1"/>
  <c r="G146" i="18" s="1"/>
  <c r="H72" i="35" a="1"/>
  <c r="H72" i="35" s="1"/>
  <c r="G142" i="18" a="1"/>
  <c r="G142" i="18" s="1"/>
  <c r="H68" i="35" a="1"/>
  <c r="H68" i="35" s="1"/>
  <c r="G149" i="18" a="1"/>
  <c r="G149" i="18" s="1"/>
  <c r="H64" i="35" a="1"/>
  <c r="H64" i="35" s="1"/>
  <c r="G155" i="18" a="1"/>
  <c r="G155" i="18" s="1"/>
  <c r="H71" i="35" a="1"/>
  <c r="H71" i="35" s="1"/>
  <c r="G151" i="18" a="1"/>
  <c r="G151" i="18" s="1"/>
  <c r="J242" i="18"/>
  <c r="F242" i="18"/>
  <c r="H116" i="18"/>
  <c r="I116" i="18"/>
  <c r="I375" i="18"/>
  <c r="H375" i="18"/>
  <c r="I374" i="18"/>
  <c r="H374" i="18"/>
  <c r="I377" i="18"/>
  <c r="H377" i="18"/>
  <c r="F462" i="18"/>
  <c r="J462" i="18"/>
  <c r="V144" i="66"/>
  <c r="R144" i="66"/>
  <c r="S144" i="66" s="1"/>
  <c r="U144" i="66" s="1"/>
  <c r="W144" i="66"/>
  <c r="Y144" i="66" s="1"/>
  <c r="R96" i="74"/>
  <c r="S96" i="74" s="1"/>
  <c r="U96" i="74" s="1"/>
  <c r="V96" i="74"/>
  <c r="W96" i="74"/>
  <c r="Y96" i="74" s="1"/>
  <c r="I188" i="18"/>
  <c r="H188" i="18"/>
  <c r="I238" i="18"/>
  <c r="H238" i="18"/>
  <c r="I239" i="18"/>
  <c r="H239" i="18"/>
  <c r="H471" i="41"/>
  <c r="J210" i="18"/>
  <c r="F210" i="18"/>
  <c r="I484" i="18"/>
  <c r="H484" i="18"/>
  <c r="I482" i="18"/>
  <c r="H482" i="18"/>
  <c r="I417" i="18"/>
  <c r="H417" i="18"/>
  <c r="I416" i="18"/>
  <c r="H416" i="18"/>
  <c r="I120" i="18"/>
  <c r="H120" i="18"/>
  <c r="I118" i="18"/>
  <c r="H118" i="18"/>
  <c r="F248" i="18"/>
  <c r="J248" i="18"/>
  <c r="J241" i="18"/>
  <c r="F241" i="18"/>
  <c r="O107" i="66"/>
  <c r="G107" i="74"/>
  <c r="R23" i="74"/>
  <c r="V23" i="74"/>
  <c r="F35" i="77"/>
  <c r="F20" i="77"/>
  <c r="V16" i="74"/>
  <c r="R16" i="74"/>
  <c r="V94" i="74"/>
  <c r="R94" i="74"/>
  <c r="S94" i="74" s="1"/>
  <c r="U94" i="74" s="1"/>
  <c r="W94" i="74"/>
  <c r="Y94" i="74" s="1"/>
  <c r="V76" i="74"/>
  <c r="R76" i="74"/>
  <c r="S76" i="74" s="1"/>
  <c r="U76" i="74" s="1"/>
  <c r="W76" i="74"/>
  <c r="Y76" i="74" s="1"/>
  <c r="V124" i="74"/>
  <c r="R124" i="74"/>
  <c r="S124" i="74" s="1"/>
  <c r="U124" i="74" s="1"/>
  <c r="W124" i="74"/>
  <c r="Y124" i="74" s="1"/>
  <c r="E35" i="77"/>
  <c r="E20" i="77"/>
  <c r="R49" i="74"/>
  <c r="V49" i="74"/>
  <c r="V97" i="74"/>
  <c r="R97" i="74"/>
  <c r="S97" i="74" s="1"/>
  <c r="U97" i="74" s="1"/>
  <c r="W97" i="74"/>
  <c r="Y97" i="74" s="1"/>
  <c r="V64" i="74"/>
  <c r="R64" i="74"/>
  <c r="S64" i="74" s="1"/>
  <c r="U64" i="74" s="1"/>
  <c r="W64" i="74"/>
  <c r="Y64" i="74" s="1"/>
  <c r="V28" i="74"/>
  <c r="R28" i="74"/>
  <c r="W60" i="74"/>
  <c r="Y60" i="74" s="1"/>
  <c r="R60" i="74"/>
  <c r="S60" i="74" s="1"/>
  <c r="U60" i="74" s="1"/>
  <c r="V60" i="74"/>
  <c r="R45" i="74"/>
  <c r="V45" i="74"/>
  <c r="R58" i="74"/>
  <c r="S58" i="74" s="1"/>
  <c r="U58" i="74" s="1"/>
  <c r="W58" i="74"/>
  <c r="Y58" i="74" s="1"/>
  <c r="V58" i="74"/>
  <c r="R112" i="74"/>
  <c r="S112" i="74" s="1"/>
  <c r="U112" i="74" s="1"/>
  <c r="V112" i="74"/>
  <c r="W112" i="74"/>
  <c r="Y112" i="74" s="1"/>
  <c r="W145" i="74"/>
  <c r="Y145" i="74" s="1"/>
  <c r="R145" i="74"/>
  <c r="S145" i="74" s="1"/>
  <c r="U145" i="74" s="1"/>
  <c r="V145" i="74"/>
  <c r="V12" i="74"/>
  <c r="R12" i="74"/>
  <c r="R93" i="74"/>
  <c r="S93" i="74" s="1"/>
  <c r="U93" i="74" s="1"/>
  <c r="W93" i="74"/>
  <c r="Y93" i="74" s="1"/>
  <c r="V93" i="74"/>
  <c r="R46" i="74"/>
  <c r="V46" i="74"/>
  <c r="V108" i="74"/>
  <c r="R108" i="74"/>
  <c r="S108" i="74" s="1"/>
  <c r="U108" i="74" s="1"/>
  <c r="W108" i="74"/>
  <c r="Y108" i="74" s="1"/>
  <c r="V106" i="74"/>
  <c r="R106" i="74"/>
  <c r="S106" i="74" s="1"/>
  <c r="U106" i="74" s="1"/>
  <c r="W106" i="74"/>
  <c r="Y106" i="74" s="1"/>
  <c r="D203" i="72" a="1"/>
  <c r="D203" i="72" s="1"/>
  <c r="D265" i="72" a="1"/>
  <c r="D265" i="72" s="1"/>
  <c r="D141" i="72" a="1"/>
  <c r="D141" i="72" s="1"/>
  <c r="V165" i="66" l="1"/>
  <c r="W285" i="66"/>
  <c r="Y285" i="66" s="1"/>
  <c r="R285" i="66"/>
  <c r="S285" i="66" s="1"/>
  <c r="U285" i="66" s="1"/>
  <c r="R213" i="66"/>
  <c r="S213" i="66" s="1"/>
  <c r="U213" i="66" s="1"/>
  <c r="V213" i="66"/>
  <c r="P141" i="74"/>
  <c r="AA141" i="74"/>
  <c r="Z141" i="74"/>
  <c r="W141" i="66"/>
  <c r="Y141" i="66" s="1"/>
  <c r="V141" i="66"/>
  <c r="R141" i="66"/>
  <c r="S141" i="66" s="1"/>
  <c r="U141" i="66" s="1"/>
  <c r="L17" i="39"/>
  <c r="I471" i="41"/>
  <c r="U153" i="66"/>
  <c r="J374" i="18"/>
  <c r="F374" i="18"/>
  <c r="H155" i="18"/>
  <c r="I155" i="18"/>
  <c r="I150" i="18"/>
  <c r="H150" i="18"/>
  <c r="I143" i="18"/>
  <c r="H143" i="18"/>
  <c r="J195" i="18"/>
  <c r="F195" i="18"/>
  <c r="F372" i="18"/>
  <c r="J372" i="18"/>
  <c r="F159" i="18"/>
  <c r="J159" i="18"/>
  <c r="I108" i="18"/>
  <c r="H108" i="18"/>
  <c r="F169" i="18"/>
  <c r="J169" i="18"/>
  <c r="F237" i="18"/>
  <c r="J237" i="18"/>
  <c r="J194" i="18"/>
  <c r="F194" i="18"/>
  <c r="J165" i="18"/>
  <c r="F165" i="18"/>
  <c r="F115" i="18"/>
  <c r="J115" i="18"/>
  <c r="I357" i="18"/>
  <c r="H357" i="18"/>
  <c r="F420" i="18"/>
  <c r="J420" i="18"/>
  <c r="F227" i="18"/>
  <c r="J227" i="18"/>
  <c r="D106" i="72" a="1"/>
  <c r="D106" i="72" s="1"/>
  <c r="D107" i="72" s="1" a="1"/>
  <c r="D107" i="72" s="1"/>
  <c r="D108" i="72" s="1" a="1"/>
  <c r="D108" i="72" s="1"/>
  <c r="H401" i="18"/>
  <c r="I401" i="18"/>
  <c r="H399" i="18"/>
  <c r="I399" i="18"/>
  <c r="H403" i="18"/>
  <c r="I403" i="18"/>
  <c r="J232" i="18"/>
  <c r="F232" i="18"/>
  <c r="F436" i="18"/>
  <c r="J436" i="18"/>
  <c r="F122" i="18"/>
  <c r="J122" i="18"/>
  <c r="F488" i="18"/>
  <c r="J488" i="18"/>
  <c r="I101" i="18"/>
  <c r="H101" i="18"/>
  <c r="F419" i="18"/>
  <c r="J419" i="18"/>
  <c r="D290" i="72" a="1"/>
  <c r="D290" i="72" s="1"/>
  <c r="F186" i="18"/>
  <c r="J186" i="18"/>
  <c r="I355" i="18"/>
  <c r="H355" i="18"/>
  <c r="J118" i="18"/>
  <c r="F118" i="18"/>
  <c r="F416" i="18"/>
  <c r="J416" i="18"/>
  <c r="F479" i="18"/>
  <c r="J479" i="18"/>
  <c r="I404" i="18"/>
  <c r="H404" i="18"/>
  <c r="J190" i="18"/>
  <c r="F190" i="18"/>
  <c r="F189" i="18"/>
  <c r="J189" i="18"/>
  <c r="I12" i="35" a="1"/>
  <c r="I12" i="35" s="1"/>
  <c r="G40" i="18" a="1"/>
  <c r="G40" i="18" s="1"/>
  <c r="I20" i="20"/>
  <c r="I16" i="35" a="1"/>
  <c r="I16" i="35" s="1"/>
  <c r="G39" i="18" a="1"/>
  <c r="G39" i="18" s="1"/>
  <c r="I14" i="35" a="1"/>
  <c r="I14" i="35" s="1"/>
  <c r="I5" i="35" a="1"/>
  <c r="I5" i="35" s="1"/>
  <c r="G30" i="18" a="1"/>
  <c r="G30" i="18" s="1"/>
  <c r="I11" i="35" a="1"/>
  <c r="I11" i="35" s="1"/>
  <c r="I9" i="35" a="1"/>
  <c r="I9" i="35" s="1"/>
  <c r="G43" i="18" a="1"/>
  <c r="G43" i="18" s="1"/>
  <c r="I7" i="35" a="1"/>
  <c r="I7" i="35" s="1"/>
  <c r="G33" i="18" a="1"/>
  <c r="G33" i="18" s="1"/>
  <c r="G42" i="18" a="1"/>
  <c r="G42" i="18" s="1"/>
  <c r="I3" i="35" a="1"/>
  <c r="I3" i="35" s="1"/>
  <c r="G36" i="18" a="1"/>
  <c r="G36" i="18" s="1"/>
  <c r="G31" i="18" a="1"/>
  <c r="G31" i="18" s="1"/>
  <c r="G41" i="18" a="1"/>
  <c r="G41" i="18" s="1"/>
  <c r="I8" i="35" a="1"/>
  <c r="I8" i="35" s="1"/>
  <c r="I15" i="35" a="1"/>
  <c r="I15" i="35" s="1"/>
  <c r="G38" i="18" a="1"/>
  <c r="G38" i="18" s="1"/>
  <c r="I6" i="35" a="1"/>
  <c r="I6" i="35" s="1"/>
  <c r="I4" i="35" a="1"/>
  <c r="I4" i="35" s="1"/>
  <c r="G34" i="18" a="1"/>
  <c r="G34" i="18" s="1"/>
  <c r="G35" i="18" a="1"/>
  <c r="G35" i="18" s="1"/>
  <c r="I13" i="35" a="1"/>
  <c r="I13" i="35" s="1"/>
  <c r="G37" i="18" a="1"/>
  <c r="G37" i="18" s="1"/>
  <c r="I10" i="35" a="1"/>
  <c r="I10" i="35" s="1"/>
  <c r="G32" i="18" a="1"/>
  <c r="G32" i="18" s="1"/>
  <c r="I107" i="18"/>
  <c r="H107" i="18"/>
  <c r="H105" i="18"/>
  <c r="I105" i="18"/>
  <c r="F489" i="18"/>
  <c r="J489" i="18"/>
  <c r="V144" i="74"/>
  <c r="R144" i="74"/>
  <c r="S144" i="74" s="1"/>
  <c r="U144" i="74" s="1"/>
  <c r="W144" i="74"/>
  <c r="Y144" i="74" s="1"/>
  <c r="J234" i="18"/>
  <c r="F234" i="18"/>
  <c r="I365" i="18"/>
  <c r="H365" i="18"/>
  <c r="I353" i="18"/>
  <c r="H353" i="18"/>
  <c r="D231" i="72" a="1"/>
  <c r="D231" i="72" s="1"/>
  <c r="F375" i="18"/>
  <c r="J375" i="18"/>
  <c r="R21" i="66"/>
  <c r="V21" i="66"/>
  <c r="J116" i="18"/>
  <c r="F116" i="18"/>
  <c r="J231" i="18"/>
  <c r="F231" i="18"/>
  <c r="I407" i="18"/>
  <c r="H407" i="18"/>
  <c r="F486" i="18"/>
  <c r="J486" i="18"/>
  <c r="I54" i="35" a="1"/>
  <c r="I54" i="35" s="1"/>
  <c r="I48" i="35" a="1"/>
  <c r="I48" i="35" s="1"/>
  <c r="G74" i="18" a="1"/>
  <c r="G74" i="18" s="1"/>
  <c r="I50" i="35" a="1"/>
  <c r="I50" i="35" s="1"/>
  <c r="I47" i="35" a="1"/>
  <c r="I47" i="35" s="1"/>
  <c r="G85" i="18" a="1"/>
  <c r="G85" i="18" s="1"/>
  <c r="I55" i="35" a="1"/>
  <c r="I55" i="35" s="1"/>
  <c r="G82" i="18" a="1"/>
  <c r="G82" i="18" s="1"/>
  <c r="G79" i="18" a="1"/>
  <c r="G79" i="18" s="1"/>
  <c r="I56" i="35" a="1"/>
  <c r="I56" i="35" s="1"/>
  <c r="I53" i="35" a="1"/>
  <c r="I53" i="35" s="1"/>
  <c r="G78" i="18" a="1"/>
  <c r="G78" i="18" s="1"/>
  <c r="G80" i="18" a="1"/>
  <c r="G80" i="18" s="1"/>
  <c r="I58" i="35" a="1"/>
  <c r="I58" i="35" s="1"/>
  <c r="G73" i="18" a="1"/>
  <c r="G73" i="18" s="1"/>
  <c r="I45" i="35" a="1"/>
  <c r="I45" i="35" s="1"/>
  <c r="G75" i="18" a="1"/>
  <c r="G75" i="18" s="1"/>
  <c r="I57" i="35" a="1"/>
  <c r="I57" i="35" s="1"/>
  <c r="G77" i="18" a="1"/>
  <c r="G77" i="18" s="1"/>
  <c r="I46" i="35" a="1"/>
  <c r="I46" i="35" s="1"/>
  <c r="G84" i="18" a="1"/>
  <c r="G84" i="18" s="1"/>
  <c r="G76" i="18" a="1"/>
  <c r="G76" i="18" s="1"/>
  <c r="I51" i="35" a="1"/>
  <c r="I51" i="35" s="1"/>
  <c r="G83" i="18" a="1"/>
  <c r="G83" i="18" s="1"/>
  <c r="I49" i="35" a="1"/>
  <c r="I49" i="35" s="1"/>
  <c r="G72" i="18" a="1"/>
  <c r="G72" i="18" s="1"/>
  <c r="R20" i="20"/>
  <c r="I52" i="35" a="1"/>
  <c r="I52" i="35" s="1"/>
  <c r="G81" i="18" a="1"/>
  <c r="G81" i="18" s="1"/>
  <c r="J197" i="18"/>
  <c r="F197" i="18"/>
  <c r="F376" i="18"/>
  <c r="J376" i="18"/>
  <c r="J168" i="18"/>
  <c r="F168" i="18"/>
  <c r="F161" i="18"/>
  <c r="J161" i="18"/>
  <c r="F410" i="18"/>
  <c r="J410" i="18"/>
  <c r="J448" i="18"/>
  <c r="F448" i="18"/>
  <c r="J126" i="18"/>
  <c r="F126" i="18"/>
  <c r="D74" i="72" a="1"/>
  <c r="D74" i="72" s="1"/>
  <c r="F239" i="18"/>
  <c r="J239" i="18"/>
  <c r="J188" i="18"/>
  <c r="F188" i="18"/>
  <c r="F482" i="18"/>
  <c r="J482" i="18"/>
  <c r="I153" i="18"/>
  <c r="H153" i="18"/>
  <c r="F120" i="18"/>
  <c r="J120" i="18"/>
  <c r="F417" i="18"/>
  <c r="J417" i="18"/>
  <c r="I142" i="18"/>
  <c r="H142" i="18"/>
  <c r="I147" i="18"/>
  <c r="H147" i="18"/>
  <c r="F164" i="18"/>
  <c r="J164" i="18"/>
  <c r="J414" i="18"/>
  <c r="F414" i="18"/>
  <c r="I394" i="18"/>
  <c r="H394" i="18"/>
  <c r="I397" i="18"/>
  <c r="H397" i="18"/>
  <c r="J226" i="18"/>
  <c r="F226" i="18"/>
  <c r="J157" i="18"/>
  <c r="F157" i="18"/>
  <c r="F415" i="18"/>
  <c r="J415" i="18"/>
  <c r="L21" i="39"/>
  <c r="L23" i="39"/>
  <c r="L22" i="39"/>
  <c r="L26" i="39"/>
  <c r="L24" i="39"/>
  <c r="L27" i="39"/>
  <c r="L25" i="39"/>
  <c r="L28" i="39"/>
  <c r="L20" i="39"/>
  <c r="E31" i="39"/>
  <c r="L19" i="39"/>
  <c r="L18" i="39"/>
  <c r="L13" i="39"/>
  <c r="AC6" i="39"/>
  <c r="L15" i="39"/>
  <c r="L16" i="39"/>
  <c r="L12" i="39"/>
  <c r="L14" i="39"/>
  <c r="AC5" i="39"/>
  <c r="H111" i="18"/>
  <c r="I111" i="18"/>
  <c r="H110" i="18"/>
  <c r="I110" i="18"/>
  <c r="F366" i="18"/>
  <c r="J366" i="18"/>
  <c r="J483" i="18"/>
  <c r="F483" i="18"/>
  <c r="AD142" i="74"/>
  <c r="D5" i="77"/>
  <c r="AA21" i="74"/>
  <c r="Z21" i="74"/>
  <c r="P21" i="74"/>
  <c r="F413" i="18"/>
  <c r="J413" i="18"/>
  <c r="I144" i="18"/>
  <c r="H144" i="18"/>
  <c r="H149" i="18"/>
  <c r="I149" i="18"/>
  <c r="J184" i="18"/>
  <c r="F184" i="18"/>
  <c r="F440" i="18"/>
  <c r="J440" i="18"/>
  <c r="Q57" i="66"/>
  <c r="T57" i="66"/>
  <c r="X57" i="66"/>
  <c r="K57" i="74"/>
  <c r="O57" i="66"/>
  <c r="F17" i="39"/>
  <c r="Z66" i="74"/>
  <c r="AA66" i="74"/>
  <c r="I402" i="18"/>
  <c r="H402" i="18"/>
  <c r="I406" i="18"/>
  <c r="H406" i="18"/>
  <c r="J369" i="18"/>
  <c r="F369" i="18"/>
  <c r="P119" i="74"/>
  <c r="AA119" i="74"/>
  <c r="Z119" i="74"/>
  <c r="F233" i="18"/>
  <c r="J233" i="18"/>
  <c r="K29" i="39"/>
  <c r="O114" i="74"/>
  <c r="AC114" i="74"/>
  <c r="AD114" i="74" s="1"/>
  <c r="I142" i="35" a="1"/>
  <c r="I142" i="35" s="1"/>
  <c r="I136" i="35" a="1"/>
  <c r="I136" i="35" s="1"/>
  <c r="G337" i="18" a="1"/>
  <c r="G337" i="18" s="1"/>
  <c r="I138" i="35" a="1"/>
  <c r="I138" i="35" s="1"/>
  <c r="G326" i="18" a="1"/>
  <c r="G326" i="18" s="1"/>
  <c r="G336" i="18" a="1"/>
  <c r="G336" i="18" s="1"/>
  <c r="I139" i="35" a="1"/>
  <c r="I139" i="35" s="1"/>
  <c r="G325" i="18" a="1"/>
  <c r="G325" i="18" s="1"/>
  <c r="G329" i="18" a="1"/>
  <c r="G329" i="18" s="1"/>
  <c r="I134" i="35" a="1"/>
  <c r="I134" i="35" s="1"/>
  <c r="G334" i="18" a="1"/>
  <c r="G334" i="18" s="1"/>
  <c r="I135" i="35" a="1"/>
  <c r="I135" i="35" s="1"/>
  <c r="G332" i="18" a="1"/>
  <c r="G332" i="18" s="1"/>
  <c r="G335" i="18" a="1"/>
  <c r="G335" i="18" s="1"/>
  <c r="I141" i="35" a="1"/>
  <c r="I141" i="35" s="1"/>
  <c r="G330" i="18" a="1"/>
  <c r="G330" i="18" s="1"/>
  <c r="I130" i="35" a="1"/>
  <c r="I130" i="35" s="1"/>
  <c r="G328" i="18" a="1"/>
  <c r="G328" i="18" s="1"/>
  <c r="I131" i="35" a="1"/>
  <c r="I131" i="35" s="1"/>
  <c r="G324" i="18" a="1"/>
  <c r="G324" i="18" s="1"/>
  <c r="R47" i="20"/>
  <c r="I129" i="35" a="1"/>
  <c r="I129" i="35" s="1"/>
  <c r="I137" i="35" a="1"/>
  <c r="I137" i="35" s="1"/>
  <c r="G331" i="18" a="1"/>
  <c r="G331" i="18" s="1"/>
  <c r="I133" i="35" a="1"/>
  <c r="I133" i="35" s="1"/>
  <c r="G327" i="18" a="1"/>
  <c r="G327" i="18" s="1"/>
  <c r="I132" i="35" a="1"/>
  <c r="I132" i="35" s="1"/>
  <c r="I140" i="35" a="1"/>
  <c r="I140" i="35" s="1"/>
  <c r="G333" i="18" a="1"/>
  <c r="G333" i="18" s="1"/>
  <c r="J117" i="18"/>
  <c r="F117" i="18"/>
  <c r="I104" i="18"/>
  <c r="H104" i="18"/>
  <c r="I102" i="18"/>
  <c r="H102" i="18"/>
  <c r="F408" i="18"/>
  <c r="J408" i="18"/>
  <c r="F446" i="18"/>
  <c r="J446" i="18"/>
  <c r="J121" i="18"/>
  <c r="F121" i="18"/>
  <c r="J163" i="18"/>
  <c r="F163" i="18"/>
  <c r="F491" i="18"/>
  <c r="J491" i="18"/>
  <c r="J114" i="18"/>
  <c r="F114" i="18"/>
  <c r="F481" i="18"/>
  <c r="J481" i="18"/>
  <c r="F443" i="18"/>
  <c r="J443" i="18"/>
  <c r="AA142" i="74"/>
  <c r="Z142" i="74"/>
  <c r="P142" i="74"/>
  <c r="I360" i="18"/>
  <c r="H360" i="18"/>
  <c r="I363" i="18"/>
  <c r="H363" i="18"/>
  <c r="F193" i="18"/>
  <c r="J193" i="18"/>
  <c r="H146" i="18"/>
  <c r="I146" i="18"/>
  <c r="I154" i="18"/>
  <c r="H154" i="18"/>
  <c r="J124" i="18"/>
  <c r="F124" i="18"/>
  <c r="V128" i="74"/>
  <c r="R128" i="74"/>
  <c r="S128" i="74" s="1"/>
  <c r="U128" i="74" s="1"/>
  <c r="W128" i="74"/>
  <c r="Y128" i="74" s="1"/>
  <c r="J370" i="18"/>
  <c r="F370" i="18"/>
  <c r="F478" i="18"/>
  <c r="J478" i="18"/>
  <c r="F196" i="18"/>
  <c r="J196" i="18"/>
  <c r="Z59" i="74"/>
  <c r="AA59" i="74"/>
  <c r="J235" i="18"/>
  <c r="F235" i="18"/>
  <c r="AA114" i="66"/>
  <c r="Z114" i="66"/>
  <c r="AA258" i="66"/>
  <c r="Z258" i="66"/>
  <c r="I87" i="35" a="1"/>
  <c r="I87" i="35" s="1"/>
  <c r="G285" i="18" a="1"/>
  <c r="G285" i="18" s="1"/>
  <c r="I89" i="35" a="1"/>
  <c r="I89" i="35" s="1"/>
  <c r="G294" i="18" a="1"/>
  <c r="G294" i="18" s="1"/>
  <c r="I100" i="35" a="1"/>
  <c r="I100" i="35" s="1"/>
  <c r="G287" i="18" a="1"/>
  <c r="G287" i="18" s="1"/>
  <c r="I47" i="20"/>
  <c r="I96" i="35" a="1"/>
  <c r="I96" i="35" s="1"/>
  <c r="G290" i="18" a="1"/>
  <c r="G290" i="18" s="1"/>
  <c r="I98" i="35" a="1"/>
  <c r="I98" i="35" s="1"/>
  <c r="I92" i="35" a="1"/>
  <c r="I92" i="35" s="1"/>
  <c r="G282" i="18" a="1"/>
  <c r="G282" i="18" s="1"/>
  <c r="I99" i="35" a="1"/>
  <c r="I99" i="35" s="1"/>
  <c r="I88" i="35" a="1"/>
  <c r="I88" i="35" s="1"/>
  <c r="G289" i="18" a="1"/>
  <c r="G289" i="18" s="1"/>
  <c r="I97" i="35" a="1"/>
  <c r="I97" i="35" s="1"/>
  <c r="I94" i="35" a="1"/>
  <c r="I94" i="35" s="1"/>
  <c r="G286" i="18" a="1"/>
  <c r="G286" i="18" s="1"/>
  <c r="G293" i="18" a="1"/>
  <c r="G293" i="18" s="1"/>
  <c r="I91" i="35" a="1"/>
  <c r="I91" i="35" s="1"/>
  <c r="G284" i="18" a="1"/>
  <c r="G284" i="18" s="1"/>
  <c r="G295" i="18" a="1"/>
  <c r="G295" i="18" s="1"/>
  <c r="G292" i="18" a="1"/>
  <c r="G292" i="18" s="1"/>
  <c r="I90" i="35" a="1"/>
  <c r="I90" i="35" s="1"/>
  <c r="G283" i="18" a="1"/>
  <c r="G283" i="18" s="1"/>
  <c r="I95" i="35" a="1"/>
  <c r="I95" i="35" s="1"/>
  <c r="G291" i="18" a="1"/>
  <c r="G291" i="18" s="1"/>
  <c r="I93" i="35" a="1"/>
  <c r="I93" i="35" s="1"/>
  <c r="G288" i="18" a="1"/>
  <c r="G288" i="18" s="1"/>
  <c r="I112" i="18"/>
  <c r="H112" i="18"/>
  <c r="J230" i="18"/>
  <c r="F230" i="18"/>
  <c r="R119" i="66"/>
  <c r="S119" i="66" s="1"/>
  <c r="U119" i="66" s="1"/>
  <c r="V119" i="66"/>
  <c r="W119" i="66"/>
  <c r="Y119" i="66" s="1"/>
  <c r="J228" i="18"/>
  <c r="F228" i="18"/>
  <c r="D13" i="72" a="1"/>
  <c r="D13" i="72" s="1"/>
  <c r="J367" i="18"/>
  <c r="F367" i="18"/>
  <c r="F156" i="18"/>
  <c r="J156" i="18"/>
  <c r="F418" i="18"/>
  <c r="J418" i="18"/>
  <c r="I362" i="18"/>
  <c r="H362" i="18"/>
  <c r="I358" i="18"/>
  <c r="H358" i="18"/>
  <c r="AC107" i="74"/>
  <c r="AD107" i="74" s="1"/>
  <c r="O107" i="74"/>
  <c r="F439" i="18"/>
  <c r="J439" i="18"/>
  <c r="I400" i="18"/>
  <c r="H400" i="18"/>
  <c r="I398" i="18"/>
  <c r="H398" i="18"/>
  <c r="J378" i="18"/>
  <c r="F378" i="18"/>
  <c r="K249" i="66"/>
  <c r="J471" i="58"/>
  <c r="I103" i="18"/>
  <c r="H103" i="18"/>
  <c r="F437" i="18"/>
  <c r="J437" i="18"/>
  <c r="Z69" i="74"/>
  <c r="AA69" i="74"/>
  <c r="P69" i="74"/>
  <c r="V215" i="66"/>
  <c r="R215" i="66"/>
  <c r="S215" i="66" s="1"/>
  <c r="U215" i="66" s="1"/>
  <c r="W215" i="66"/>
  <c r="Y215" i="66" s="1"/>
  <c r="F187" i="18"/>
  <c r="J187" i="18"/>
  <c r="J373" i="18"/>
  <c r="F373" i="18"/>
  <c r="J185" i="18"/>
  <c r="F185" i="18"/>
  <c r="Z107" i="66"/>
  <c r="AA251" i="66"/>
  <c r="Z251" i="66"/>
  <c r="AA107" i="66"/>
  <c r="F484" i="18"/>
  <c r="J484" i="18"/>
  <c r="J238" i="18"/>
  <c r="F238" i="18"/>
  <c r="I152" i="18"/>
  <c r="H152" i="18"/>
  <c r="Z9" i="66"/>
  <c r="Z153" i="66"/>
  <c r="P153" i="66"/>
  <c r="AA9" i="66"/>
  <c r="AA153" i="66"/>
  <c r="P9" i="66"/>
  <c r="D45" i="72" a="1"/>
  <c r="D45" i="72" s="1"/>
  <c r="J127" i="18"/>
  <c r="F127" i="18"/>
  <c r="J166" i="18"/>
  <c r="F166" i="18"/>
  <c r="J471" i="37"/>
  <c r="K105" i="66"/>
  <c r="F123" i="18"/>
  <c r="J123" i="18"/>
  <c r="J229" i="18"/>
  <c r="F229" i="18"/>
  <c r="O33" i="20"/>
  <c r="O11" i="20"/>
  <c r="F9" i="20"/>
  <c r="O19" i="20"/>
  <c r="O16" i="20"/>
  <c r="F10" i="20"/>
  <c r="F38" i="20"/>
  <c r="O7" i="20"/>
  <c r="O14" i="20"/>
  <c r="F43" i="20"/>
  <c r="F12" i="20"/>
  <c r="F19" i="20"/>
  <c r="F42" i="20"/>
  <c r="O10" i="20"/>
  <c r="O41" i="20"/>
  <c r="O44" i="20"/>
  <c r="O17" i="20"/>
  <c r="O39" i="20"/>
  <c r="F7" i="20"/>
  <c r="F39" i="20"/>
  <c r="O40" i="20"/>
  <c r="O43" i="20"/>
  <c r="O42" i="20"/>
  <c r="O38" i="20"/>
  <c r="O18" i="20"/>
  <c r="F46" i="20"/>
  <c r="O13" i="20"/>
  <c r="F37" i="20"/>
  <c r="F14" i="20"/>
  <c r="O8" i="20"/>
  <c r="F45" i="20"/>
  <c r="F33" i="20"/>
  <c r="F18" i="20"/>
  <c r="F40" i="20"/>
  <c r="O6" i="20"/>
  <c r="F36" i="20"/>
  <c r="F15" i="20"/>
  <c r="F41" i="20"/>
  <c r="F17" i="20"/>
  <c r="F34" i="20"/>
  <c r="F8" i="20"/>
  <c r="O9" i="20"/>
  <c r="F6" i="20"/>
  <c r="O37" i="20"/>
  <c r="O45" i="20"/>
  <c r="O34" i="20"/>
  <c r="F13" i="20"/>
  <c r="O46" i="20"/>
  <c r="F35" i="20"/>
  <c r="O36" i="20"/>
  <c r="O12" i="20"/>
  <c r="F11" i="20"/>
  <c r="O35" i="20"/>
  <c r="O15" i="20"/>
  <c r="F16" i="20"/>
  <c r="F44" i="20"/>
  <c r="F409" i="18"/>
  <c r="J409" i="18"/>
  <c r="I109" i="18"/>
  <c r="H109" i="18"/>
  <c r="J236" i="18"/>
  <c r="F236" i="18"/>
  <c r="AA71" i="74"/>
  <c r="Z71" i="74"/>
  <c r="P71" i="74"/>
  <c r="V71" i="66"/>
  <c r="W71" i="66"/>
  <c r="Y71" i="66" s="1"/>
  <c r="R71" i="66"/>
  <c r="S71" i="66" s="1"/>
  <c r="U71" i="66" s="1"/>
  <c r="J192" i="18"/>
  <c r="F192" i="18"/>
  <c r="F411" i="18"/>
  <c r="J411" i="18"/>
  <c r="H352" i="18"/>
  <c r="I352" i="18"/>
  <c r="H361" i="18"/>
  <c r="I361" i="18"/>
  <c r="I145" i="18"/>
  <c r="H145" i="18"/>
  <c r="F442" i="18"/>
  <c r="J442" i="18"/>
  <c r="D168" i="72" a="1"/>
  <c r="D168" i="72" s="1"/>
  <c r="D169" i="72" s="1" a="1"/>
  <c r="D169" i="72" s="1"/>
  <c r="D170" i="72" s="1" a="1"/>
  <c r="D170" i="72" s="1"/>
  <c r="J162" i="18"/>
  <c r="F162" i="18"/>
  <c r="I395" i="18"/>
  <c r="H395" i="18"/>
  <c r="F447" i="18"/>
  <c r="J447" i="18"/>
  <c r="F441" i="18"/>
  <c r="J441" i="18"/>
  <c r="F368" i="18"/>
  <c r="J368" i="18"/>
  <c r="I100" i="18"/>
  <c r="H100" i="18"/>
  <c r="I113" i="18"/>
  <c r="H113" i="18"/>
  <c r="F445" i="18"/>
  <c r="J445" i="18"/>
  <c r="F119" i="18"/>
  <c r="J119" i="18"/>
  <c r="F379" i="18"/>
  <c r="J379" i="18"/>
  <c r="X201" i="66"/>
  <c r="T201" i="66"/>
  <c r="Q201" i="66"/>
  <c r="O201" i="66"/>
  <c r="J490" i="18"/>
  <c r="F490" i="18"/>
  <c r="I364" i="18"/>
  <c r="H364" i="18"/>
  <c r="I359" i="18"/>
  <c r="H359" i="18"/>
  <c r="F438" i="18"/>
  <c r="J438" i="18"/>
  <c r="J377" i="18"/>
  <c r="F377" i="18"/>
  <c r="H151" i="18"/>
  <c r="I151" i="18"/>
  <c r="I148" i="18"/>
  <c r="H148" i="18"/>
  <c r="Y153" i="66"/>
  <c r="F371" i="18"/>
  <c r="J371" i="18"/>
  <c r="I396" i="18"/>
  <c r="H396" i="18"/>
  <c r="Z117" i="66"/>
  <c r="AA261" i="66"/>
  <c r="AA117" i="66"/>
  <c r="Z261" i="66"/>
  <c r="P117" i="66"/>
  <c r="R286" i="66"/>
  <c r="S286" i="66" s="1"/>
  <c r="U286" i="66" s="1"/>
  <c r="V286" i="66"/>
  <c r="W286" i="66"/>
  <c r="Y286" i="66" s="1"/>
  <c r="J160" i="18"/>
  <c r="F160" i="18"/>
  <c r="F421" i="18"/>
  <c r="J421" i="18"/>
  <c r="F412" i="18"/>
  <c r="J412" i="18"/>
  <c r="V142" i="66"/>
  <c r="R142" i="66"/>
  <c r="S142" i="66" s="1"/>
  <c r="U142" i="66" s="1"/>
  <c r="W142" i="66"/>
  <c r="Y142" i="66" s="1"/>
  <c r="I354" i="18"/>
  <c r="H354" i="18"/>
  <c r="I356" i="18"/>
  <c r="H356" i="18"/>
  <c r="Q9" i="74"/>
  <c r="W9" i="74" s="1"/>
  <c r="X9" i="74"/>
  <c r="T9" i="74"/>
  <c r="S9" i="74"/>
  <c r="AC9" i="74"/>
  <c r="AD9" i="74" s="1"/>
  <c r="O9" i="74"/>
  <c r="F125" i="18"/>
  <c r="J125" i="18"/>
  <c r="F167" i="18"/>
  <c r="J167" i="18"/>
  <c r="I405" i="18"/>
  <c r="H405" i="18"/>
  <c r="AC117" i="74"/>
  <c r="AD117" i="74" s="1"/>
  <c r="Q117" i="74"/>
  <c r="O117" i="74"/>
  <c r="F449" i="18"/>
  <c r="J449" i="18"/>
  <c r="J158" i="18"/>
  <c r="F158" i="18"/>
  <c r="I106" i="18"/>
  <c r="H106" i="18"/>
  <c r="J191" i="18"/>
  <c r="F191" i="18"/>
  <c r="P261" i="66"/>
  <c r="R263" i="66"/>
  <c r="S263" i="66" s="1"/>
  <c r="U263" i="66" s="1"/>
  <c r="V263" i="66"/>
  <c r="W263" i="66"/>
  <c r="Y263" i="66" s="1"/>
  <c r="W69" i="66"/>
  <c r="Y69" i="66" s="1"/>
  <c r="V69" i="66"/>
  <c r="R69" i="66"/>
  <c r="S69" i="66" s="1"/>
  <c r="U69" i="66" s="1"/>
  <c r="F487" i="18"/>
  <c r="J487" i="18"/>
  <c r="F485" i="18"/>
  <c r="J485" i="18"/>
  <c r="F480" i="18"/>
  <c r="J480" i="18"/>
  <c r="F444" i="18"/>
  <c r="J444" i="18"/>
  <c r="D266" i="72" a="1"/>
  <c r="D266" i="72" s="1"/>
  <c r="D204" i="72" a="1"/>
  <c r="D204" i="72" s="1"/>
  <c r="D142" i="72" a="1"/>
  <c r="D142" i="72" s="1"/>
  <c r="V141" i="74" l="1"/>
  <c r="R141" i="74"/>
  <c r="S141" i="74" s="1"/>
  <c r="U141" i="74" s="1"/>
  <c r="W141" i="74"/>
  <c r="Y141" i="74" s="1"/>
  <c r="D109" i="72" a="1"/>
  <c r="D109" i="72" s="1"/>
  <c r="D171" i="72" a="1"/>
  <c r="D171" i="72" s="1"/>
  <c r="D172" i="72" s="1" a="1"/>
  <c r="D172" i="72" s="1"/>
  <c r="D173" i="72" s="1" a="1"/>
  <c r="D173" i="72" s="1"/>
  <c r="D174" i="72" s="1" a="1"/>
  <c r="D174" i="72" s="1"/>
  <c r="J471" i="41"/>
  <c r="P201" i="66"/>
  <c r="V201" i="66" s="1"/>
  <c r="U9" i="74"/>
  <c r="Y9" i="74"/>
  <c r="F151" i="18"/>
  <c r="J151" i="18"/>
  <c r="F113" i="18"/>
  <c r="J113" i="18"/>
  <c r="F398" i="18"/>
  <c r="J398" i="18"/>
  <c r="J112" i="18"/>
  <c r="F112" i="18"/>
  <c r="I293" i="18"/>
  <c r="H293" i="18"/>
  <c r="H331" i="18"/>
  <c r="I331" i="18"/>
  <c r="I83" i="18"/>
  <c r="H83" i="18"/>
  <c r="I78" i="18"/>
  <c r="H78" i="18"/>
  <c r="H42" i="18"/>
  <c r="I42" i="18"/>
  <c r="I40" i="18"/>
  <c r="H40" i="18"/>
  <c r="F101" i="18"/>
  <c r="J101" i="18"/>
  <c r="J155" i="18"/>
  <c r="F155" i="18"/>
  <c r="J354" i="18"/>
  <c r="F354" i="18"/>
  <c r="F396" i="18"/>
  <c r="J396" i="18"/>
  <c r="V69" i="74"/>
  <c r="R69" i="74"/>
  <c r="S69" i="74" s="1"/>
  <c r="U69" i="74" s="1"/>
  <c r="W69" i="74"/>
  <c r="Y69" i="74" s="1"/>
  <c r="I286" i="18"/>
  <c r="H286" i="18"/>
  <c r="I287" i="18"/>
  <c r="H287" i="18"/>
  <c r="F102" i="18"/>
  <c r="J102" i="18"/>
  <c r="I334" i="18"/>
  <c r="H334" i="18"/>
  <c r="Z114" i="74"/>
  <c r="AA114" i="74"/>
  <c r="Z201" i="66"/>
  <c r="Z57" i="66"/>
  <c r="AA201" i="66"/>
  <c r="P57" i="66"/>
  <c r="AA57" i="66"/>
  <c r="F110" i="18"/>
  <c r="J110" i="18"/>
  <c r="I35" i="18"/>
  <c r="H35" i="18"/>
  <c r="H33" i="18"/>
  <c r="I33" i="18"/>
  <c r="H87" i="35" a="1"/>
  <c r="H87" i="35" s="1"/>
  <c r="G272" i="18" a="1"/>
  <c r="G272" i="18" s="1"/>
  <c r="H94" i="35" a="1"/>
  <c r="H94" i="35" s="1"/>
  <c r="G268" i="18" a="1"/>
  <c r="G268" i="18" s="1"/>
  <c r="H98" i="35" a="1"/>
  <c r="H98" i="35" s="1"/>
  <c r="G270" i="18" a="1"/>
  <c r="G270" i="18" s="1"/>
  <c r="G276" i="18" a="1"/>
  <c r="G276" i="18" s="1"/>
  <c r="H90" i="35" a="1"/>
  <c r="H90" i="35" s="1"/>
  <c r="G269" i="18" a="1"/>
  <c r="G269" i="18" s="1"/>
  <c r="H100" i="35" a="1"/>
  <c r="H100" i="35" s="1"/>
  <c r="G274" i="18" a="1"/>
  <c r="G274" i="18" s="1"/>
  <c r="H89" i="35" a="1"/>
  <c r="H89" i="35" s="1"/>
  <c r="G273" i="18" a="1"/>
  <c r="G273" i="18" s="1"/>
  <c r="H96" i="35" a="1"/>
  <c r="H96" i="35" s="1"/>
  <c r="G280" i="18" a="1"/>
  <c r="G280" i="18" s="1"/>
  <c r="H95" i="35" a="1"/>
  <c r="H95" i="35" s="1"/>
  <c r="F47" i="20"/>
  <c r="H92" i="35" a="1"/>
  <c r="H92" i="35" s="1"/>
  <c r="G279" i="18" a="1"/>
  <c r="G279" i="18" s="1"/>
  <c r="H97" i="35" a="1"/>
  <c r="H97" i="35" s="1"/>
  <c r="H99" i="35" a="1"/>
  <c r="H99" i="35" s="1"/>
  <c r="G277" i="18" a="1"/>
  <c r="G277" i="18" s="1"/>
  <c r="H88" i="35" a="1"/>
  <c r="H88" i="35" s="1"/>
  <c r="H93" i="35" a="1"/>
  <c r="H93" i="35" s="1"/>
  <c r="G278" i="18" a="1"/>
  <c r="G278" i="18" s="1"/>
  <c r="G275" i="18" a="1"/>
  <c r="G275" i="18" s="1"/>
  <c r="H91" i="35" a="1"/>
  <c r="H91" i="35" s="1"/>
  <c r="G271" i="18" a="1"/>
  <c r="G271" i="18" s="1"/>
  <c r="G281" i="18" a="1"/>
  <c r="G281" i="18" s="1"/>
  <c r="V153" i="66"/>
  <c r="R153" i="66"/>
  <c r="F400" i="18"/>
  <c r="J400" i="18"/>
  <c r="I288" i="18"/>
  <c r="H288" i="18"/>
  <c r="F363" i="18"/>
  <c r="J363" i="18"/>
  <c r="T57" i="74"/>
  <c r="Q57" i="74"/>
  <c r="X57" i="74"/>
  <c r="O57" i="74"/>
  <c r="AC57" i="74"/>
  <c r="AD57" i="74" s="1"/>
  <c r="F149" i="18"/>
  <c r="J149" i="18"/>
  <c r="H76" i="18"/>
  <c r="I76" i="18"/>
  <c r="H34" i="18"/>
  <c r="I34" i="18"/>
  <c r="F403" i="18"/>
  <c r="J403" i="18"/>
  <c r="H11" i="35" a="1"/>
  <c r="H11" i="35" s="1"/>
  <c r="G29" i="18" a="1"/>
  <c r="G29" i="18" s="1"/>
  <c r="G16" i="18" a="1"/>
  <c r="G16" i="18" s="1"/>
  <c r="H7" i="35" a="1"/>
  <c r="H7" i="35" s="1"/>
  <c r="G20" i="18" a="1"/>
  <c r="G20" i="18" s="1"/>
  <c r="H3" i="35" a="1"/>
  <c r="H3" i="35" s="1"/>
  <c r="G17" i="18" a="1"/>
  <c r="G17" i="18" s="1"/>
  <c r="H14" i="35" a="1"/>
  <c r="H14" i="35" s="1"/>
  <c r="H8" i="35" a="1"/>
  <c r="H8" i="35" s="1"/>
  <c r="G25" i="18" a="1"/>
  <c r="G25" i="18" s="1"/>
  <c r="H4" i="35" a="1"/>
  <c r="H4" i="35" s="1"/>
  <c r="G27" i="18" a="1"/>
  <c r="G27" i="18" s="1"/>
  <c r="G23" i="18" a="1"/>
  <c r="G23" i="18" s="1"/>
  <c r="G18" i="18" a="1"/>
  <c r="G18" i="18" s="1"/>
  <c r="H5" i="35" a="1"/>
  <c r="H5" i="35" s="1"/>
  <c r="G24" i="18" a="1"/>
  <c r="G24" i="18" s="1"/>
  <c r="H16" i="35" a="1"/>
  <c r="H16" i="35" s="1"/>
  <c r="G28" i="18" a="1"/>
  <c r="G28" i="18" s="1"/>
  <c r="F20" i="20"/>
  <c r="H9" i="35" a="1"/>
  <c r="H9" i="35" s="1"/>
  <c r="G22" i="18" a="1"/>
  <c r="G22" i="18" s="1"/>
  <c r="H15" i="35" a="1"/>
  <c r="H15" i="35" s="1"/>
  <c r="H12" i="35" a="1"/>
  <c r="H12" i="35" s="1"/>
  <c r="H13" i="35" a="1"/>
  <c r="H13" i="35" s="1"/>
  <c r="G21" i="18" a="1"/>
  <c r="G21" i="18" s="1"/>
  <c r="H10" i="35" a="1"/>
  <c r="H10" i="35" s="1"/>
  <c r="H6" i="35" a="1"/>
  <c r="H6" i="35" s="1"/>
  <c r="G26" i="18" a="1"/>
  <c r="G26" i="18" s="1"/>
  <c r="G19" i="18" a="1"/>
  <c r="G19" i="18" s="1"/>
  <c r="X105" i="66"/>
  <c r="T105" i="66"/>
  <c r="Q105" i="66"/>
  <c r="K105" i="74"/>
  <c r="O105" i="66"/>
  <c r="G17" i="39"/>
  <c r="H294" i="18"/>
  <c r="I294" i="18"/>
  <c r="J104" i="18"/>
  <c r="F104" i="18"/>
  <c r="I329" i="18"/>
  <c r="H329" i="18"/>
  <c r="I84" i="18"/>
  <c r="H84" i="18"/>
  <c r="I79" i="18"/>
  <c r="H79" i="18"/>
  <c r="I43" i="18"/>
  <c r="H43" i="18"/>
  <c r="R261" i="66"/>
  <c r="S261" i="66" s="1"/>
  <c r="U261" i="66" s="1"/>
  <c r="W261" i="66"/>
  <c r="Y261" i="66" s="1"/>
  <c r="V261" i="66"/>
  <c r="P9" i="74"/>
  <c r="Z9" i="74"/>
  <c r="AA9" i="74"/>
  <c r="W117" i="66"/>
  <c r="Y117" i="66" s="1"/>
  <c r="R117" i="66"/>
  <c r="S117" i="66" s="1"/>
  <c r="U117" i="66" s="1"/>
  <c r="V117" i="66"/>
  <c r="I291" i="18"/>
  <c r="H291" i="18"/>
  <c r="H289" i="18"/>
  <c r="I289" i="18"/>
  <c r="J360" i="18"/>
  <c r="F360" i="18"/>
  <c r="H324" i="18"/>
  <c r="I324" i="18"/>
  <c r="I325" i="18"/>
  <c r="H325" i="18"/>
  <c r="H82" i="18"/>
  <c r="I82" i="18"/>
  <c r="F399" i="18"/>
  <c r="J399" i="18"/>
  <c r="J108" i="18"/>
  <c r="F108" i="18"/>
  <c r="F405" i="18"/>
  <c r="J405" i="18"/>
  <c r="Z107" i="74"/>
  <c r="AA107" i="74"/>
  <c r="I285" i="18"/>
  <c r="H285" i="18"/>
  <c r="J153" i="18"/>
  <c r="F153" i="18"/>
  <c r="I77" i="18"/>
  <c r="H77" i="18"/>
  <c r="F353" i="18"/>
  <c r="J353" i="18"/>
  <c r="F105" i="18"/>
  <c r="J105" i="18"/>
  <c r="I38" i="18"/>
  <c r="H38" i="18"/>
  <c r="J359" i="18"/>
  <c r="F359" i="18"/>
  <c r="J145" i="18"/>
  <c r="F145" i="18"/>
  <c r="F395" i="18"/>
  <c r="J395" i="18"/>
  <c r="J109" i="18"/>
  <c r="F109" i="18"/>
  <c r="T249" i="66"/>
  <c r="Q249" i="66"/>
  <c r="X249" i="66"/>
  <c r="O249" i="66"/>
  <c r="I283" i="18"/>
  <c r="H283" i="18"/>
  <c r="F154" i="18"/>
  <c r="J154" i="18"/>
  <c r="I328" i="18"/>
  <c r="H328" i="18"/>
  <c r="I336" i="18"/>
  <c r="H336" i="18"/>
  <c r="F406" i="18"/>
  <c r="J406" i="18"/>
  <c r="J111" i="18"/>
  <c r="F111" i="18"/>
  <c r="F397" i="18"/>
  <c r="J397" i="18"/>
  <c r="I85" i="18"/>
  <c r="H85" i="18"/>
  <c r="I30" i="18"/>
  <c r="H30" i="18"/>
  <c r="F401" i="18"/>
  <c r="J401" i="18"/>
  <c r="D75" i="72" a="1"/>
  <c r="D75" i="72" s="1"/>
  <c r="J106" i="18"/>
  <c r="F106" i="18"/>
  <c r="F361" i="18"/>
  <c r="J361" i="18"/>
  <c r="I282" i="18"/>
  <c r="H282" i="18"/>
  <c r="F146" i="18"/>
  <c r="J146" i="18"/>
  <c r="R142" i="74"/>
  <c r="S142" i="74" s="1"/>
  <c r="U142" i="74" s="1"/>
  <c r="W142" i="74"/>
  <c r="Y142" i="74" s="1"/>
  <c r="V142" i="74"/>
  <c r="I333" i="18"/>
  <c r="H333" i="18"/>
  <c r="I326" i="18"/>
  <c r="H326" i="18"/>
  <c r="J144" i="18"/>
  <c r="F144" i="18"/>
  <c r="J147" i="18"/>
  <c r="F147" i="18"/>
  <c r="I81" i="18"/>
  <c r="H81" i="18"/>
  <c r="I75" i="18"/>
  <c r="H75" i="18"/>
  <c r="J365" i="18"/>
  <c r="F365" i="18"/>
  <c r="F100" i="18"/>
  <c r="J100" i="18"/>
  <c r="J148" i="18"/>
  <c r="F148" i="18"/>
  <c r="I292" i="18"/>
  <c r="H292" i="18"/>
  <c r="H330" i="18"/>
  <c r="I330" i="18"/>
  <c r="F402" i="18"/>
  <c r="J402" i="18"/>
  <c r="F394" i="18"/>
  <c r="J394" i="18"/>
  <c r="F407" i="18"/>
  <c r="J407" i="18"/>
  <c r="F107" i="18"/>
  <c r="J107" i="18"/>
  <c r="I41" i="18"/>
  <c r="H41" i="18"/>
  <c r="H134" i="35" a="1"/>
  <c r="H134" i="35" s="1"/>
  <c r="G310" i="18" a="1"/>
  <c r="G310" i="18" s="1"/>
  <c r="H130" i="35" a="1"/>
  <c r="H130" i="35" s="1"/>
  <c r="G323" i="18" a="1"/>
  <c r="G323" i="18" s="1"/>
  <c r="G314" i="18" a="1"/>
  <c r="G314" i="18" s="1"/>
  <c r="O47" i="20"/>
  <c r="H131" i="35" a="1"/>
  <c r="H131" i="35" s="1"/>
  <c r="G316" i="18" a="1"/>
  <c r="G316" i="18" s="1"/>
  <c r="H139" i="35" a="1"/>
  <c r="H139" i="35" s="1"/>
  <c r="H140" i="35" a="1"/>
  <c r="H140" i="35" s="1"/>
  <c r="G322" i="18" a="1"/>
  <c r="G322" i="18" s="1"/>
  <c r="H142" i="35" a="1"/>
  <c r="H142" i="35" s="1"/>
  <c r="H133" i="35" a="1"/>
  <c r="H133" i="35" s="1"/>
  <c r="H136" i="35" a="1"/>
  <c r="H136" i="35" s="1"/>
  <c r="G320" i="18" a="1"/>
  <c r="G320" i="18" s="1"/>
  <c r="H135" i="35" a="1"/>
  <c r="H135" i="35" s="1"/>
  <c r="G321" i="18" a="1"/>
  <c r="G321" i="18" s="1"/>
  <c r="G311" i="18" a="1"/>
  <c r="G311" i="18" s="1"/>
  <c r="H132" i="35" a="1"/>
  <c r="H132" i="35" s="1"/>
  <c r="G318" i="18" a="1"/>
  <c r="G318" i="18" s="1"/>
  <c r="G312" i="18" a="1"/>
  <c r="G312" i="18" s="1"/>
  <c r="H137" i="35" a="1"/>
  <c r="H137" i="35" s="1"/>
  <c r="G313" i="18" a="1"/>
  <c r="G313" i="18" s="1"/>
  <c r="H129" i="35" a="1"/>
  <c r="H129" i="35" s="1"/>
  <c r="G319" i="18" a="1"/>
  <c r="G319" i="18" s="1"/>
  <c r="H141" i="35" a="1"/>
  <c r="H141" i="35" s="1"/>
  <c r="G317" i="18" a="1"/>
  <c r="G317" i="18" s="1"/>
  <c r="H138" i="35" a="1"/>
  <c r="H138" i="35" s="1"/>
  <c r="G315" i="18" a="1"/>
  <c r="G315" i="18" s="1"/>
  <c r="D46" i="72" a="1"/>
  <c r="D46" i="72" s="1"/>
  <c r="J103" i="18"/>
  <c r="F103" i="18"/>
  <c r="F358" i="18"/>
  <c r="J358" i="18"/>
  <c r="H295" i="18"/>
  <c r="I295" i="18"/>
  <c r="H337" i="18"/>
  <c r="I337" i="18"/>
  <c r="V21" i="74"/>
  <c r="R21" i="74"/>
  <c r="F142" i="18"/>
  <c r="J142" i="18"/>
  <c r="I73" i="18"/>
  <c r="H73" i="18"/>
  <c r="I74" i="18"/>
  <c r="H74" i="18"/>
  <c r="I32" i="18"/>
  <c r="H32" i="18"/>
  <c r="H31" i="18"/>
  <c r="I31" i="18"/>
  <c r="I39" i="18"/>
  <c r="H39" i="18"/>
  <c r="J355" i="18"/>
  <c r="F355" i="18"/>
  <c r="F143" i="18"/>
  <c r="J143" i="18"/>
  <c r="Z117" i="74"/>
  <c r="AA117" i="74"/>
  <c r="P117" i="74"/>
  <c r="J152" i="18"/>
  <c r="F152" i="18"/>
  <c r="I284" i="18"/>
  <c r="H284" i="18"/>
  <c r="H290" i="18"/>
  <c r="I290" i="18"/>
  <c r="H327" i="18"/>
  <c r="I327" i="18"/>
  <c r="H335" i="18"/>
  <c r="I335" i="18"/>
  <c r="V119" i="74"/>
  <c r="R119" i="74"/>
  <c r="S119" i="74" s="1"/>
  <c r="U119" i="74" s="1"/>
  <c r="W119" i="74"/>
  <c r="Y119" i="74" s="1"/>
  <c r="H72" i="18"/>
  <c r="I72" i="18"/>
  <c r="I36" i="18"/>
  <c r="H36" i="18"/>
  <c r="F404" i="18"/>
  <c r="J404" i="18"/>
  <c r="D110" i="72" a="1"/>
  <c r="D110" i="72" s="1"/>
  <c r="D111" i="72" s="1" a="1"/>
  <c r="D111" i="72" s="1"/>
  <c r="D232" i="72" a="1"/>
  <c r="D232" i="72" s="1"/>
  <c r="J352" i="18"/>
  <c r="F352" i="18"/>
  <c r="J356" i="18"/>
  <c r="F356" i="18"/>
  <c r="J364" i="18"/>
  <c r="F364" i="18"/>
  <c r="R71" i="74"/>
  <c r="S71" i="74" s="1"/>
  <c r="U71" i="74" s="1"/>
  <c r="W71" i="74"/>
  <c r="Y71" i="74" s="1"/>
  <c r="V71" i="74"/>
  <c r="H54" i="35" a="1"/>
  <c r="H54" i="35" s="1"/>
  <c r="G66" i="18" a="1"/>
  <c r="G66" i="18" s="1"/>
  <c r="H50" i="35" a="1"/>
  <c r="H50" i="35" s="1"/>
  <c r="H53" i="35" a="1"/>
  <c r="H53" i="35" s="1"/>
  <c r="G71" i="18" a="1"/>
  <c r="G71" i="18" s="1"/>
  <c r="O20" i="20"/>
  <c r="H56" i="35" a="1"/>
  <c r="H56" i="35" s="1"/>
  <c r="G67" i="18" a="1"/>
  <c r="G67" i="18" s="1"/>
  <c r="G63" i="18" a="1"/>
  <c r="G63" i="18" s="1"/>
  <c r="H46" i="35" a="1"/>
  <c r="H46" i="35" s="1"/>
  <c r="G68" i="18" a="1"/>
  <c r="G68" i="18" s="1"/>
  <c r="G70" i="18" a="1"/>
  <c r="G70" i="18" s="1"/>
  <c r="H49" i="35" a="1"/>
  <c r="H49" i="35" s="1"/>
  <c r="H52" i="35" a="1"/>
  <c r="H52" i="35" s="1"/>
  <c r="G62" i="18" a="1"/>
  <c r="G62" i="18" s="1"/>
  <c r="H57" i="35" a="1"/>
  <c r="H57" i="35" s="1"/>
  <c r="H48" i="35" a="1"/>
  <c r="H48" i="35" s="1"/>
  <c r="G69" i="18" a="1"/>
  <c r="G69" i="18" s="1"/>
  <c r="H45" i="35" a="1"/>
  <c r="H45" i="35" s="1"/>
  <c r="G61" i="18" a="1"/>
  <c r="G61" i="18" s="1"/>
  <c r="G64" i="18" a="1"/>
  <c r="G64" i="18" s="1"/>
  <c r="H51" i="35" a="1"/>
  <c r="H51" i="35" s="1"/>
  <c r="H55" i="35" a="1"/>
  <c r="H55" i="35" s="1"/>
  <c r="G65" i="18" a="1"/>
  <c r="G65" i="18" s="1"/>
  <c r="G58" i="18" a="1"/>
  <c r="G58" i="18" s="1"/>
  <c r="H47" i="35" a="1"/>
  <c r="H47" i="35" s="1"/>
  <c r="G60" i="18" a="1"/>
  <c r="G60" i="18" s="1"/>
  <c r="H58" i="35" a="1"/>
  <c r="H58" i="35" s="1"/>
  <c r="G59" i="18" a="1"/>
  <c r="G59" i="18" s="1"/>
  <c r="V9" i="66"/>
  <c r="R9" i="66"/>
  <c r="F362" i="18"/>
  <c r="J362" i="18"/>
  <c r="I332" i="18"/>
  <c r="H332" i="18"/>
  <c r="D14" i="72" a="1"/>
  <c r="D14" i="72" s="1"/>
  <c r="L29" i="39"/>
  <c r="I80" i="18"/>
  <c r="H80" i="18"/>
  <c r="I37" i="18"/>
  <c r="H37" i="18"/>
  <c r="D291" i="72" a="1"/>
  <c r="D291" i="72" s="1"/>
  <c r="F357" i="18"/>
  <c r="J357" i="18"/>
  <c r="J150" i="18"/>
  <c r="F150" i="18"/>
  <c r="D267" i="72" a="1"/>
  <c r="D267" i="72" s="1"/>
  <c r="D205" i="72" a="1"/>
  <c r="D205" i="72" s="1"/>
  <c r="D143" i="72" a="1"/>
  <c r="D143" i="72" s="1"/>
  <c r="W201" i="66" l="1"/>
  <c r="Y201" i="66" s="1"/>
  <c r="R201" i="66"/>
  <c r="S201" i="66" s="1"/>
  <c r="U201" i="66" s="1"/>
  <c r="P249" i="66"/>
  <c r="V249" i="66" s="1"/>
  <c r="D233" i="72" a="1"/>
  <c r="D233" i="72" s="1"/>
  <c r="I68" i="18"/>
  <c r="H68" i="18"/>
  <c r="V117" i="74"/>
  <c r="W117" i="74"/>
  <c r="Y117" i="74" s="1"/>
  <c r="R117" i="74"/>
  <c r="S117" i="74" s="1"/>
  <c r="U117" i="74" s="1"/>
  <c r="D47" i="72" a="1"/>
  <c r="D47" i="72" s="1"/>
  <c r="H311" i="18"/>
  <c r="I311" i="18"/>
  <c r="J330" i="18"/>
  <c r="F330" i="18"/>
  <c r="F326" i="18"/>
  <c r="J326" i="18"/>
  <c r="F77" i="18"/>
  <c r="J77" i="18"/>
  <c r="V9" i="74"/>
  <c r="R9" i="74"/>
  <c r="F84" i="18"/>
  <c r="J84" i="18"/>
  <c r="I27" i="18"/>
  <c r="H27" i="18"/>
  <c r="I275" i="18"/>
  <c r="H275" i="18"/>
  <c r="H272" i="18"/>
  <c r="I272" i="18"/>
  <c r="F293" i="18"/>
  <c r="J293" i="18"/>
  <c r="I58" i="18"/>
  <c r="H58" i="18"/>
  <c r="J36" i="18"/>
  <c r="F36" i="18"/>
  <c r="J39" i="18"/>
  <c r="F39" i="18"/>
  <c r="I315" i="18"/>
  <c r="H315" i="18"/>
  <c r="H321" i="18"/>
  <c r="I321" i="18"/>
  <c r="I314" i="18"/>
  <c r="H314" i="18"/>
  <c r="D76" i="72" a="1"/>
  <c r="D76" i="72" s="1"/>
  <c r="J328" i="18"/>
  <c r="F328" i="18"/>
  <c r="J38" i="18"/>
  <c r="F38" i="18"/>
  <c r="J288" i="18"/>
  <c r="F288" i="18"/>
  <c r="I278" i="18"/>
  <c r="H278" i="18"/>
  <c r="I273" i="18"/>
  <c r="H273" i="18"/>
  <c r="J33" i="18"/>
  <c r="F33" i="18"/>
  <c r="F334" i="18"/>
  <c r="J334" i="18"/>
  <c r="F83" i="18"/>
  <c r="J83" i="18"/>
  <c r="D292" i="72" a="1"/>
  <c r="D292" i="72" s="1"/>
  <c r="D293" i="72" s="1" a="1"/>
  <c r="D293" i="72" s="1"/>
  <c r="I64" i="18"/>
  <c r="H64" i="18"/>
  <c r="H63" i="18"/>
  <c r="I63" i="18"/>
  <c r="F290" i="18"/>
  <c r="J290" i="18"/>
  <c r="F31" i="18"/>
  <c r="J31" i="18"/>
  <c r="I323" i="18"/>
  <c r="H323" i="18"/>
  <c r="J41" i="18"/>
  <c r="F41" i="18"/>
  <c r="J75" i="18"/>
  <c r="F75" i="18"/>
  <c r="J283" i="18"/>
  <c r="F283" i="18"/>
  <c r="Z105" i="66"/>
  <c r="AA105" i="66"/>
  <c r="AA249" i="66"/>
  <c r="Z249" i="66"/>
  <c r="P105" i="66"/>
  <c r="H25" i="18"/>
  <c r="I25" i="18"/>
  <c r="J80" i="18"/>
  <c r="F80" i="18"/>
  <c r="I61" i="18"/>
  <c r="H61" i="18"/>
  <c r="I67" i="18"/>
  <c r="H67" i="18"/>
  <c r="F337" i="18"/>
  <c r="J337" i="18"/>
  <c r="I317" i="18"/>
  <c r="H317" i="18"/>
  <c r="I320" i="18"/>
  <c r="H320" i="18"/>
  <c r="J292" i="18"/>
  <c r="F292" i="18"/>
  <c r="X105" i="74"/>
  <c r="T105" i="74"/>
  <c r="Q105" i="74"/>
  <c r="O105" i="74"/>
  <c r="AC105" i="74"/>
  <c r="I22" i="18"/>
  <c r="H22" i="18"/>
  <c r="H274" i="18"/>
  <c r="I274" i="18"/>
  <c r="F40" i="18"/>
  <c r="J40" i="18"/>
  <c r="F332" i="18"/>
  <c r="J332" i="18"/>
  <c r="F295" i="18"/>
  <c r="J295" i="18"/>
  <c r="I310" i="18"/>
  <c r="H310" i="18"/>
  <c r="F81" i="18"/>
  <c r="J81" i="18"/>
  <c r="F282" i="18"/>
  <c r="J282" i="18"/>
  <c r="J285" i="18"/>
  <c r="F285" i="18"/>
  <c r="F289" i="18"/>
  <c r="J289" i="18"/>
  <c r="F43" i="18"/>
  <c r="J43" i="18"/>
  <c r="H277" i="18"/>
  <c r="I277" i="18"/>
  <c r="J35" i="18"/>
  <c r="F35" i="18"/>
  <c r="F42" i="18"/>
  <c r="J42" i="18"/>
  <c r="I69" i="18"/>
  <c r="H69" i="18"/>
  <c r="J284" i="18"/>
  <c r="F284" i="18"/>
  <c r="F32" i="18"/>
  <c r="J32" i="18"/>
  <c r="H319" i="18"/>
  <c r="I319" i="18"/>
  <c r="J30" i="18"/>
  <c r="F30" i="18"/>
  <c r="J325" i="18"/>
  <c r="F325" i="18"/>
  <c r="H17" i="18"/>
  <c r="I17" i="18"/>
  <c r="Z57" i="74"/>
  <c r="AA57" i="74"/>
  <c r="P57" i="74"/>
  <c r="I269" i="18"/>
  <c r="H269" i="18"/>
  <c r="F333" i="18"/>
  <c r="J333" i="18"/>
  <c r="J82" i="18"/>
  <c r="F82" i="18"/>
  <c r="J324" i="18"/>
  <c r="F324" i="18"/>
  <c r="J329" i="18"/>
  <c r="F329" i="18"/>
  <c r="I28" i="18"/>
  <c r="H28" i="18"/>
  <c r="F34" i="18"/>
  <c r="J34" i="18"/>
  <c r="W57" i="66"/>
  <c r="Y57" i="66" s="1"/>
  <c r="V57" i="66"/>
  <c r="R57" i="66"/>
  <c r="S57" i="66" s="1"/>
  <c r="U57" i="66" s="1"/>
  <c r="D234" i="72" a="1"/>
  <c r="D234" i="72" s="1"/>
  <c r="D235" i="72" s="1" a="1"/>
  <c r="D235" i="72" s="1"/>
  <c r="F335" i="18"/>
  <c r="J335" i="18"/>
  <c r="D112" i="72" a="1"/>
  <c r="D112" i="72" s="1"/>
  <c r="H313" i="18"/>
  <c r="I313" i="18"/>
  <c r="H322" i="18"/>
  <c r="I322" i="18"/>
  <c r="J291" i="18"/>
  <c r="F291" i="18"/>
  <c r="I19" i="18"/>
  <c r="H19" i="18"/>
  <c r="I20" i="18"/>
  <c r="H20" i="18"/>
  <c r="I279" i="18"/>
  <c r="H279" i="18"/>
  <c r="H276" i="18"/>
  <c r="I276" i="18"/>
  <c r="J331" i="18"/>
  <c r="F331" i="18"/>
  <c r="H59" i="18"/>
  <c r="I59" i="18"/>
  <c r="I71" i="18"/>
  <c r="H71" i="18"/>
  <c r="I60" i="18"/>
  <c r="H60" i="18"/>
  <c r="I62" i="18"/>
  <c r="H62" i="18"/>
  <c r="J74" i="18"/>
  <c r="F74" i="18"/>
  <c r="I26" i="18"/>
  <c r="H26" i="18"/>
  <c r="I24" i="18"/>
  <c r="H24" i="18"/>
  <c r="H270" i="18"/>
  <c r="I270" i="18"/>
  <c r="J287" i="18"/>
  <c r="F287" i="18"/>
  <c r="I66" i="18"/>
  <c r="H66" i="18"/>
  <c r="F327" i="18"/>
  <c r="J327" i="18"/>
  <c r="H312" i="18"/>
  <c r="I312" i="18"/>
  <c r="J294" i="18"/>
  <c r="F294" i="18"/>
  <c r="I16" i="18"/>
  <c r="H16" i="18"/>
  <c r="I281" i="18"/>
  <c r="H281" i="18"/>
  <c r="J73" i="18"/>
  <c r="F73" i="18"/>
  <c r="I318" i="18"/>
  <c r="H318" i="18"/>
  <c r="I316" i="18"/>
  <c r="H316" i="18"/>
  <c r="F85" i="18"/>
  <c r="J85" i="18"/>
  <c r="J79" i="18"/>
  <c r="F79" i="18"/>
  <c r="I18" i="18"/>
  <c r="H18" i="18"/>
  <c r="H29" i="18"/>
  <c r="I29" i="18"/>
  <c r="I271" i="18"/>
  <c r="H271" i="18"/>
  <c r="I268" i="18"/>
  <c r="H268" i="18"/>
  <c r="F286" i="18"/>
  <c r="J286" i="18"/>
  <c r="F37" i="18"/>
  <c r="J37" i="18"/>
  <c r="D15" i="72" a="1"/>
  <c r="D15" i="72" s="1"/>
  <c r="I65" i="18"/>
  <c r="H65" i="18"/>
  <c r="H70" i="18"/>
  <c r="I70" i="18"/>
  <c r="F72" i="18"/>
  <c r="J72" i="18"/>
  <c r="J336" i="18"/>
  <c r="F336" i="18"/>
  <c r="H21" i="18"/>
  <c r="I21" i="18"/>
  <c r="H23" i="18"/>
  <c r="I23" i="18"/>
  <c r="F76" i="18"/>
  <c r="J76" i="18"/>
  <c r="H280" i="18"/>
  <c r="I280" i="18"/>
  <c r="J78" i="18"/>
  <c r="F78" i="18"/>
  <c r="D206" i="72" a="1"/>
  <c r="D206" i="72" s="1"/>
  <c r="D175" i="72" a="1"/>
  <c r="D175" i="72" s="1"/>
  <c r="D268" i="72" a="1"/>
  <c r="D268" i="72" s="1"/>
  <c r="D144" i="72" a="1"/>
  <c r="D144" i="72" s="1"/>
  <c r="R249" i="66" l="1"/>
  <c r="S249" i="66" s="1"/>
  <c r="U249" i="66" s="1"/>
  <c r="W249" i="66"/>
  <c r="Y249" i="66" s="1"/>
  <c r="D236" i="72" a="1"/>
  <c r="D236" i="72" s="1"/>
  <c r="D237" i="72" s="1" a="1"/>
  <c r="D237" i="72" s="1"/>
  <c r="D238" i="72" s="1" a="1"/>
  <c r="D238" i="72" s="1"/>
  <c r="J23" i="18"/>
  <c r="F23" i="18"/>
  <c r="F281" i="18"/>
  <c r="J281" i="18"/>
  <c r="J21" i="18"/>
  <c r="F21" i="18"/>
  <c r="F65" i="18"/>
  <c r="J65" i="18"/>
  <c r="J71" i="18"/>
  <c r="F71" i="18"/>
  <c r="F279" i="18"/>
  <c r="J279" i="18"/>
  <c r="J28" i="18"/>
  <c r="F28" i="18"/>
  <c r="F278" i="18"/>
  <c r="J278" i="18"/>
  <c r="J315" i="18"/>
  <c r="F315" i="18"/>
  <c r="F316" i="18"/>
  <c r="J316" i="18"/>
  <c r="V57" i="74"/>
  <c r="R57" i="74"/>
  <c r="S57" i="74" s="1"/>
  <c r="U57" i="74" s="1"/>
  <c r="W57" i="74"/>
  <c r="Y57" i="74" s="1"/>
  <c r="F277" i="18"/>
  <c r="J277" i="18"/>
  <c r="F61" i="18"/>
  <c r="J61" i="18"/>
  <c r="D16" i="72" a="1"/>
  <c r="D16" i="72" s="1"/>
  <c r="J29" i="18"/>
  <c r="F29" i="18"/>
  <c r="F16" i="18"/>
  <c r="J16" i="18"/>
  <c r="F20" i="18"/>
  <c r="J20" i="18"/>
  <c r="F22" i="18"/>
  <c r="J22" i="18"/>
  <c r="J272" i="18"/>
  <c r="F272" i="18"/>
  <c r="F68" i="18"/>
  <c r="J68" i="18"/>
  <c r="F24" i="18"/>
  <c r="J24" i="18"/>
  <c r="AD105" i="74"/>
  <c r="J323" i="18"/>
  <c r="F323" i="18"/>
  <c r="J318" i="18"/>
  <c r="F318" i="18"/>
  <c r="F62" i="18"/>
  <c r="J62" i="18"/>
  <c r="J268" i="18"/>
  <c r="F268" i="18"/>
  <c r="J59" i="18"/>
  <c r="F59" i="18"/>
  <c r="AA105" i="74"/>
  <c r="Z105" i="74"/>
  <c r="P105" i="74"/>
  <c r="F25" i="18"/>
  <c r="J25" i="18"/>
  <c r="J63" i="18"/>
  <c r="F63" i="18"/>
  <c r="J311" i="18"/>
  <c r="F311" i="18"/>
  <c r="J18" i="18"/>
  <c r="F18" i="18"/>
  <c r="J270" i="18"/>
  <c r="F270" i="18"/>
  <c r="F60" i="18"/>
  <c r="J60" i="18"/>
  <c r="J17" i="18"/>
  <c r="F17" i="18"/>
  <c r="J320" i="18"/>
  <c r="F320" i="18"/>
  <c r="J312" i="18"/>
  <c r="F312" i="18"/>
  <c r="J19" i="18"/>
  <c r="F19" i="18"/>
  <c r="J322" i="18"/>
  <c r="F322" i="18"/>
  <c r="F317" i="18"/>
  <c r="J317" i="18"/>
  <c r="J64" i="18"/>
  <c r="F64" i="18"/>
  <c r="D48" i="72" a="1"/>
  <c r="D48" i="72" s="1"/>
  <c r="F26" i="18"/>
  <c r="J26" i="18"/>
  <c r="J310" i="18"/>
  <c r="F310" i="18"/>
  <c r="J314" i="18"/>
  <c r="F314" i="18"/>
  <c r="J275" i="18"/>
  <c r="F275" i="18"/>
  <c r="J280" i="18"/>
  <c r="F280" i="18"/>
  <c r="F70" i="18"/>
  <c r="J70" i="18"/>
  <c r="J271" i="18"/>
  <c r="F271" i="18"/>
  <c r="J276" i="18"/>
  <c r="F276" i="18"/>
  <c r="F313" i="18"/>
  <c r="J313" i="18"/>
  <c r="J269" i="18"/>
  <c r="F269" i="18"/>
  <c r="J319" i="18"/>
  <c r="F319" i="18"/>
  <c r="J69" i="18"/>
  <c r="F69" i="18"/>
  <c r="R105" i="66"/>
  <c r="S105" i="66" s="1"/>
  <c r="U105" i="66" s="1"/>
  <c r="V105" i="66"/>
  <c r="W105" i="66"/>
  <c r="Y105" i="66" s="1"/>
  <c r="F321" i="18"/>
  <c r="J321" i="18"/>
  <c r="J274" i="18"/>
  <c r="F274" i="18"/>
  <c r="D294" i="72" a="1"/>
  <c r="D294" i="72" s="1"/>
  <c r="D295" i="72" s="1" a="1"/>
  <c r="D295" i="72" s="1"/>
  <c r="F273" i="18"/>
  <c r="J273" i="18"/>
  <c r="J58" i="18"/>
  <c r="F58" i="18"/>
  <c r="J66" i="18"/>
  <c r="F66" i="18"/>
  <c r="J67" i="18"/>
  <c r="F67" i="18"/>
  <c r="D77" i="72" a="1"/>
  <c r="D77" i="72" s="1"/>
  <c r="D78" i="72" s="1" a="1"/>
  <c r="D78" i="72" s="1"/>
  <c r="J27" i="18"/>
  <c r="F27" i="18"/>
  <c r="D113" i="72" a="1"/>
  <c r="D113" i="72" s="1"/>
  <c r="D114" i="72" s="1" a="1"/>
  <c r="D114" i="72" s="1"/>
  <c r="D115" i="72" s="1" a="1"/>
  <c r="D115" i="72" s="1"/>
  <c r="D269" i="72" a="1"/>
  <c r="D269" i="72" s="1"/>
  <c r="D207" i="72" a="1"/>
  <c r="D207" i="72" s="1"/>
  <c r="D145" i="72" a="1"/>
  <c r="D145" i="72" s="1"/>
  <c r="D176" i="72" a="1"/>
  <c r="D176" i="72" s="1"/>
  <c r="D79" i="72" l="1" a="1"/>
  <c r="D79" i="72" s="1"/>
  <c r="D80" i="72" s="1" a="1"/>
  <c r="D80" i="72" s="1"/>
  <c r="D49" i="72" a="1"/>
  <c r="D49" i="72" s="1"/>
  <c r="D116" i="72" a="1"/>
  <c r="D116" i="72" s="1"/>
  <c r="D117" i="72" s="1" a="1"/>
  <c r="D117" i="72" s="1"/>
  <c r="D118" i="72" s="1" a="1"/>
  <c r="D118" i="72" s="1"/>
  <c r="D296" i="72" a="1"/>
  <c r="D296" i="72" s="1"/>
  <c r="R105" i="74"/>
  <c r="S105" i="74" s="1"/>
  <c r="U105" i="74" s="1"/>
  <c r="V105" i="74"/>
  <c r="W105" i="74"/>
  <c r="Y105" i="74" s="1"/>
  <c r="D17" i="72" a="1"/>
  <c r="D17" i="72" s="1"/>
  <c r="D177" i="72" a="1"/>
  <c r="D177" i="72" s="1"/>
  <c r="D146" i="72" a="1"/>
  <c r="D146" i="72" s="1"/>
  <c r="D208" i="72" a="1"/>
  <c r="D208" i="72" s="1"/>
  <c r="D270" i="72" a="1"/>
  <c r="D270" i="72" s="1"/>
  <c r="D239" i="72" a="1"/>
  <c r="D239" i="72" s="1"/>
  <c r="D81" i="72" l="1" a="1"/>
  <c r="D81" i="72" s="1"/>
  <c r="D82" i="72" s="1" a="1"/>
  <c r="D82" i="72" s="1"/>
  <c r="D18" i="72" a="1"/>
  <c r="D18" i="72" s="1"/>
  <c r="D19" i="72" s="1" a="1"/>
  <c r="D19" i="72" s="1"/>
  <c r="D20" i="72" s="1" a="1"/>
  <c r="D20" i="72" s="1"/>
  <c r="D50" i="72" a="1"/>
  <c r="D50" i="72" s="1"/>
  <c r="D51" i="72" s="1" a="1"/>
  <c r="D51" i="72" s="1"/>
  <c r="D52" i="72" s="1" a="1"/>
  <c r="D52" i="72" s="1"/>
  <c r="D297" i="72" a="1"/>
  <c r="D297" i="72" s="1"/>
  <c r="D298" i="72" s="1" a="1"/>
  <c r="D298" i="72" s="1"/>
  <c r="D240" i="72" a="1"/>
  <c r="D240" i="72" s="1"/>
  <c r="D147" i="72" a="1"/>
  <c r="D147" i="72" s="1"/>
  <c r="D119" i="72" a="1"/>
  <c r="D119" i="72" s="1"/>
  <c r="D178" i="72" a="1"/>
  <c r="D178" i="72" s="1"/>
  <c r="D209" i="72" a="1"/>
  <c r="D209" i="72" s="1"/>
  <c r="D271" i="72" a="1"/>
  <c r="D271" i="72" s="1"/>
  <c r="D83" i="72" l="1" a="1"/>
  <c r="D83" i="72" s="1"/>
  <c r="D84" i="72" s="1" a="1"/>
  <c r="D84" i="72" s="1"/>
  <c r="D299" i="72" a="1"/>
  <c r="D299" i="72" s="1"/>
  <c r="D300" i="72" s="1" a="1"/>
  <c r="D300" i="72" s="1"/>
  <c r="D301" i="72" s="1" a="1"/>
  <c r="D301" i="72" s="1"/>
  <c r="D302" i="72" s="1" a="1"/>
  <c r="D302" i="72" s="1"/>
  <c r="D53" i="72" a="1"/>
  <c r="D53" i="72" s="1"/>
  <c r="D54" i="72" s="1" a="1"/>
  <c r="D54" i="72" s="1"/>
  <c r="D21" i="72" a="1"/>
  <c r="D21" i="72" s="1"/>
  <c r="D22" i="72" s="1" a="1"/>
  <c r="D22" i="72" s="1"/>
  <c r="D23" i="72" s="1" a="1"/>
  <c r="D23" i="72" s="1"/>
  <c r="D148" i="72" a="1"/>
  <c r="D148" i="72" s="1"/>
  <c r="D210" i="72" a="1"/>
  <c r="D210" i="72" s="1"/>
  <c r="D272" i="72" a="1"/>
  <c r="D272" i="72" s="1"/>
  <c r="D179" i="72" a="1"/>
  <c r="D179" i="72" s="1"/>
  <c r="D241" i="72" a="1"/>
  <c r="D241" i="72" s="1"/>
  <c r="D120" i="72" a="1"/>
  <c r="D120" i="72" s="1"/>
  <c r="D55" i="72" l="1" a="1"/>
  <c r="D55" i="72" s="1"/>
  <c r="D56" i="72" a="1"/>
  <c r="D56" i="72" s="1"/>
  <c r="D57" i="72" s="1" a="1"/>
  <c r="D57" i="72" s="1"/>
  <c r="D24" i="72" a="1"/>
  <c r="D24" i="72" s="1"/>
  <c r="D211" i="72" a="1"/>
  <c r="D211" i="72" s="1"/>
  <c r="D303" i="72" a="1"/>
  <c r="D303" i="72" s="1"/>
  <c r="D85" i="72" a="1"/>
  <c r="D85" i="72" s="1"/>
  <c r="D180" i="72" a="1"/>
  <c r="D180" i="72" s="1"/>
  <c r="D121" i="72" a="1"/>
  <c r="D121" i="72" s="1"/>
  <c r="D273" i="72" a="1"/>
  <c r="D273" i="72" s="1"/>
  <c r="D242" i="72" a="1"/>
  <c r="D242" i="72" s="1"/>
  <c r="D149" i="72" a="1"/>
  <c r="D149" i="72" s="1"/>
  <c r="D58" i="72" l="1" a="1"/>
  <c r="D58" i="72" s="1"/>
  <c r="D59" i="72" s="1" a="1"/>
  <c r="D59" i="72" s="1"/>
  <c r="D60" i="72" s="1" a="1"/>
  <c r="D60" i="72" s="1"/>
  <c r="D25" i="72" a="1"/>
  <c r="D25" i="72" s="1"/>
  <c r="D181" i="72" a="1"/>
  <c r="D181" i="72" s="1"/>
  <c r="D243" i="72" a="1"/>
  <c r="D243" i="72" s="1"/>
  <c r="D150" i="72" a="1"/>
  <c r="D150" i="72" s="1"/>
  <c r="D86" i="72" a="1"/>
  <c r="D86" i="72" s="1"/>
  <c r="D212" i="72" a="1"/>
  <c r="D212" i="72" s="1"/>
  <c r="D122" i="72" a="1"/>
  <c r="D122" i="72" s="1"/>
  <c r="D274" i="72" a="1"/>
  <c r="D274" i="72" s="1"/>
  <c r="D304" i="72" a="1"/>
  <c r="D304" i="72" s="1"/>
  <c r="D26" i="72" l="1" a="1"/>
  <c r="D26" i="72" s="1"/>
  <c r="D213" i="72" a="1"/>
  <c r="D213" i="72" s="1"/>
  <c r="D305" i="72" a="1"/>
  <c r="D305" i="72" s="1"/>
  <c r="D244" i="72" a="1"/>
  <c r="D244" i="72" s="1"/>
  <c r="D275" i="72" a="1"/>
  <c r="D275" i="72" s="1"/>
  <c r="D151" i="72" a="1"/>
  <c r="D151" i="72" s="1"/>
  <c r="D87" i="72" a="1"/>
  <c r="D87" i="72" s="1"/>
  <c r="D182" i="72" a="1"/>
  <c r="D182" i="72" s="1"/>
  <c r="D123" i="72" a="1"/>
  <c r="D123" i="72" s="1"/>
  <c r="D61" i="72" a="1"/>
  <c r="D61" i="72" s="1"/>
  <c r="D27" i="72" l="1" a="1"/>
  <c r="D27" i="72" s="1"/>
  <c r="D183" i="72" a="1"/>
  <c r="D183" i="72" s="1"/>
  <c r="D245" i="72" a="1"/>
  <c r="D245" i="72" s="1"/>
  <c r="D214" i="72" a="1"/>
  <c r="D214" i="72" s="1"/>
  <c r="D152" i="72" a="1"/>
  <c r="D152" i="72" s="1"/>
  <c r="D62" i="72" a="1"/>
  <c r="D62" i="72" s="1"/>
  <c r="D306" i="72" a="1"/>
  <c r="D306" i="72" s="1"/>
  <c r="D276" i="72" a="1"/>
  <c r="D276" i="72" s="1"/>
  <c r="D88" i="72" a="1"/>
  <c r="D88" i="72" s="1"/>
  <c r="D124" i="72" a="1"/>
  <c r="D124" i="72" s="1"/>
  <c r="D28" i="72" l="1" a="1"/>
  <c r="D28" i="72" s="1"/>
  <c r="D277" i="72" a="1"/>
  <c r="D277" i="72" s="1"/>
  <c r="D125" i="72" a="1"/>
  <c r="D125" i="72" s="1"/>
  <c r="D215" i="72" a="1"/>
  <c r="D215" i="72" s="1"/>
  <c r="D246" i="72" a="1"/>
  <c r="D246" i="72" s="1"/>
  <c r="D89" i="72" a="1"/>
  <c r="D89" i="72" s="1"/>
  <c r="D153" i="72" a="1"/>
  <c r="D153" i="72" s="1"/>
  <c r="D307" i="72" a="1"/>
  <c r="D307" i="72" s="1"/>
  <c r="D63" i="72" a="1"/>
  <c r="D63" i="72" s="1"/>
  <c r="D184" i="72" a="1"/>
  <c r="D184" i="72" s="1"/>
  <c r="D29" i="72" l="1" a="1"/>
  <c r="D29" i="72" s="1"/>
  <c r="D154" i="72" a="1"/>
  <c r="D154" i="72" s="1"/>
  <c r="D90" i="72" a="1"/>
  <c r="D90" i="72" s="1"/>
  <c r="D185" i="72" a="1"/>
  <c r="D185" i="72" s="1"/>
  <c r="D247" i="72" a="1"/>
  <c r="D247" i="72" s="1"/>
  <c r="D216" i="72" a="1"/>
  <c r="D216" i="72" s="1"/>
  <c r="D278" i="72" a="1"/>
  <c r="D278" i="72" s="1"/>
  <c r="D308" i="72" a="1"/>
  <c r="D308" i="72" s="1"/>
  <c r="D30" i="72" l="1" a="1"/>
  <c r="D30" i="72" s="1"/>
  <c r="D31" i="72" s="1" a="1"/>
  <c r="D31" i="72" s="1"/>
  <c r="D309" i="72" a="1"/>
  <c r="D309" i="72" s="1"/>
  <c r="D91" i="72" a="1"/>
  <c r="D91" i="72" s="1"/>
  <c r="D217" i="72" a="1"/>
  <c r="D217" i="72" s="1"/>
  <c r="D155" i="72" a="1"/>
  <c r="D155" i="72" s="1"/>
  <c r="D248" i="72" a="1"/>
  <c r="D248" i="72" s="1"/>
  <c r="D186" i="72" a="1"/>
  <c r="D186" i="72" s="1"/>
  <c r="D279" i="72" a="1"/>
  <c r="D279" i="72" s="1"/>
  <c r="D32" i="72" l="1" a="1"/>
  <c r="D32" i="72" s="1"/>
  <c r="D280" i="72" a="1"/>
  <c r="D280" i="72" s="1"/>
  <c r="D156" i="72" a="1"/>
  <c r="D156" i="72" s="1"/>
  <c r="D92" i="72" a="1"/>
  <c r="D92" i="72" s="1"/>
  <c r="D218" i="72" a="1"/>
  <c r="D218" i="72" s="1"/>
  <c r="D187" i="72" a="1"/>
  <c r="D187" i="72" s="1"/>
  <c r="D249" i="72" a="1"/>
  <c r="D249" i="72" s="1"/>
  <c r="D310" i="72" a="1"/>
  <c r="D310" i="72" s="1"/>
  <c r="D93" i="72" l="1" a="1"/>
  <c r="D93" i="72" s="1"/>
  <c r="D311" i="72" a="1"/>
  <c r="D311" i="72" s="1"/>
  <c r="D94" i="72" l="1" a="1"/>
  <c r="D94" i="72" s="1"/>
  <c r="H183" i="58" l="1"/>
  <c r="H183" i="37"/>
  <c r="I183" i="58"/>
  <c r="I183" i="37"/>
  <c r="J183" i="58"/>
  <c r="J183" i="37"/>
  <c r="H184" i="58"/>
  <c r="H184" i="37"/>
  <c r="I184" i="37"/>
  <c r="I184" i="58"/>
  <c r="J184" i="37"/>
  <c r="J184" i="58"/>
  <c r="J183" i="41" l="1"/>
  <c r="H183" i="41"/>
  <c r="J407" i="58"/>
  <c r="J407" i="37"/>
  <c r="I410" i="37"/>
  <c r="I410" i="58"/>
  <c r="I388" i="58"/>
  <c r="I388" i="37"/>
  <c r="J379" i="37"/>
  <c r="J379" i="58"/>
  <c r="I348" i="37"/>
  <c r="I348" i="58"/>
  <c r="H370" i="58"/>
  <c r="H370" i="37"/>
  <c r="H377" i="58"/>
  <c r="H377" i="37"/>
  <c r="J373" i="58"/>
  <c r="J373" i="37"/>
  <c r="J376" i="58"/>
  <c r="J376" i="37"/>
  <c r="I371" i="58"/>
  <c r="I371" i="37"/>
  <c r="J184" i="41"/>
  <c r="H410" i="58"/>
  <c r="H410" i="37"/>
  <c r="H284" i="58"/>
  <c r="H284" i="37"/>
  <c r="H394" i="58"/>
  <c r="H394" i="37"/>
  <c r="H236" i="58"/>
  <c r="H236" i="37"/>
  <c r="I409" i="37"/>
  <c r="I409" i="58"/>
  <c r="I406" i="37"/>
  <c r="I406" i="58"/>
  <c r="J406" i="37"/>
  <c r="J406" i="58"/>
  <c r="H254" i="58"/>
  <c r="H254" i="37"/>
  <c r="J394" i="58"/>
  <c r="J394" i="37"/>
  <c r="H320" i="58"/>
  <c r="H320" i="37"/>
  <c r="I184" i="41"/>
  <c r="J370" i="58"/>
  <c r="J370" i="37"/>
  <c r="H398" i="58"/>
  <c r="H398" i="37"/>
  <c r="H386" i="58"/>
  <c r="H386" i="37"/>
  <c r="H351" i="58"/>
  <c r="H351" i="37"/>
  <c r="H328" i="58"/>
  <c r="H328" i="37"/>
  <c r="H184" i="41"/>
  <c r="I422" i="37"/>
  <c r="I422" i="58"/>
  <c r="H406" i="58"/>
  <c r="H406" i="37"/>
  <c r="I382" i="37"/>
  <c r="I382" i="58"/>
  <c r="H344" i="58"/>
  <c r="H344" i="37"/>
  <c r="J382" i="58"/>
  <c r="J382" i="37"/>
  <c r="I260" i="58"/>
  <c r="I260" i="37"/>
  <c r="H374" i="58"/>
  <c r="H374" i="37"/>
  <c r="I278" i="37"/>
  <c r="I278" i="58"/>
  <c r="I374" i="37"/>
  <c r="I374" i="58"/>
  <c r="J413" i="58"/>
  <c r="J413" i="37"/>
  <c r="I412" i="37"/>
  <c r="I412" i="58"/>
  <c r="I415" i="58"/>
  <c r="I415" i="37"/>
  <c r="I308" i="58"/>
  <c r="I308" i="37"/>
  <c r="I183" i="41"/>
  <c r="J314" i="58"/>
  <c r="J314" i="37"/>
  <c r="J404" i="58"/>
  <c r="J404" i="37"/>
  <c r="I395" i="37"/>
  <c r="I395" i="58"/>
  <c r="H269" i="58"/>
  <c r="H269" i="37"/>
  <c r="J236" i="37"/>
  <c r="J236" i="58"/>
  <c r="I363" i="37"/>
  <c r="I363" i="58"/>
  <c r="I360" i="37"/>
  <c r="I360" i="58"/>
  <c r="J409" i="58"/>
  <c r="J409" i="37"/>
  <c r="H392" i="58"/>
  <c r="H392" i="37"/>
  <c r="I383" i="58"/>
  <c r="I383" i="37"/>
  <c r="H305" i="58"/>
  <c r="H305" i="37"/>
  <c r="J244" i="58"/>
  <c r="J244" i="37"/>
  <c r="H422" i="58"/>
  <c r="H422" i="37"/>
  <c r="J290" i="58"/>
  <c r="J290" i="37"/>
  <c r="J401" i="37"/>
  <c r="J401" i="58"/>
  <c r="H388" i="58"/>
  <c r="H388" i="37"/>
  <c r="H379" i="58"/>
  <c r="H379" i="37"/>
  <c r="H317" i="58"/>
  <c r="H317" i="37"/>
  <c r="J344" i="58"/>
  <c r="J344" i="37"/>
  <c r="H379" i="41" l="1"/>
  <c r="H305" i="41"/>
  <c r="I409" i="41"/>
  <c r="H377" i="41"/>
  <c r="J407" i="41"/>
  <c r="J344" i="41"/>
  <c r="J376" i="41"/>
  <c r="I388" i="41"/>
  <c r="J413" i="41"/>
  <c r="H344" i="41"/>
  <c r="H422" i="41"/>
  <c r="I374" i="41"/>
  <c r="I382" i="41"/>
  <c r="H254" i="41"/>
  <c r="J314" i="41"/>
  <c r="H398" i="41"/>
  <c r="I308" i="41"/>
  <c r="H374" i="41"/>
  <c r="J236" i="41"/>
  <c r="J382" i="41"/>
  <c r="J394" i="41"/>
  <c r="H394" i="41"/>
  <c r="I410" i="41"/>
  <c r="H284" i="41"/>
  <c r="I395" i="41"/>
  <c r="J290" i="41"/>
  <c r="J409" i="41"/>
  <c r="J406" i="41"/>
  <c r="I278" i="41"/>
  <c r="I406" i="41"/>
  <c r="I363" i="41"/>
  <c r="J379" i="41"/>
  <c r="H320" i="41"/>
  <c r="H236" i="41"/>
  <c r="J401" i="41"/>
  <c r="H418" i="58"/>
  <c r="H418" i="37"/>
  <c r="J368" i="58"/>
  <c r="J368" i="37"/>
  <c r="H185" i="58"/>
  <c r="H185" i="37"/>
  <c r="J377" i="58"/>
  <c r="J377" i="37"/>
  <c r="H413" i="58"/>
  <c r="H413" i="37"/>
  <c r="J240" i="58"/>
  <c r="J240" i="37"/>
  <c r="H308" i="58"/>
  <c r="H308" i="37"/>
  <c r="J320" i="58"/>
  <c r="J320" i="37"/>
  <c r="H409" i="58"/>
  <c r="H409" i="37"/>
  <c r="I340" i="58"/>
  <c r="I340" i="37"/>
  <c r="I370" i="37"/>
  <c r="I370" i="58"/>
  <c r="H290" i="58"/>
  <c r="H290" i="37"/>
  <c r="I376" i="58"/>
  <c r="I376" i="37"/>
  <c r="J340" i="58"/>
  <c r="J340" i="37"/>
  <c r="J293" i="58"/>
  <c r="J293" i="37"/>
  <c r="J356" i="37"/>
  <c r="J356" i="58"/>
  <c r="H347" i="58"/>
  <c r="H347" i="37"/>
  <c r="J332" i="37"/>
  <c r="J332" i="58"/>
  <c r="J193" i="58"/>
  <c r="J193" i="37"/>
  <c r="J217" i="37"/>
  <c r="J217" i="58"/>
  <c r="H146" i="58"/>
  <c r="H146" i="37"/>
  <c r="H172" i="58"/>
  <c r="H172" i="37"/>
  <c r="I321" i="37"/>
  <c r="I321" i="58"/>
  <c r="I162" i="58"/>
  <c r="I162" i="37"/>
  <c r="I235" i="58"/>
  <c r="I235" i="37"/>
  <c r="J154" i="58"/>
  <c r="J154" i="37"/>
  <c r="J178" i="58"/>
  <c r="J178" i="37"/>
  <c r="H208" i="58"/>
  <c r="H208" i="37"/>
  <c r="I277" i="37"/>
  <c r="I277" i="58"/>
  <c r="I204" i="37"/>
  <c r="I204" i="58"/>
  <c r="I267" i="37"/>
  <c r="I267" i="58"/>
  <c r="J206" i="58"/>
  <c r="J206" i="37"/>
  <c r="I281" i="37"/>
  <c r="I281" i="58"/>
  <c r="I343" i="58"/>
  <c r="I343" i="37"/>
  <c r="H163" i="58"/>
  <c r="H163" i="37"/>
  <c r="I261" i="37"/>
  <c r="I261" i="58"/>
  <c r="I155" i="58"/>
  <c r="I155" i="37"/>
  <c r="I179" i="37"/>
  <c r="I179" i="58"/>
  <c r="J143" i="58"/>
  <c r="J143" i="37"/>
  <c r="J167" i="58"/>
  <c r="J167" i="37"/>
  <c r="H197" i="58"/>
  <c r="H197" i="37"/>
  <c r="H221" i="58"/>
  <c r="H221" i="37"/>
  <c r="I197" i="37"/>
  <c r="I197" i="58"/>
  <c r="I221" i="58"/>
  <c r="I221" i="37"/>
  <c r="H227" i="58"/>
  <c r="H227" i="37"/>
  <c r="H253" i="58"/>
  <c r="H253" i="37"/>
  <c r="H289" i="58"/>
  <c r="H289" i="37"/>
  <c r="H323" i="58"/>
  <c r="H323" i="37"/>
  <c r="H353" i="58"/>
  <c r="H353" i="37"/>
  <c r="J273" i="37"/>
  <c r="J273" i="58"/>
  <c r="J309" i="37"/>
  <c r="J309" i="58"/>
  <c r="J337" i="37"/>
  <c r="J337" i="58"/>
  <c r="H230" i="58"/>
  <c r="H230" i="37"/>
  <c r="H270" i="58"/>
  <c r="H270" i="37"/>
  <c r="H306" i="58"/>
  <c r="H306" i="37"/>
  <c r="H350" i="58"/>
  <c r="H350" i="37"/>
  <c r="I276" i="37"/>
  <c r="I276" i="58"/>
  <c r="I312" i="58"/>
  <c r="I312" i="37"/>
  <c r="J226" i="37"/>
  <c r="J226" i="58"/>
  <c r="J268" i="37"/>
  <c r="J268" i="58"/>
  <c r="J304" i="58"/>
  <c r="J304" i="37"/>
  <c r="J346" i="37"/>
  <c r="J346" i="58"/>
  <c r="H384" i="58"/>
  <c r="H384" i="37"/>
  <c r="I384" i="58"/>
  <c r="I384" i="37"/>
  <c r="J402" i="58"/>
  <c r="J402" i="37"/>
  <c r="H411" i="58"/>
  <c r="H411" i="37"/>
  <c r="I411" i="37"/>
  <c r="I411" i="58"/>
  <c r="J411" i="37"/>
  <c r="J411" i="58"/>
  <c r="I314" i="58"/>
  <c r="I314" i="37"/>
  <c r="J404" i="41"/>
  <c r="H386" i="41"/>
  <c r="H370" i="41"/>
  <c r="I421" i="37"/>
  <c r="I421" i="58"/>
  <c r="I373" i="37"/>
  <c r="I373" i="58"/>
  <c r="I290" i="58"/>
  <c r="I290" i="37"/>
  <c r="H421" i="58"/>
  <c r="H421" i="37"/>
  <c r="H348" i="58"/>
  <c r="H348" i="37"/>
  <c r="H415" i="58"/>
  <c r="H415" i="37"/>
  <c r="J410" i="58"/>
  <c r="J410" i="37"/>
  <c r="H244" i="58"/>
  <c r="H244" i="37"/>
  <c r="J422" i="37"/>
  <c r="J422" i="58"/>
  <c r="H263" i="58"/>
  <c r="H263" i="37"/>
  <c r="I283" i="58"/>
  <c r="I283" i="37"/>
  <c r="J195" i="58"/>
  <c r="J195" i="37"/>
  <c r="J219" i="37"/>
  <c r="J219" i="58"/>
  <c r="H148" i="58"/>
  <c r="H148" i="37"/>
  <c r="H174" i="58"/>
  <c r="H174" i="37"/>
  <c r="I345" i="37"/>
  <c r="I345" i="58"/>
  <c r="I164" i="58"/>
  <c r="I164" i="37"/>
  <c r="I243" i="58"/>
  <c r="I243" i="37"/>
  <c r="J156" i="58"/>
  <c r="J156" i="37"/>
  <c r="J180" i="58"/>
  <c r="J180" i="37"/>
  <c r="H210" i="58"/>
  <c r="H210" i="37"/>
  <c r="I301" i="37"/>
  <c r="I301" i="58"/>
  <c r="I206" i="37"/>
  <c r="I206" i="58"/>
  <c r="I291" i="58"/>
  <c r="I291" i="37"/>
  <c r="J208" i="58"/>
  <c r="J208" i="37"/>
  <c r="I305" i="37"/>
  <c r="I305" i="58"/>
  <c r="H141" i="58"/>
  <c r="H141" i="37"/>
  <c r="H165" i="58"/>
  <c r="H165" i="37"/>
  <c r="I285" i="37"/>
  <c r="I285" i="58"/>
  <c r="I157" i="58"/>
  <c r="I157" i="37"/>
  <c r="I181" i="37"/>
  <c r="I181" i="58"/>
  <c r="J145" i="58"/>
  <c r="J145" i="37"/>
  <c r="J169" i="58"/>
  <c r="J169" i="37"/>
  <c r="H199" i="58"/>
  <c r="H199" i="37"/>
  <c r="J223" i="58"/>
  <c r="J223" i="37"/>
  <c r="I199" i="37"/>
  <c r="I199" i="58"/>
  <c r="I226" i="58"/>
  <c r="I226" i="37"/>
  <c r="H229" i="58"/>
  <c r="H229" i="37"/>
  <c r="H255" i="58"/>
  <c r="H255" i="37"/>
  <c r="H291" i="58"/>
  <c r="H291" i="37"/>
  <c r="H325" i="58"/>
  <c r="H325" i="37"/>
  <c r="H357" i="58"/>
  <c r="H357" i="37"/>
  <c r="J277" i="58"/>
  <c r="J277" i="37"/>
  <c r="J313" i="37"/>
  <c r="J313" i="58"/>
  <c r="J339" i="58"/>
  <c r="J339" i="37"/>
  <c r="H234" i="58"/>
  <c r="H234" i="37"/>
  <c r="H274" i="58"/>
  <c r="H274" i="37"/>
  <c r="H310" i="58"/>
  <c r="H310" i="37"/>
  <c r="H354" i="58"/>
  <c r="H354" i="37"/>
  <c r="I280" i="37"/>
  <c r="I280" i="58"/>
  <c r="I316" i="37"/>
  <c r="I316" i="58"/>
  <c r="J230" i="37"/>
  <c r="J230" i="58"/>
  <c r="J270" i="37"/>
  <c r="J270" i="58"/>
  <c r="J306" i="58"/>
  <c r="J306" i="37"/>
  <c r="J350" i="58"/>
  <c r="J350" i="37"/>
  <c r="H390" i="58"/>
  <c r="H390" i="37"/>
  <c r="I390" i="37"/>
  <c r="I390" i="58"/>
  <c r="J408" i="58"/>
  <c r="J408" i="37"/>
  <c r="H417" i="58"/>
  <c r="H417" i="37"/>
  <c r="I417" i="58"/>
  <c r="I417" i="37"/>
  <c r="J417" i="58"/>
  <c r="J417" i="37"/>
  <c r="H332" i="58"/>
  <c r="H332" i="37"/>
  <c r="H410" i="41"/>
  <c r="I244" i="58"/>
  <c r="I244" i="37"/>
  <c r="J287" i="37"/>
  <c r="J287" i="58"/>
  <c r="J269" i="37"/>
  <c r="J269" i="58"/>
  <c r="H391" i="58"/>
  <c r="H391" i="37"/>
  <c r="J386" i="37"/>
  <c r="J386" i="58"/>
  <c r="H314" i="58"/>
  <c r="H314" i="37"/>
  <c r="J398" i="37"/>
  <c r="J398" i="58"/>
  <c r="J257" i="58"/>
  <c r="J257" i="37"/>
  <c r="J237" i="58"/>
  <c r="J237" i="37"/>
  <c r="J197" i="37"/>
  <c r="J197" i="58"/>
  <c r="J221" i="58"/>
  <c r="J221" i="37"/>
  <c r="H150" i="58"/>
  <c r="H150" i="37"/>
  <c r="H176" i="58"/>
  <c r="H176" i="37"/>
  <c r="I142" i="37"/>
  <c r="I142" i="58"/>
  <c r="I166" i="37"/>
  <c r="I166" i="58"/>
  <c r="I263" i="37"/>
  <c r="I263" i="58"/>
  <c r="J158" i="37"/>
  <c r="J158" i="58"/>
  <c r="J182" i="37"/>
  <c r="J182" i="58"/>
  <c r="H212" i="58"/>
  <c r="H212" i="37"/>
  <c r="I325" i="58"/>
  <c r="I325" i="37"/>
  <c r="I208" i="37"/>
  <c r="I208" i="58"/>
  <c r="I315" i="58"/>
  <c r="I315" i="37"/>
  <c r="J210" i="58"/>
  <c r="J210" i="37"/>
  <c r="I329" i="37"/>
  <c r="I329" i="58"/>
  <c r="H143" i="58"/>
  <c r="H143" i="37"/>
  <c r="H167" i="58"/>
  <c r="H167" i="37"/>
  <c r="I309" i="37"/>
  <c r="I309" i="58"/>
  <c r="I159" i="58"/>
  <c r="I159" i="37"/>
  <c r="H186" i="58"/>
  <c r="H186" i="37"/>
  <c r="J147" i="58"/>
  <c r="J147" i="37"/>
  <c r="J171" i="37"/>
  <c r="J171" i="58"/>
  <c r="H201" i="58"/>
  <c r="H201" i="37"/>
  <c r="J231" i="37"/>
  <c r="J231" i="58"/>
  <c r="I201" i="58"/>
  <c r="I201" i="37"/>
  <c r="I234" i="58"/>
  <c r="I234" i="37"/>
  <c r="H231" i="58"/>
  <c r="H231" i="37"/>
  <c r="H259" i="58"/>
  <c r="H259" i="37"/>
  <c r="H295" i="58"/>
  <c r="H295" i="37"/>
  <c r="H327" i="58"/>
  <c r="H327" i="37"/>
  <c r="J366" i="58"/>
  <c r="J366" i="37"/>
  <c r="J279" i="58"/>
  <c r="J279" i="37"/>
  <c r="J315" i="58"/>
  <c r="J315" i="37"/>
  <c r="J341" i="58"/>
  <c r="J341" i="37"/>
  <c r="H238" i="58"/>
  <c r="H238" i="37"/>
  <c r="H276" i="58"/>
  <c r="H276" i="37"/>
  <c r="H312" i="58"/>
  <c r="H312" i="37"/>
  <c r="I246" i="37"/>
  <c r="I246" i="58"/>
  <c r="I282" i="58"/>
  <c r="I282" i="37"/>
  <c r="I318" i="37"/>
  <c r="I318" i="58"/>
  <c r="J234" i="37"/>
  <c r="J234" i="58"/>
  <c r="J274" i="37"/>
  <c r="J274" i="58"/>
  <c r="J310" i="37"/>
  <c r="J310" i="58"/>
  <c r="J354" i="37"/>
  <c r="J354" i="58"/>
  <c r="H396" i="58"/>
  <c r="H396" i="37"/>
  <c r="I396" i="37"/>
  <c r="I396" i="58"/>
  <c r="J414" i="58"/>
  <c r="J414" i="37"/>
  <c r="J357" i="37"/>
  <c r="J357" i="58"/>
  <c r="I332" i="58"/>
  <c r="I332" i="37"/>
  <c r="H240" i="58"/>
  <c r="H240" i="37"/>
  <c r="I368" i="37"/>
  <c r="I368" i="58"/>
  <c r="J185" i="37"/>
  <c r="J185" i="58"/>
  <c r="H275" i="58"/>
  <c r="H275" i="37"/>
  <c r="J188" i="58"/>
  <c r="J188" i="37"/>
  <c r="H401" i="58"/>
  <c r="H401" i="37"/>
  <c r="J224" i="58"/>
  <c r="J224" i="37"/>
  <c r="H293" i="58"/>
  <c r="H293" i="37"/>
  <c r="H380" i="58"/>
  <c r="H380" i="37"/>
  <c r="H224" i="58"/>
  <c r="H224" i="37"/>
  <c r="H355" i="58"/>
  <c r="H355" i="37"/>
  <c r="H302" i="58"/>
  <c r="H302" i="37"/>
  <c r="J299" i="58"/>
  <c r="J299" i="37"/>
  <c r="H382" i="58"/>
  <c r="H382" i="37"/>
  <c r="J416" i="58"/>
  <c r="J416" i="37"/>
  <c r="H373" i="58"/>
  <c r="H373" i="37"/>
  <c r="I352" i="37"/>
  <c r="I352" i="58"/>
  <c r="H364" i="58"/>
  <c r="H364" i="37"/>
  <c r="H360" i="58"/>
  <c r="H360" i="37"/>
  <c r="I248" i="37"/>
  <c r="I248" i="58"/>
  <c r="J374" i="58"/>
  <c r="J374" i="37"/>
  <c r="J364" i="37"/>
  <c r="J364" i="58"/>
  <c r="I187" i="58"/>
  <c r="I187" i="37"/>
  <c r="J199" i="58"/>
  <c r="J199" i="37"/>
  <c r="I229" i="37"/>
  <c r="I229" i="58"/>
  <c r="H152" i="58"/>
  <c r="H152" i="37"/>
  <c r="H178" i="58"/>
  <c r="H178" i="37"/>
  <c r="I144" i="58"/>
  <c r="I144" i="37"/>
  <c r="I168" i="58"/>
  <c r="I168" i="37"/>
  <c r="I287" i="58"/>
  <c r="I287" i="37"/>
  <c r="J160" i="37"/>
  <c r="J160" i="58"/>
  <c r="H190" i="58"/>
  <c r="H190" i="37"/>
  <c r="H214" i="58"/>
  <c r="H214" i="37"/>
  <c r="I349" i="58"/>
  <c r="I349" i="37"/>
  <c r="I210" i="58"/>
  <c r="I210" i="37"/>
  <c r="I339" i="37"/>
  <c r="I339" i="58"/>
  <c r="J212" i="58"/>
  <c r="J212" i="37"/>
  <c r="I353" i="58"/>
  <c r="I353" i="37"/>
  <c r="H145" i="58"/>
  <c r="H145" i="37"/>
  <c r="H169" i="58"/>
  <c r="H169" i="37"/>
  <c r="I333" i="37"/>
  <c r="I333" i="58"/>
  <c r="I161" i="58"/>
  <c r="I161" i="37"/>
  <c r="I223" i="37"/>
  <c r="I223" i="58"/>
  <c r="J149" i="58"/>
  <c r="J149" i="37"/>
  <c r="J173" i="58"/>
  <c r="J173" i="37"/>
  <c r="H203" i="58"/>
  <c r="H203" i="37"/>
  <c r="J239" i="37"/>
  <c r="J239" i="58"/>
  <c r="I203" i="58"/>
  <c r="I203" i="37"/>
  <c r="I242" i="37"/>
  <c r="I242" i="58"/>
  <c r="H233" i="58"/>
  <c r="H233" i="37"/>
  <c r="H261" i="58"/>
  <c r="H261" i="37"/>
  <c r="H297" i="58"/>
  <c r="H297" i="37"/>
  <c r="H329" i="58"/>
  <c r="H329" i="37"/>
  <c r="J247" i="37"/>
  <c r="J247" i="58"/>
  <c r="J283" i="58"/>
  <c r="J283" i="37"/>
  <c r="J319" i="58"/>
  <c r="J319" i="37"/>
  <c r="J345" i="37"/>
  <c r="J345" i="58"/>
  <c r="H242" i="58"/>
  <c r="H242" i="37"/>
  <c r="H280" i="58"/>
  <c r="H280" i="37"/>
  <c r="H316" i="58"/>
  <c r="H316" i="37"/>
  <c r="I250" i="37"/>
  <c r="I250" i="58"/>
  <c r="I286" i="37"/>
  <c r="I286" i="58"/>
  <c r="I322" i="58"/>
  <c r="I322" i="37"/>
  <c r="J238" i="58"/>
  <c r="J238" i="37"/>
  <c r="J276" i="58"/>
  <c r="J276" i="37"/>
  <c r="J312" i="58"/>
  <c r="J312" i="37"/>
  <c r="I186" i="58"/>
  <c r="I186" i="37"/>
  <c r="H402" i="58"/>
  <c r="H402" i="37"/>
  <c r="I402" i="37"/>
  <c r="I402" i="58"/>
  <c r="J420" i="58"/>
  <c r="J420" i="37"/>
  <c r="I361" i="58"/>
  <c r="I361" i="37"/>
  <c r="J361" i="37"/>
  <c r="J361" i="58"/>
  <c r="H356" i="58"/>
  <c r="H356" i="37"/>
  <c r="J389" i="58"/>
  <c r="J389" i="37"/>
  <c r="H389" i="58"/>
  <c r="H389" i="37"/>
  <c r="I379" i="58"/>
  <c r="I379" i="37"/>
  <c r="I360" i="41"/>
  <c r="H406" i="41"/>
  <c r="I348" i="41"/>
  <c r="J395" i="37"/>
  <c r="J395" i="58"/>
  <c r="H412" i="58"/>
  <c r="H412" i="37"/>
  <c r="H251" i="58"/>
  <c r="H251" i="37"/>
  <c r="J317" i="37"/>
  <c r="J317" i="58"/>
  <c r="H368" i="58"/>
  <c r="H368" i="37"/>
  <c r="I266" i="58"/>
  <c r="I266" i="37"/>
  <c r="H397" i="58"/>
  <c r="H397" i="37"/>
  <c r="H311" i="58"/>
  <c r="H311" i="37"/>
  <c r="J311" i="37"/>
  <c r="J311" i="58"/>
  <c r="H257" i="58"/>
  <c r="H257" i="37"/>
  <c r="J418" i="37"/>
  <c r="J418" i="58"/>
  <c r="I385" i="37"/>
  <c r="I385" i="58"/>
  <c r="H400" i="58"/>
  <c r="H400" i="37"/>
  <c r="J272" i="37"/>
  <c r="J272" i="58"/>
  <c r="H281" i="58"/>
  <c r="H281" i="37"/>
  <c r="I413" i="58"/>
  <c r="I413" i="37"/>
  <c r="I320" i="37"/>
  <c r="I320" i="58"/>
  <c r="I401" i="58"/>
  <c r="I401" i="37"/>
  <c r="H278" i="58"/>
  <c r="H278" i="37"/>
  <c r="I259" i="58"/>
  <c r="I259" i="37"/>
  <c r="J201" i="37"/>
  <c r="J201" i="58"/>
  <c r="I237" i="58"/>
  <c r="I237" i="37"/>
  <c r="H154" i="58"/>
  <c r="H154" i="37"/>
  <c r="H180" i="58"/>
  <c r="H180" i="37"/>
  <c r="I146" i="37"/>
  <c r="I146" i="58"/>
  <c r="I170" i="37"/>
  <c r="I170" i="58"/>
  <c r="I311" i="58"/>
  <c r="I311" i="37"/>
  <c r="J162" i="37"/>
  <c r="J162" i="58"/>
  <c r="H192" i="58"/>
  <c r="H192" i="37"/>
  <c r="H216" i="58"/>
  <c r="H216" i="37"/>
  <c r="H363" i="58"/>
  <c r="H363" i="37"/>
  <c r="I212" i="58"/>
  <c r="I212" i="37"/>
  <c r="J190" i="58"/>
  <c r="J190" i="37"/>
  <c r="J214" i="58"/>
  <c r="J214" i="37"/>
  <c r="J360" i="37"/>
  <c r="J360" i="58"/>
  <c r="H147" i="58"/>
  <c r="H147" i="37"/>
  <c r="H171" i="58"/>
  <c r="H171" i="37"/>
  <c r="I357" i="37"/>
  <c r="I357" i="58"/>
  <c r="I163" i="58"/>
  <c r="I163" i="37"/>
  <c r="I231" i="37"/>
  <c r="I231" i="58"/>
  <c r="J151" i="58"/>
  <c r="J151" i="37"/>
  <c r="J175" i="37"/>
  <c r="J175" i="58"/>
  <c r="H205" i="58"/>
  <c r="H205" i="37"/>
  <c r="I265" i="37"/>
  <c r="I265" i="58"/>
  <c r="I205" i="58"/>
  <c r="I205" i="37"/>
  <c r="I245" i="58"/>
  <c r="I245" i="37"/>
  <c r="H235" i="58"/>
  <c r="H235" i="37"/>
  <c r="H265" i="58"/>
  <c r="H265" i="37"/>
  <c r="H301" i="58"/>
  <c r="H301" i="37"/>
  <c r="H331" i="58"/>
  <c r="H331" i="37"/>
  <c r="J249" i="37"/>
  <c r="J249" i="58"/>
  <c r="J285" i="58"/>
  <c r="J285" i="37"/>
  <c r="J321" i="37"/>
  <c r="J321" i="58"/>
  <c r="J349" i="58"/>
  <c r="J349" i="37"/>
  <c r="H246" i="58"/>
  <c r="H246" i="37"/>
  <c r="H282" i="58"/>
  <c r="H282" i="37"/>
  <c r="H318" i="58"/>
  <c r="H318" i="37"/>
  <c r="I252" i="37"/>
  <c r="I252" i="58"/>
  <c r="I288" i="58"/>
  <c r="I288" i="37"/>
  <c r="I326" i="37"/>
  <c r="I326" i="58"/>
  <c r="J242" i="58"/>
  <c r="J242" i="37"/>
  <c r="J280" i="58"/>
  <c r="J280" i="37"/>
  <c r="J316" i="58"/>
  <c r="J316" i="37"/>
  <c r="H359" i="58"/>
  <c r="H359" i="37"/>
  <c r="H408" i="58"/>
  <c r="H408" i="37"/>
  <c r="I408" i="37"/>
  <c r="I408" i="58"/>
  <c r="H365" i="58"/>
  <c r="H365" i="37"/>
  <c r="I365" i="37"/>
  <c r="I365" i="58"/>
  <c r="J365" i="37"/>
  <c r="J365" i="58"/>
  <c r="H260" i="58"/>
  <c r="H260" i="37"/>
  <c r="J415" i="37"/>
  <c r="J415" i="58"/>
  <c r="H317" i="41"/>
  <c r="J244" i="41"/>
  <c r="J370" i="41"/>
  <c r="I371" i="41"/>
  <c r="I185" i="37"/>
  <c r="I185" i="58"/>
  <c r="J324" i="37"/>
  <c r="J324" i="58"/>
  <c r="J228" i="37"/>
  <c r="J228" i="58"/>
  <c r="J348" i="58"/>
  <c r="J348" i="37"/>
  <c r="I254" i="37"/>
  <c r="I254" i="58"/>
  <c r="H324" i="58"/>
  <c r="H324" i="37"/>
  <c r="H272" i="58"/>
  <c r="H272" i="37"/>
  <c r="I296" i="58"/>
  <c r="I296" i="37"/>
  <c r="J391" i="58"/>
  <c r="J391" i="37"/>
  <c r="J305" i="58"/>
  <c r="J305" i="37"/>
  <c r="H343" i="58"/>
  <c r="H343" i="37"/>
  <c r="H287" i="58"/>
  <c r="H287" i="37"/>
  <c r="J403" i="58"/>
  <c r="J403" i="37"/>
  <c r="J302" i="58"/>
  <c r="J302" i="37"/>
  <c r="J421" i="37"/>
  <c r="J421" i="58"/>
  <c r="H376" i="58"/>
  <c r="H376" i="37"/>
  <c r="J336" i="58"/>
  <c r="J336" i="37"/>
  <c r="J275" i="58"/>
  <c r="J275" i="37"/>
  <c r="I389" i="58"/>
  <c r="I389" i="37"/>
  <c r="J232" i="37"/>
  <c r="J232" i="58"/>
  <c r="I377" i="58"/>
  <c r="I377" i="37"/>
  <c r="H340" i="58"/>
  <c r="H340" i="37"/>
  <c r="I307" i="58"/>
  <c r="I307" i="37"/>
  <c r="J203" i="37"/>
  <c r="J203" i="58"/>
  <c r="J245" i="37"/>
  <c r="J245" i="58"/>
  <c r="H156" i="58"/>
  <c r="H156" i="37"/>
  <c r="H182" i="58"/>
  <c r="H182" i="37"/>
  <c r="I148" i="37"/>
  <c r="I148" i="58"/>
  <c r="I172" i="58"/>
  <c r="I172" i="37"/>
  <c r="I335" i="58"/>
  <c r="I335" i="37"/>
  <c r="J164" i="58"/>
  <c r="J164" i="37"/>
  <c r="H194" i="58"/>
  <c r="H194" i="37"/>
  <c r="H218" i="58"/>
  <c r="H218" i="37"/>
  <c r="I190" i="37"/>
  <c r="I190" i="58"/>
  <c r="I214" i="58"/>
  <c r="I214" i="37"/>
  <c r="J192" i="58"/>
  <c r="J192" i="37"/>
  <c r="J216" i="37"/>
  <c r="J216" i="58"/>
  <c r="J225" i="37"/>
  <c r="J225" i="58"/>
  <c r="H149" i="58"/>
  <c r="H149" i="37"/>
  <c r="H173" i="58"/>
  <c r="H173" i="37"/>
  <c r="I141" i="37"/>
  <c r="I141" i="58"/>
  <c r="I165" i="58"/>
  <c r="I165" i="37"/>
  <c r="I239" i="58"/>
  <c r="I239" i="37"/>
  <c r="J153" i="58"/>
  <c r="J153" i="37"/>
  <c r="J177" i="58"/>
  <c r="J177" i="37"/>
  <c r="H207" i="58"/>
  <c r="H207" i="37"/>
  <c r="I289" i="58"/>
  <c r="I289" i="37"/>
  <c r="I207" i="37"/>
  <c r="I207" i="58"/>
  <c r="I255" i="37"/>
  <c r="I255" i="58"/>
  <c r="H237" i="58"/>
  <c r="H237" i="37"/>
  <c r="H267" i="58"/>
  <c r="H267" i="37"/>
  <c r="H303" i="58"/>
  <c r="H303" i="37"/>
  <c r="H333" i="58"/>
  <c r="H333" i="37"/>
  <c r="J253" i="37"/>
  <c r="J253" i="58"/>
  <c r="J289" i="58"/>
  <c r="J289" i="37"/>
  <c r="J323" i="37"/>
  <c r="J323" i="58"/>
  <c r="J353" i="37"/>
  <c r="J353" i="58"/>
  <c r="H250" i="58"/>
  <c r="H250" i="37"/>
  <c r="H286" i="58"/>
  <c r="H286" i="37"/>
  <c r="H322" i="58"/>
  <c r="H322" i="37"/>
  <c r="I256" i="58"/>
  <c r="I256" i="37"/>
  <c r="I292" i="37"/>
  <c r="I292" i="58"/>
  <c r="I330" i="37"/>
  <c r="I330" i="58"/>
  <c r="J246" i="37"/>
  <c r="J246" i="58"/>
  <c r="J282" i="58"/>
  <c r="J282" i="37"/>
  <c r="J318" i="58"/>
  <c r="J318" i="37"/>
  <c r="J362" i="58"/>
  <c r="J362" i="37"/>
  <c r="H414" i="58"/>
  <c r="H414" i="37"/>
  <c r="I414" i="37"/>
  <c r="I414" i="58"/>
  <c r="H369" i="58"/>
  <c r="H369" i="37"/>
  <c r="I369" i="58"/>
  <c r="I369" i="37"/>
  <c r="J369" i="58"/>
  <c r="J369" i="37"/>
  <c r="J281" i="58"/>
  <c r="J281" i="37"/>
  <c r="J284" i="58"/>
  <c r="J284" i="37"/>
  <c r="J383" i="58"/>
  <c r="J383" i="37"/>
  <c r="H188" i="58"/>
  <c r="H188" i="37"/>
  <c r="I391" i="37"/>
  <c r="I391" i="58"/>
  <c r="I336" i="58"/>
  <c r="I336" i="37"/>
  <c r="J419" i="58"/>
  <c r="J419" i="37"/>
  <c r="J343" i="58"/>
  <c r="J343" i="37"/>
  <c r="H232" i="58"/>
  <c r="H232" i="37"/>
  <c r="I416" i="37"/>
  <c r="I416" i="58"/>
  <c r="J296" i="37"/>
  <c r="J296" i="58"/>
  <c r="J359" i="37"/>
  <c r="J359" i="58"/>
  <c r="I284" i="37"/>
  <c r="I284" i="58"/>
  <c r="I331" i="58"/>
  <c r="I331" i="37"/>
  <c r="J205" i="37"/>
  <c r="J205" i="58"/>
  <c r="I269" i="58"/>
  <c r="I269" i="37"/>
  <c r="H158" i="58"/>
  <c r="H158" i="37"/>
  <c r="I224" i="37"/>
  <c r="I224" i="58"/>
  <c r="I150" i="37"/>
  <c r="I150" i="58"/>
  <c r="I174" i="58"/>
  <c r="I174" i="37"/>
  <c r="J142" i="58"/>
  <c r="J142" i="37"/>
  <c r="J166" i="37"/>
  <c r="J166" i="58"/>
  <c r="H196" i="58"/>
  <c r="H196" i="37"/>
  <c r="H220" i="58"/>
  <c r="H220" i="37"/>
  <c r="I192" i="37"/>
  <c r="I192" i="58"/>
  <c r="I216" i="37"/>
  <c r="I216" i="58"/>
  <c r="J194" i="58"/>
  <c r="J194" i="37"/>
  <c r="J218" i="37"/>
  <c r="J218" i="58"/>
  <c r="J233" i="58"/>
  <c r="J233" i="37"/>
  <c r="H151" i="58"/>
  <c r="H151" i="37"/>
  <c r="H175" i="58"/>
  <c r="H175" i="37"/>
  <c r="I143" i="37"/>
  <c r="I143" i="58"/>
  <c r="I167" i="37"/>
  <c r="I167" i="58"/>
  <c r="I251" i="37"/>
  <c r="I251" i="58"/>
  <c r="J155" i="58"/>
  <c r="J155" i="37"/>
  <c r="J179" i="58"/>
  <c r="J179" i="37"/>
  <c r="H209" i="58"/>
  <c r="H209" i="37"/>
  <c r="I313" i="58"/>
  <c r="I313" i="37"/>
  <c r="I209" i="58"/>
  <c r="I209" i="37"/>
  <c r="I279" i="37"/>
  <c r="I279" i="58"/>
  <c r="H239" i="58"/>
  <c r="H239" i="37"/>
  <c r="H271" i="58"/>
  <c r="H271" i="37"/>
  <c r="H307" i="58"/>
  <c r="H307" i="37"/>
  <c r="H335" i="58"/>
  <c r="H335" i="37"/>
  <c r="J255" i="37"/>
  <c r="J255" i="58"/>
  <c r="J291" i="58"/>
  <c r="J291" i="37"/>
  <c r="J325" i="58"/>
  <c r="J325" i="37"/>
  <c r="J187" i="58"/>
  <c r="J187" i="37"/>
  <c r="H252" i="58"/>
  <c r="H252" i="37"/>
  <c r="H288" i="58"/>
  <c r="H288" i="37"/>
  <c r="H326" i="58"/>
  <c r="H326" i="37"/>
  <c r="I258" i="58"/>
  <c r="I258" i="37"/>
  <c r="I294" i="58"/>
  <c r="I294" i="37"/>
  <c r="I334" i="37"/>
  <c r="I334" i="58"/>
  <c r="J250" i="37"/>
  <c r="J250" i="58"/>
  <c r="J286" i="58"/>
  <c r="J286" i="37"/>
  <c r="J322" i="37"/>
  <c r="J322" i="58"/>
  <c r="J186" i="58"/>
  <c r="J186" i="37"/>
  <c r="H420" i="58"/>
  <c r="H420" i="37"/>
  <c r="I420" i="37"/>
  <c r="I420" i="58"/>
  <c r="H375" i="58"/>
  <c r="H375" i="37"/>
  <c r="I375" i="58"/>
  <c r="I375" i="37"/>
  <c r="J375" i="58"/>
  <c r="J375" i="37"/>
  <c r="I364" i="37"/>
  <c r="I364" i="58"/>
  <c r="I328" i="58"/>
  <c r="I328" i="37"/>
  <c r="J254" i="37"/>
  <c r="J254" i="58"/>
  <c r="J392" i="58"/>
  <c r="J392" i="37"/>
  <c r="I422" i="41"/>
  <c r="I419" i="58"/>
  <c r="I419" i="37"/>
  <c r="I392" i="58"/>
  <c r="I392" i="37"/>
  <c r="I404" i="58"/>
  <c r="I404" i="37"/>
  <c r="J229" i="37"/>
  <c r="J229" i="58"/>
  <c r="J207" i="58"/>
  <c r="J207" i="37"/>
  <c r="I293" i="58"/>
  <c r="I293" i="37"/>
  <c r="H162" i="58"/>
  <c r="H162" i="37"/>
  <c r="I232" i="58"/>
  <c r="I232" i="37"/>
  <c r="I152" i="37"/>
  <c r="I152" i="58"/>
  <c r="I176" i="37"/>
  <c r="I176" i="58"/>
  <c r="J144" i="58"/>
  <c r="J144" i="37"/>
  <c r="J168" i="58"/>
  <c r="J168" i="37"/>
  <c r="H198" i="58"/>
  <c r="H198" i="37"/>
  <c r="I222" i="37"/>
  <c r="I222" i="58"/>
  <c r="I194" i="58"/>
  <c r="I194" i="37"/>
  <c r="I218" i="37"/>
  <c r="I218" i="58"/>
  <c r="J196" i="58"/>
  <c r="J196" i="37"/>
  <c r="J220" i="37"/>
  <c r="J220" i="58"/>
  <c r="J241" i="58"/>
  <c r="J241" i="37"/>
  <c r="H153" i="58"/>
  <c r="H153" i="37"/>
  <c r="H177" i="58"/>
  <c r="H177" i="37"/>
  <c r="I145" i="37"/>
  <c r="I145" i="58"/>
  <c r="I169" i="37"/>
  <c r="I169" i="58"/>
  <c r="I275" i="37"/>
  <c r="I275" i="58"/>
  <c r="J157" i="37"/>
  <c r="J157" i="58"/>
  <c r="J181" i="58"/>
  <c r="J181" i="37"/>
  <c r="H211" i="58"/>
  <c r="H211" i="37"/>
  <c r="I337" i="37"/>
  <c r="I337" i="58"/>
  <c r="I211" i="58"/>
  <c r="I211" i="37"/>
  <c r="I303" i="37"/>
  <c r="I303" i="58"/>
  <c r="H241" i="58"/>
  <c r="H241" i="37"/>
  <c r="H273" i="58"/>
  <c r="H273" i="37"/>
  <c r="H309" i="58"/>
  <c r="H309" i="37"/>
  <c r="H337" i="58"/>
  <c r="H337" i="37"/>
  <c r="J259" i="58"/>
  <c r="J259" i="37"/>
  <c r="J295" i="37"/>
  <c r="J295" i="58"/>
  <c r="J327" i="37"/>
  <c r="J327" i="58"/>
  <c r="J358" i="37"/>
  <c r="J358" i="58"/>
  <c r="H256" i="58"/>
  <c r="H256" i="37"/>
  <c r="H292" i="58"/>
  <c r="H292" i="37"/>
  <c r="H330" i="58"/>
  <c r="H330" i="37"/>
  <c r="I262" i="37"/>
  <c r="I262" i="58"/>
  <c r="I298" i="58"/>
  <c r="I298" i="37"/>
  <c r="I338" i="37"/>
  <c r="I338" i="58"/>
  <c r="J252" i="58"/>
  <c r="J252" i="37"/>
  <c r="J288" i="37"/>
  <c r="J288" i="58"/>
  <c r="J326" i="58"/>
  <c r="J326" i="37"/>
  <c r="H358" i="58"/>
  <c r="H358" i="37"/>
  <c r="I358" i="37"/>
  <c r="I358" i="58"/>
  <c r="J372" i="58"/>
  <c r="J372" i="37"/>
  <c r="H381" i="58"/>
  <c r="H381" i="37"/>
  <c r="I381" i="58"/>
  <c r="I381" i="37"/>
  <c r="J381" i="37"/>
  <c r="J381" i="58"/>
  <c r="H403" i="58"/>
  <c r="H403" i="37"/>
  <c r="J263" i="37"/>
  <c r="J263" i="58"/>
  <c r="I324" i="37"/>
  <c r="I324" i="58"/>
  <c r="J363" i="58"/>
  <c r="J363" i="37"/>
  <c r="I415" i="41"/>
  <c r="I260" i="41"/>
  <c r="H296" i="58"/>
  <c r="H296" i="37"/>
  <c r="J352" i="58"/>
  <c r="J352" i="37"/>
  <c r="I344" i="58"/>
  <c r="I344" i="37"/>
  <c r="I188" i="37"/>
  <c r="I188" i="58"/>
  <c r="J380" i="58"/>
  <c r="J380" i="37"/>
  <c r="H266" i="58"/>
  <c r="H266" i="37"/>
  <c r="I386" i="58"/>
  <c r="I386" i="37"/>
  <c r="J371" i="58"/>
  <c r="J371" i="37"/>
  <c r="I397" i="37"/>
  <c r="I397" i="58"/>
  <c r="H352" i="58"/>
  <c r="H352" i="37"/>
  <c r="H407" i="58"/>
  <c r="H407" i="37"/>
  <c r="J347" i="37"/>
  <c r="J347" i="58"/>
  <c r="I380" i="37"/>
  <c r="I380" i="58"/>
  <c r="J260" i="58"/>
  <c r="J260" i="37"/>
  <c r="I355" i="37"/>
  <c r="I355" i="58"/>
  <c r="J209" i="37"/>
  <c r="J209" i="58"/>
  <c r="I317" i="58"/>
  <c r="I317" i="37"/>
  <c r="H164" i="58"/>
  <c r="H164" i="37"/>
  <c r="I240" i="58"/>
  <c r="I240" i="37"/>
  <c r="I154" i="58"/>
  <c r="I154" i="37"/>
  <c r="I178" i="37"/>
  <c r="I178" i="58"/>
  <c r="J146" i="58"/>
  <c r="J146" i="37"/>
  <c r="J170" i="37"/>
  <c r="J170" i="58"/>
  <c r="H200" i="58"/>
  <c r="H200" i="37"/>
  <c r="J227" i="37"/>
  <c r="J227" i="58"/>
  <c r="I196" i="37"/>
  <c r="I196" i="58"/>
  <c r="I220" i="58"/>
  <c r="I220" i="37"/>
  <c r="J198" i="37"/>
  <c r="J198" i="58"/>
  <c r="I225" i="58"/>
  <c r="I225" i="37"/>
  <c r="I247" i="58"/>
  <c r="I247" i="37"/>
  <c r="H155" i="58"/>
  <c r="H155" i="37"/>
  <c r="H179" i="58"/>
  <c r="H179" i="37"/>
  <c r="I147" i="37"/>
  <c r="I147" i="58"/>
  <c r="I171" i="58"/>
  <c r="I171" i="37"/>
  <c r="I299" i="58"/>
  <c r="I299" i="37"/>
  <c r="J159" i="37"/>
  <c r="J159" i="58"/>
  <c r="H189" i="58"/>
  <c r="H189" i="37"/>
  <c r="H213" i="58"/>
  <c r="H213" i="37"/>
  <c r="I189" i="37"/>
  <c r="I189" i="58"/>
  <c r="I213" i="58"/>
  <c r="I213" i="37"/>
  <c r="I327" i="37"/>
  <c r="I327" i="58"/>
  <c r="H243" i="58"/>
  <c r="H243" i="37"/>
  <c r="H277" i="58"/>
  <c r="H277" i="37"/>
  <c r="H313" i="58"/>
  <c r="H313" i="37"/>
  <c r="H339" i="58"/>
  <c r="H339" i="37"/>
  <c r="J261" i="37"/>
  <c r="J261" i="58"/>
  <c r="J297" i="58"/>
  <c r="J297" i="37"/>
  <c r="J329" i="58"/>
  <c r="J329" i="37"/>
  <c r="H361" i="58"/>
  <c r="H361" i="37"/>
  <c r="H258" i="58"/>
  <c r="H258" i="37"/>
  <c r="H294" i="58"/>
  <c r="H294" i="37"/>
  <c r="H334" i="58"/>
  <c r="H334" i="37"/>
  <c r="I264" i="37"/>
  <c r="I264" i="58"/>
  <c r="I300" i="58"/>
  <c r="I300" i="37"/>
  <c r="I342" i="58"/>
  <c r="I342" i="37"/>
  <c r="J256" i="58"/>
  <c r="J256" i="37"/>
  <c r="J292" i="37"/>
  <c r="J292" i="58"/>
  <c r="J330" i="37"/>
  <c r="J330" i="58"/>
  <c r="H362" i="58"/>
  <c r="H362" i="37"/>
  <c r="I362" i="37"/>
  <c r="I362" i="58"/>
  <c r="J378" i="58"/>
  <c r="J378" i="37"/>
  <c r="H387" i="58"/>
  <c r="H387" i="37"/>
  <c r="I387" i="58"/>
  <c r="I387" i="37"/>
  <c r="J387" i="58"/>
  <c r="J387" i="37"/>
  <c r="J388" i="37"/>
  <c r="J388" i="58"/>
  <c r="H336" i="58"/>
  <c r="H336" i="37"/>
  <c r="I359" i="37"/>
  <c r="I359" i="58"/>
  <c r="I398" i="37"/>
  <c r="I398" i="58"/>
  <c r="H388" i="41"/>
  <c r="I383" i="41"/>
  <c r="H269" i="41"/>
  <c r="H328" i="41"/>
  <c r="J373" i="41"/>
  <c r="I302" i="37"/>
  <c r="I302" i="58"/>
  <c r="H383" i="58"/>
  <c r="H383" i="37"/>
  <c r="H367" i="58"/>
  <c r="H367" i="37"/>
  <c r="H419" i="58"/>
  <c r="H419" i="37"/>
  <c r="J328" i="37"/>
  <c r="J328" i="58"/>
  <c r="H187" i="58"/>
  <c r="H187" i="37"/>
  <c r="J211" i="58"/>
  <c r="J211" i="37"/>
  <c r="I341" i="58"/>
  <c r="I341" i="37"/>
  <c r="H166" i="58"/>
  <c r="H166" i="37"/>
  <c r="I249" i="37"/>
  <c r="I249" i="58"/>
  <c r="I156" i="37"/>
  <c r="I156" i="58"/>
  <c r="I180" i="37"/>
  <c r="I180" i="58"/>
  <c r="J148" i="37"/>
  <c r="J148" i="58"/>
  <c r="J172" i="37"/>
  <c r="J172" i="58"/>
  <c r="H202" i="58"/>
  <c r="H202" i="37"/>
  <c r="J235" i="58"/>
  <c r="J235" i="37"/>
  <c r="I198" i="37"/>
  <c r="I198" i="58"/>
  <c r="J222" i="58"/>
  <c r="J222" i="37"/>
  <c r="J200" i="37"/>
  <c r="J200" i="58"/>
  <c r="I233" i="58"/>
  <c r="I233" i="37"/>
  <c r="I271" i="58"/>
  <c r="I271" i="37"/>
  <c r="H157" i="58"/>
  <c r="H157" i="37"/>
  <c r="H181" i="58"/>
  <c r="H181" i="37"/>
  <c r="I149" i="37"/>
  <c r="I149" i="58"/>
  <c r="I173" i="58"/>
  <c r="I173" i="37"/>
  <c r="I323" i="37"/>
  <c r="I323" i="58"/>
  <c r="J161" i="37"/>
  <c r="J161" i="58"/>
  <c r="H191" i="58"/>
  <c r="H191" i="37"/>
  <c r="H215" i="58"/>
  <c r="H215" i="37"/>
  <c r="I191" i="37"/>
  <c r="I191" i="58"/>
  <c r="I215" i="58"/>
  <c r="I215" i="37"/>
  <c r="I351" i="58"/>
  <c r="I351" i="37"/>
  <c r="H245" i="58"/>
  <c r="H245" i="37"/>
  <c r="H279" i="58"/>
  <c r="H279" i="37"/>
  <c r="H315" i="58"/>
  <c r="H315" i="37"/>
  <c r="H341" i="58"/>
  <c r="H341" i="37"/>
  <c r="J265" i="37"/>
  <c r="J265" i="58"/>
  <c r="J301" i="58"/>
  <c r="J301" i="37"/>
  <c r="J331" i="58"/>
  <c r="J331" i="37"/>
  <c r="H160" i="58"/>
  <c r="H160" i="37"/>
  <c r="H262" i="58"/>
  <c r="H262" i="37"/>
  <c r="H298" i="58"/>
  <c r="H298" i="37"/>
  <c r="H338" i="58"/>
  <c r="H338" i="37"/>
  <c r="I268" i="58"/>
  <c r="I268" i="37"/>
  <c r="I304" i="37"/>
  <c r="I304" i="58"/>
  <c r="I346" i="37"/>
  <c r="I346" i="58"/>
  <c r="J258" i="58"/>
  <c r="J258" i="37"/>
  <c r="J294" i="58"/>
  <c r="J294" i="37"/>
  <c r="J334" i="37"/>
  <c r="J334" i="58"/>
  <c r="H366" i="58"/>
  <c r="H366" i="37"/>
  <c r="I366" i="37"/>
  <c r="I366" i="58"/>
  <c r="J384" i="37"/>
  <c r="J384" i="58"/>
  <c r="H393" i="58"/>
  <c r="H393" i="37"/>
  <c r="I393" i="37"/>
  <c r="I393" i="58"/>
  <c r="J393" i="37"/>
  <c r="J393" i="58"/>
  <c r="H416" i="58"/>
  <c r="H416" i="37"/>
  <c r="H248" i="58"/>
  <c r="H248" i="37"/>
  <c r="H404" i="58"/>
  <c r="H404" i="37"/>
  <c r="J412" i="58"/>
  <c r="J412" i="37"/>
  <c r="I418" i="58"/>
  <c r="I418" i="37"/>
  <c r="I356" i="58"/>
  <c r="I356" i="37"/>
  <c r="J355" i="37"/>
  <c r="J355" i="58"/>
  <c r="I367" i="37"/>
  <c r="I367" i="58"/>
  <c r="H395" i="58"/>
  <c r="H395" i="37"/>
  <c r="J351" i="37"/>
  <c r="J351" i="58"/>
  <c r="J189" i="37"/>
  <c r="J189" i="58"/>
  <c r="J213" i="58"/>
  <c r="J213" i="37"/>
  <c r="H142" i="58"/>
  <c r="H142" i="37"/>
  <c r="H168" i="58"/>
  <c r="H168" i="37"/>
  <c r="I273" i="37"/>
  <c r="I273" i="58"/>
  <c r="I158" i="37"/>
  <c r="I158" i="58"/>
  <c r="I182" i="37"/>
  <c r="I182" i="58"/>
  <c r="J150" i="37"/>
  <c r="J150" i="58"/>
  <c r="J174" i="58"/>
  <c r="J174" i="37"/>
  <c r="H204" i="58"/>
  <c r="H204" i="37"/>
  <c r="J243" i="37"/>
  <c r="J243" i="58"/>
  <c r="I200" i="37"/>
  <c r="I200" i="58"/>
  <c r="I230" i="37"/>
  <c r="I230" i="58"/>
  <c r="J202" i="37"/>
  <c r="J202" i="58"/>
  <c r="I241" i="58"/>
  <c r="I241" i="37"/>
  <c r="I295" i="37"/>
  <c r="I295" i="58"/>
  <c r="H159" i="58"/>
  <c r="H159" i="37"/>
  <c r="I228" i="58"/>
  <c r="I228" i="37"/>
  <c r="I151" i="37"/>
  <c r="I151" i="58"/>
  <c r="I175" i="37"/>
  <c r="I175" i="58"/>
  <c r="I347" i="37"/>
  <c r="I347" i="58"/>
  <c r="J163" i="37"/>
  <c r="J163" i="58"/>
  <c r="H193" i="58"/>
  <c r="H193" i="37"/>
  <c r="H217" i="58"/>
  <c r="H217" i="37"/>
  <c r="I193" i="58"/>
  <c r="I193" i="37"/>
  <c r="I217" i="37"/>
  <c r="I217" i="58"/>
  <c r="H223" i="58"/>
  <c r="H223" i="37"/>
  <c r="H247" i="58"/>
  <c r="H247" i="37"/>
  <c r="H283" i="58"/>
  <c r="H283" i="37"/>
  <c r="H319" i="58"/>
  <c r="H319" i="37"/>
  <c r="H345" i="58"/>
  <c r="H345" i="37"/>
  <c r="J267" i="37"/>
  <c r="J267" i="58"/>
  <c r="J303" i="58"/>
  <c r="J303" i="37"/>
  <c r="J333" i="58"/>
  <c r="J333" i="37"/>
  <c r="H222" i="58"/>
  <c r="H222" i="37"/>
  <c r="H264" i="58"/>
  <c r="H264" i="37"/>
  <c r="H300" i="58"/>
  <c r="H300" i="37"/>
  <c r="H342" i="58"/>
  <c r="H342" i="37"/>
  <c r="I270" i="37"/>
  <c r="I270" i="58"/>
  <c r="I306" i="58"/>
  <c r="I306" i="37"/>
  <c r="I350" i="58"/>
  <c r="I350" i="37"/>
  <c r="J262" i="37"/>
  <c r="J262" i="58"/>
  <c r="J298" i="58"/>
  <c r="J298" i="37"/>
  <c r="J338" i="37"/>
  <c r="J338" i="58"/>
  <c r="H372" i="58"/>
  <c r="H372" i="37"/>
  <c r="I372" i="37"/>
  <c r="I372" i="58"/>
  <c r="J390" i="37"/>
  <c r="J390" i="58"/>
  <c r="H399" i="58"/>
  <c r="H399" i="37"/>
  <c r="I399" i="37"/>
  <c r="I399" i="58"/>
  <c r="J399" i="37"/>
  <c r="J399" i="58"/>
  <c r="J251" i="37"/>
  <c r="J251" i="58"/>
  <c r="J397" i="58"/>
  <c r="J397" i="37"/>
  <c r="H392" i="41"/>
  <c r="I412" i="41"/>
  <c r="H351" i="41"/>
  <c r="J400" i="58"/>
  <c r="J400" i="37"/>
  <c r="J385" i="37"/>
  <c r="J385" i="58"/>
  <c r="I272" i="58"/>
  <c r="I272" i="37"/>
  <c r="J308" i="58"/>
  <c r="J308" i="37"/>
  <c r="I403" i="37"/>
  <c r="I403" i="58"/>
  <c r="I394" i="58"/>
  <c r="I394" i="37"/>
  <c r="H228" i="58"/>
  <c r="H228" i="37"/>
  <c r="I400" i="58"/>
  <c r="I400" i="37"/>
  <c r="J278" i="58"/>
  <c r="J278" i="37"/>
  <c r="H299" i="58"/>
  <c r="H299" i="37"/>
  <c r="J367" i="58"/>
  <c r="J367" i="37"/>
  <c r="H371" i="58"/>
  <c r="H371" i="37"/>
  <c r="J266" i="37"/>
  <c r="J266" i="58"/>
  <c r="J191" i="37"/>
  <c r="J191" i="58"/>
  <c r="J215" i="37"/>
  <c r="J215" i="58"/>
  <c r="H144" i="58"/>
  <c r="H144" i="37"/>
  <c r="H170" i="58"/>
  <c r="H170" i="37"/>
  <c r="I297" i="58"/>
  <c r="I297" i="37"/>
  <c r="I160" i="37"/>
  <c r="I160" i="58"/>
  <c r="I227" i="37"/>
  <c r="I227" i="58"/>
  <c r="J152" i="58"/>
  <c r="J152" i="37"/>
  <c r="J176" i="37"/>
  <c r="J176" i="58"/>
  <c r="H206" i="58"/>
  <c r="H206" i="37"/>
  <c r="I253" i="58"/>
  <c r="I253" i="37"/>
  <c r="I202" i="58"/>
  <c r="I202" i="37"/>
  <c r="I238" i="58"/>
  <c r="I238" i="37"/>
  <c r="J204" i="58"/>
  <c r="J204" i="37"/>
  <c r="I257" i="37"/>
  <c r="I257" i="58"/>
  <c r="I319" i="37"/>
  <c r="I319" i="58"/>
  <c r="H161" i="58"/>
  <c r="H161" i="37"/>
  <c r="I236" i="58"/>
  <c r="I236" i="37"/>
  <c r="I153" i="37"/>
  <c r="I153" i="58"/>
  <c r="I177" i="58"/>
  <c r="I177" i="37"/>
  <c r="J141" i="58"/>
  <c r="J141" i="37"/>
  <c r="J165" i="37"/>
  <c r="J165" i="58"/>
  <c r="H195" i="58"/>
  <c r="H195" i="37"/>
  <c r="H219" i="58"/>
  <c r="H219" i="37"/>
  <c r="I195" i="58"/>
  <c r="I195" i="37"/>
  <c r="I219" i="37"/>
  <c r="I219" i="58"/>
  <c r="H225" i="58"/>
  <c r="H225" i="37"/>
  <c r="H249" i="58"/>
  <c r="H249" i="37"/>
  <c r="H285" i="58"/>
  <c r="H285" i="37"/>
  <c r="H321" i="58"/>
  <c r="H321" i="37"/>
  <c r="H349" i="58"/>
  <c r="H349" i="37"/>
  <c r="J271" i="58"/>
  <c r="J271" i="37"/>
  <c r="J307" i="58"/>
  <c r="J307" i="37"/>
  <c r="J335" i="58"/>
  <c r="J335" i="37"/>
  <c r="H226" i="58"/>
  <c r="H226" i="37"/>
  <c r="H268" i="58"/>
  <c r="H268" i="37"/>
  <c r="H304" i="58"/>
  <c r="H304" i="37"/>
  <c r="H346" i="58"/>
  <c r="H346" i="37"/>
  <c r="I274" i="37"/>
  <c r="I274" i="58"/>
  <c r="I310" i="58"/>
  <c r="I310" i="37"/>
  <c r="I354" i="37"/>
  <c r="I354" i="58"/>
  <c r="J264" i="58"/>
  <c r="J264" i="37"/>
  <c r="J300" i="58"/>
  <c r="J300" i="37"/>
  <c r="J342" i="37"/>
  <c r="J342" i="58"/>
  <c r="H378" i="58"/>
  <c r="H378" i="37"/>
  <c r="I378" i="58"/>
  <c r="I378" i="37"/>
  <c r="J396" i="37"/>
  <c r="J396" i="58"/>
  <c r="H405" i="58"/>
  <c r="H405" i="37"/>
  <c r="I405" i="37"/>
  <c r="I405" i="58"/>
  <c r="J405" i="58"/>
  <c r="J405" i="37"/>
  <c r="H385" i="58"/>
  <c r="H385" i="37"/>
  <c r="I407" i="58"/>
  <c r="I407" i="37"/>
  <c r="J248" i="37"/>
  <c r="J248" i="58"/>
  <c r="J234" i="41" l="1"/>
  <c r="J287" i="41"/>
  <c r="J375" i="41"/>
  <c r="H326" i="41"/>
  <c r="I209" i="41"/>
  <c r="J194" i="41"/>
  <c r="H232" i="41"/>
  <c r="J383" i="41"/>
  <c r="J177" i="41"/>
  <c r="H149" i="41"/>
  <c r="H218" i="41"/>
  <c r="H182" i="41"/>
  <c r="I377" i="41"/>
  <c r="J391" i="41"/>
  <c r="H260" i="41"/>
  <c r="H359" i="41"/>
  <c r="I245" i="41"/>
  <c r="J214" i="41"/>
  <c r="I237" i="41"/>
  <c r="I413" i="41"/>
  <c r="H257" i="41"/>
  <c r="J408" i="41"/>
  <c r="H234" i="41"/>
  <c r="H291" i="41"/>
  <c r="H199" i="41"/>
  <c r="H263" i="41"/>
  <c r="H421" i="41"/>
  <c r="J364" i="41"/>
  <c r="I350" i="41"/>
  <c r="H222" i="41"/>
  <c r="H283" i="41"/>
  <c r="H193" i="41"/>
  <c r="H159" i="41"/>
  <c r="H395" i="41"/>
  <c r="H404" i="41"/>
  <c r="H160" i="41"/>
  <c r="H279" i="41"/>
  <c r="H191" i="41"/>
  <c r="H157" i="41"/>
  <c r="J235" i="41"/>
  <c r="H419" i="41"/>
  <c r="I375" i="41"/>
  <c r="J286" i="41"/>
  <c r="H288" i="41"/>
  <c r="H335" i="41"/>
  <c r="I313" i="41"/>
  <c r="I174" i="41"/>
  <c r="I331" i="41"/>
  <c r="J343" i="41"/>
  <c r="J284" i="41"/>
  <c r="H414" i="41"/>
  <c r="H237" i="41"/>
  <c r="J153" i="41"/>
  <c r="J215" i="41"/>
  <c r="I362" i="41"/>
  <c r="J159" i="41"/>
  <c r="J347" i="41"/>
  <c r="J288" i="41"/>
  <c r="I337" i="41"/>
  <c r="I145" i="41"/>
  <c r="I218" i="41"/>
  <c r="J309" i="41"/>
  <c r="H194" i="41"/>
  <c r="H156" i="41"/>
  <c r="J316" i="41"/>
  <c r="H366" i="41"/>
  <c r="I268" i="41"/>
  <c r="J301" i="41"/>
  <c r="I351" i="41"/>
  <c r="J187" i="41"/>
  <c r="H271" i="41"/>
  <c r="J179" i="41"/>
  <c r="H151" i="41"/>
  <c r="H220" i="41"/>
  <c r="I336" i="41"/>
  <c r="J318" i="41"/>
  <c r="H322" i="41"/>
  <c r="J192" i="41"/>
  <c r="I335" i="41"/>
  <c r="J275" i="41"/>
  <c r="H287" i="41"/>
  <c r="H324" i="41"/>
  <c r="H365" i="41"/>
  <c r="J242" i="41"/>
  <c r="H246" i="41"/>
  <c r="H301" i="41"/>
  <c r="H278" i="41"/>
  <c r="H400" i="41"/>
  <c r="H397" i="41"/>
  <c r="I219" i="41"/>
  <c r="J342" i="41"/>
  <c r="I399" i="41"/>
  <c r="I151" i="41"/>
  <c r="I230" i="41"/>
  <c r="I393" i="41"/>
  <c r="I191" i="41"/>
  <c r="I149" i="41"/>
  <c r="I180" i="41"/>
  <c r="I364" i="41"/>
  <c r="I279" i="41"/>
  <c r="I251" i="41"/>
  <c r="J218" i="41"/>
  <c r="J166" i="41"/>
  <c r="I416" i="41"/>
  <c r="J246" i="41"/>
  <c r="I190" i="41"/>
  <c r="J415" i="41"/>
  <c r="J360" i="41"/>
  <c r="I320" i="41"/>
  <c r="J418" i="41"/>
  <c r="J270" i="41"/>
  <c r="I233" i="41"/>
  <c r="I341" i="41"/>
  <c r="H383" i="41"/>
  <c r="H205" i="41"/>
  <c r="H171" i="41"/>
  <c r="H363" i="41"/>
  <c r="I361" i="41"/>
  <c r="J276" i="41"/>
  <c r="I210" i="41"/>
  <c r="I384" i="41"/>
  <c r="I312" i="41"/>
  <c r="H253" i="41"/>
  <c r="J167" i="41"/>
  <c r="I343" i="41"/>
  <c r="H208" i="41"/>
  <c r="H172" i="41"/>
  <c r="I340" i="41"/>
  <c r="J377" i="41"/>
  <c r="I286" i="41"/>
  <c r="I248" i="41"/>
  <c r="I368" i="41"/>
  <c r="I329" i="41"/>
  <c r="J182" i="41"/>
  <c r="I411" i="41"/>
  <c r="I197" i="41"/>
  <c r="H385" i="41"/>
  <c r="H378" i="41"/>
  <c r="J307" i="41"/>
  <c r="H299" i="41"/>
  <c r="J308" i="41"/>
  <c r="J378" i="41"/>
  <c r="I342" i="41"/>
  <c r="H361" i="41"/>
  <c r="H277" i="41"/>
  <c r="H155" i="41"/>
  <c r="I240" i="41"/>
  <c r="I386" i="41"/>
  <c r="H296" i="41"/>
  <c r="J326" i="41"/>
  <c r="H330" i="41"/>
  <c r="J259" i="41"/>
  <c r="I211" i="41"/>
  <c r="H356" i="41"/>
  <c r="I186" i="41"/>
  <c r="J283" i="41"/>
  <c r="J212" i="41"/>
  <c r="H360" i="41"/>
  <c r="J299" i="41"/>
  <c r="J224" i="41"/>
  <c r="H240" i="41"/>
  <c r="J417" i="41"/>
  <c r="J350" i="41"/>
  <c r="H354" i="41"/>
  <c r="J277" i="41"/>
  <c r="I226" i="41"/>
  <c r="J208" i="41"/>
  <c r="I176" i="41"/>
  <c r="J229" i="41"/>
  <c r="J361" i="41"/>
  <c r="J247" i="41"/>
  <c r="I339" i="41"/>
  <c r="J310" i="41"/>
  <c r="I263" i="41"/>
  <c r="J197" i="41"/>
  <c r="J156" i="41"/>
  <c r="J410" i="41"/>
  <c r="H342" i="41"/>
  <c r="J213" i="41"/>
  <c r="I356" i="41"/>
  <c r="H338" i="41"/>
  <c r="I215" i="41"/>
  <c r="I173" i="41"/>
  <c r="J211" i="41"/>
  <c r="I328" i="41"/>
  <c r="H420" i="41"/>
  <c r="I294" i="41"/>
  <c r="J325" i="41"/>
  <c r="H239" i="41"/>
  <c r="J155" i="41"/>
  <c r="J233" i="41"/>
  <c r="H196" i="41"/>
  <c r="H158" i="41"/>
  <c r="J282" i="41"/>
  <c r="H286" i="41"/>
  <c r="H333" i="41"/>
  <c r="I289" i="41"/>
  <c r="I214" i="41"/>
  <c r="I172" i="41"/>
  <c r="I307" i="41"/>
  <c r="J336" i="41"/>
  <c r="H343" i="41"/>
  <c r="J349" i="41"/>
  <c r="H265" i="41"/>
  <c r="H147" i="41"/>
  <c r="H216" i="41"/>
  <c r="I417" i="41"/>
  <c r="J306" i="41"/>
  <c r="H310" i="41"/>
  <c r="I157" i="41"/>
  <c r="H405" i="41"/>
  <c r="J264" i="41"/>
  <c r="H268" i="41"/>
  <c r="H219" i="41"/>
  <c r="I236" i="41"/>
  <c r="I202" i="41"/>
  <c r="H228" i="41"/>
  <c r="I206" i="41"/>
  <c r="J302" i="41"/>
  <c r="I296" i="41"/>
  <c r="H318" i="41"/>
  <c r="I372" i="41"/>
  <c r="J163" i="41"/>
  <c r="I295" i="41"/>
  <c r="I367" i="41"/>
  <c r="I366" i="41"/>
  <c r="I304" i="41"/>
  <c r="J161" i="41"/>
  <c r="J250" i="41"/>
  <c r="I192" i="41"/>
  <c r="I150" i="41"/>
  <c r="I284" i="41"/>
  <c r="I255" i="41"/>
  <c r="J216" i="41"/>
  <c r="J245" i="41"/>
  <c r="I185" i="41"/>
  <c r="I365" i="41"/>
  <c r="I265" i="41"/>
  <c r="I357" i="41"/>
  <c r="J279" i="41"/>
  <c r="I234" i="41"/>
  <c r="H186" i="41"/>
  <c r="I280" i="41"/>
  <c r="H411" i="41"/>
  <c r="H270" i="41"/>
  <c r="H323" i="41"/>
  <c r="H221" i="41"/>
  <c r="I162" i="41"/>
  <c r="H290" i="41"/>
  <c r="J240" i="41"/>
  <c r="I205" i="41"/>
  <c r="I163" i="41"/>
  <c r="J190" i="41"/>
  <c r="I311" i="41"/>
  <c r="H281" i="41"/>
  <c r="H251" i="41"/>
  <c r="J339" i="41"/>
  <c r="H255" i="41"/>
  <c r="J169" i="41"/>
  <c r="H210" i="41"/>
  <c r="H174" i="41"/>
  <c r="I290" i="41"/>
  <c r="I407" i="41"/>
  <c r="I378" i="41"/>
  <c r="I310" i="41"/>
  <c r="J335" i="41"/>
  <c r="H206" i="41"/>
  <c r="H170" i="41"/>
  <c r="J367" i="41"/>
  <c r="J256" i="41"/>
  <c r="H258" i="41"/>
  <c r="H313" i="41"/>
  <c r="H213" i="41"/>
  <c r="H179" i="41"/>
  <c r="I154" i="41"/>
  <c r="J260" i="41"/>
  <c r="J371" i="41"/>
  <c r="J352" i="41"/>
  <c r="H403" i="41"/>
  <c r="H358" i="41"/>
  <c r="I275" i="41"/>
  <c r="J168" i="41"/>
  <c r="I170" i="41"/>
  <c r="J272" i="41"/>
  <c r="J313" i="41"/>
  <c r="I305" i="41"/>
  <c r="I373" i="41"/>
  <c r="H413" i="41"/>
  <c r="H357" i="41"/>
  <c r="I291" i="41"/>
  <c r="I243" i="41"/>
  <c r="I405" i="41"/>
  <c r="I153" i="41"/>
  <c r="I227" i="41"/>
  <c r="J191" i="41"/>
  <c r="J385" i="41"/>
  <c r="I281" i="41"/>
  <c r="J396" i="41"/>
  <c r="J196" i="41"/>
  <c r="J210" i="41"/>
  <c r="J221" i="41"/>
  <c r="J251" i="41"/>
  <c r="I270" i="41"/>
  <c r="I347" i="41"/>
  <c r="J355" i="41"/>
  <c r="H180" i="41"/>
  <c r="I401" i="41"/>
  <c r="I266" i="41"/>
  <c r="J195" i="41"/>
  <c r="H415" i="41"/>
  <c r="J226" i="41"/>
  <c r="I277" i="41"/>
  <c r="I370" i="41"/>
  <c r="H362" i="41"/>
  <c r="J297" i="41"/>
  <c r="I299" i="41"/>
  <c r="I317" i="41"/>
  <c r="H407" i="41"/>
  <c r="J380" i="41"/>
  <c r="J363" i="41"/>
  <c r="H381" i="41"/>
  <c r="J252" i="41"/>
  <c r="H256" i="41"/>
  <c r="H309" i="41"/>
  <c r="H211" i="41"/>
  <c r="H177" i="41"/>
  <c r="I194" i="41"/>
  <c r="H280" i="41"/>
  <c r="H329" i="41"/>
  <c r="I168" i="41"/>
  <c r="I187" i="41"/>
  <c r="H355" i="41"/>
  <c r="J188" i="41"/>
  <c r="H276" i="41"/>
  <c r="H327" i="41"/>
  <c r="J237" i="41"/>
  <c r="J400" i="41"/>
  <c r="H334" i="41"/>
  <c r="I213" i="41"/>
  <c r="I171" i="41"/>
  <c r="J146" i="41"/>
  <c r="H352" i="41"/>
  <c r="J372" i="41"/>
  <c r="H273" i="41"/>
  <c r="J181" i="41"/>
  <c r="H153" i="41"/>
  <c r="I232" i="41"/>
  <c r="I392" i="41"/>
  <c r="I314" i="41"/>
  <c r="H384" i="41"/>
  <c r="H227" i="41"/>
  <c r="J143" i="41"/>
  <c r="J178" i="41"/>
  <c r="H409" i="41"/>
  <c r="J262" i="41"/>
  <c r="I200" i="41"/>
  <c r="I158" i="41"/>
  <c r="J351" i="41"/>
  <c r="I198" i="41"/>
  <c r="I156" i="41"/>
  <c r="J328" i="41"/>
  <c r="J248" i="41"/>
  <c r="I354" i="41"/>
  <c r="J292" i="41"/>
  <c r="I147" i="41"/>
  <c r="I178" i="41"/>
  <c r="I355" i="41"/>
  <c r="I397" i="41"/>
  <c r="J263" i="41"/>
  <c r="I358" i="41"/>
  <c r="J327" i="41"/>
  <c r="J157" i="41"/>
  <c r="I402" i="41"/>
  <c r="J185" i="41"/>
  <c r="I396" i="41"/>
  <c r="I318" i="41"/>
  <c r="J171" i="41"/>
  <c r="J398" i="41"/>
  <c r="J411" i="41"/>
  <c r="J346" i="41"/>
  <c r="J273" i="41"/>
  <c r="I179" i="41"/>
  <c r="J217" i="41"/>
  <c r="I293" i="41"/>
  <c r="H396" i="41"/>
  <c r="I282" i="41"/>
  <c r="J315" i="41"/>
  <c r="I235" i="41"/>
  <c r="C35" i="63"/>
  <c r="C24" i="63"/>
  <c r="J144" i="41"/>
  <c r="I274" i="41"/>
  <c r="D42" i="57"/>
  <c r="G149" i="66"/>
  <c r="O149" i="66" s="1"/>
  <c r="D67" i="57"/>
  <c r="G266" i="66"/>
  <c r="I257" i="41"/>
  <c r="J176" i="41"/>
  <c r="C34" i="63"/>
  <c r="H372" i="41"/>
  <c r="G126" i="66"/>
  <c r="D35" i="57"/>
  <c r="J303" i="41"/>
  <c r="H223" i="41"/>
  <c r="I241" i="41"/>
  <c r="J174" i="41"/>
  <c r="I20" i="66"/>
  <c r="E2" i="53"/>
  <c r="G20" i="66"/>
  <c r="I68" i="66"/>
  <c r="I116" i="66"/>
  <c r="H142" i="41"/>
  <c r="H416" i="41"/>
  <c r="I359" i="41"/>
  <c r="D46" i="57"/>
  <c r="G169" i="66"/>
  <c r="O169" i="66" s="1"/>
  <c r="J227" i="41"/>
  <c r="I380" i="41"/>
  <c r="J381" i="41"/>
  <c r="I169" i="41"/>
  <c r="C54" i="63"/>
  <c r="G257" i="66"/>
  <c r="D70" i="57"/>
  <c r="D39" i="57"/>
  <c r="G120" i="66"/>
  <c r="J369" i="41"/>
  <c r="G209" i="66"/>
  <c r="D57" i="57"/>
  <c r="G67" i="66"/>
  <c r="D19" i="57"/>
  <c r="I165" i="41"/>
  <c r="I250" i="41"/>
  <c r="I242" i="41"/>
  <c r="I223" i="41"/>
  <c r="J160" i="41"/>
  <c r="I229" i="41"/>
  <c r="J354" i="41"/>
  <c r="I246" i="41"/>
  <c r="J158" i="41"/>
  <c r="J386" i="41"/>
  <c r="J268" i="41"/>
  <c r="I261" i="41"/>
  <c r="I204" i="41"/>
  <c r="J332" i="41"/>
  <c r="J405" i="41"/>
  <c r="H346" i="41"/>
  <c r="J271" i="41"/>
  <c r="I177" i="41"/>
  <c r="J204" i="41"/>
  <c r="J152" i="41"/>
  <c r="C26" i="63"/>
  <c r="J278" i="41"/>
  <c r="I272" i="41"/>
  <c r="D74" i="57"/>
  <c r="G270" i="66"/>
  <c r="I164" i="66"/>
  <c r="I260" i="66"/>
  <c r="E8" i="53"/>
  <c r="I212" i="66"/>
  <c r="G164" i="66"/>
  <c r="I323" i="41"/>
  <c r="J172" i="41"/>
  <c r="H336" i="41"/>
  <c r="I300" i="41"/>
  <c r="J329" i="41"/>
  <c r="H243" i="41"/>
  <c r="I247" i="41"/>
  <c r="H200" i="41"/>
  <c r="H164" i="41"/>
  <c r="H266" i="41"/>
  <c r="I381" i="41"/>
  <c r="H292" i="41"/>
  <c r="H337" i="41"/>
  <c r="J254" i="41"/>
  <c r="I420" i="41"/>
  <c r="I334" i="41"/>
  <c r="I224" i="41"/>
  <c r="J359" i="41"/>
  <c r="D78" i="57"/>
  <c r="G264" i="66"/>
  <c r="O264" i="66" s="1"/>
  <c r="J253" i="41"/>
  <c r="D18" i="57"/>
  <c r="G65" i="66"/>
  <c r="I207" i="41"/>
  <c r="D58" i="57"/>
  <c r="G211" i="66"/>
  <c r="O211" i="66" s="1"/>
  <c r="J203" i="41"/>
  <c r="I146" i="41"/>
  <c r="J395" i="41"/>
  <c r="J312" i="41"/>
  <c r="H316" i="41"/>
  <c r="I203" i="41"/>
  <c r="I161" i="41"/>
  <c r="I287" i="41"/>
  <c r="J199" i="41"/>
  <c r="H364" i="41"/>
  <c r="H302" i="41"/>
  <c r="H401" i="41"/>
  <c r="I332" i="41"/>
  <c r="H312" i="41"/>
  <c r="J366" i="41"/>
  <c r="I201" i="41"/>
  <c r="I159" i="41"/>
  <c r="I315" i="41"/>
  <c r="H391" i="41"/>
  <c r="I181" i="41"/>
  <c r="J219" i="41"/>
  <c r="I421" i="41"/>
  <c r="J402" i="41"/>
  <c r="H230" i="41"/>
  <c r="H289" i="41"/>
  <c r="H197" i="41"/>
  <c r="H163" i="41"/>
  <c r="G231" i="66"/>
  <c r="E396" i="38"/>
  <c r="N231" i="66" s="1"/>
  <c r="D56" i="57"/>
  <c r="I493" i="58"/>
  <c r="G232" i="66" s="1"/>
  <c r="O232" i="66" s="1"/>
  <c r="I494" i="58"/>
  <c r="H347" i="41"/>
  <c r="C4" i="63"/>
  <c r="H144" i="41"/>
  <c r="C56" i="63"/>
  <c r="D75" i="57"/>
  <c r="G255" i="66"/>
  <c r="O255" i="66" s="1"/>
  <c r="C55" i="63"/>
  <c r="G72" i="66"/>
  <c r="D26" i="57"/>
  <c r="I369" i="41"/>
  <c r="D54" i="57"/>
  <c r="G218" i="66"/>
  <c r="I494" i="37"/>
  <c r="I493" i="37"/>
  <c r="E393" i="38"/>
  <c r="N87" i="66" s="1"/>
  <c r="G87" i="66"/>
  <c r="D17" i="57"/>
  <c r="I321" i="41"/>
  <c r="J300" i="41"/>
  <c r="H304" i="41"/>
  <c r="H349" i="41"/>
  <c r="I195" i="41"/>
  <c r="I238" i="41"/>
  <c r="I400" i="41"/>
  <c r="J399" i="41"/>
  <c r="J338" i="41"/>
  <c r="G111" i="66"/>
  <c r="J267" i="41"/>
  <c r="D36" i="57"/>
  <c r="I217" i="41"/>
  <c r="I175" i="41"/>
  <c r="J202" i="41"/>
  <c r="J150" i="41"/>
  <c r="J393" i="41"/>
  <c r="J334" i="41"/>
  <c r="J265" i="41"/>
  <c r="J200" i="41"/>
  <c r="J148" i="41"/>
  <c r="C25" i="63"/>
  <c r="I302" i="41"/>
  <c r="I225" i="41"/>
  <c r="D16" i="57"/>
  <c r="G53" i="66"/>
  <c r="C46" i="63"/>
  <c r="I404" i="41"/>
  <c r="J296" i="41"/>
  <c r="I391" i="41"/>
  <c r="G216" i="66"/>
  <c r="O216" i="66" s="1"/>
  <c r="D65" i="57"/>
  <c r="G74" i="66"/>
  <c r="I141" i="41"/>
  <c r="D15" i="57"/>
  <c r="I254" i="41"/>
  <c r="I408" i="41"/>
  <c r="I326" i="41"/>
  <c r="J175" i="41"/>
  <c r="I385" i="41"/>
  <c r="I199" i="41"/>
  <c r="G5" i="66"/>
  <c r="D3" i="57"/>
  <c r="H225" i="41"/>
  <c r="J298" i="41"/>
  <c r="H300" i="41"/>
  <c r="D12" i="57"/>
  <c r="H345" i="41"/>
  <c r="G14" i="66"/>
  <c r="I193" i="41"/>
  <c r="I182" i="41"/>
  <c r="D72" i="57"/>
  <c r="G265" i="66"/>
  <c r="O265" i="66" s="1"/>
  <c r="I418" i="41"/>
  <c r="J294" i="41"/>
  <c r="H298" i="41"/>
  <c r="H341" i="41"/>
  <c r="J222" i="41"/>
  <c r="H187" i="41"/>
  <c r="J388" i="41"/>
  <c r="I264" i="41"/>
  <c r="I327" i="41"/>
  <c r="D55" i="57"/>
  <c r="G197" i="66"/>
  <c r="O197" i="66" s="1"/>
  <c r="J170" i="41"/>
  <c r="I152" i="41"/>
  <c r="C16" i="63"/>
  <c r="J186" i="41"/>
  <c r="I258" i="41"/>
  <c r="J291" i="41"/>
  <c r="I269" i="41"/>
  <c r="H188" i="41"/>
  <c r="G24" i="66"/>
  <c r="D13" i="57"/>
  <c r="H369" i="41"/>
  <c r="H250" i="41"/>
  <c r="G30" i="66"/>
  <c r="D9" i="57"/>
  <c r="H303" i="41"/>
  <c r="D5" i="57"/>
  <c r="G17" i="66"/>
  <c r="H207" i="41"/>
  <c r="H173" i="41"/>
  <c r="C45" i="63"/>
  <c r="H340" i="41"/>
  <c r="H376" i="41"/>
  <c r="J305" i="41"/>
  <c r="J348" i="41"/>
  <c r="H408" i="41"/>
  <c r="I288" i="41"/>
  <c r="D69" i="57"/>
  <c r="J494" i="58"/>
  <c r="J493" i="58"/>
  <c r="G280" i="66" s="1"/>
  <c r="O280" i="66" s="1"/>
  <c r="G279" i="66"/>
  <c r="E397" i="38"/>
  <c r="N279" i="66" s="1"/>
  <c r="H235" i="41"/>
  <c r="J151" i="41"/>
  <c r="H192" i="41"/>
  <c r="H154" i="41"/>
  <c r="H368" i="41"/>
  <c r="J239" i="41"/>
  <c r="I333" i="41"/>
  <c r="I352" i="41"/>
  <c r="J357" i="41"/>
  <c r="J274" i="41"/>
  <c r="J231" i="41"/>
  <c r="I309" i="41"/>
  <c r="I208" i="41"/>
  <c r="I166" i="41"/>
  <c r="J269" i="41"/>
  <c r="H417" i="41"/>
  <c r="H274" i="41"/>
  <c r="H325" i="41"/>
  <c r="J223" i="41"/>
  <c r="D63" i="57"/>
  <c r="G226" i="66"/>
  <c r="O226" i="66" s="1"/>
  <c r="I164" i="41"/>
  <c r="I283" i="41"/>
  <c r="H348" i="41"/>
  <c r="J337" i="41"/>
  <c r="J356" i="41"/>
  <c r="D51" i="57"/>
  <c r="G158" i="66"/>
  <c r="O158" i="66" s="1"/>
  <c r="G121" i="66"/>
  <c r="D33" i="57"/>
  <c r="J189" i="41"/>
  <c r="D40" i="57"/>
  <c r="G131" i="66"/>
  <c r="J387" i="41"/>
  <c r="E28" i="53"/>
  <c r="F28" i="53" s="1"/>
  <c r="H34" i="53" s="1"/>
  <c r="D52" i="57"/>
  <c r="G168" i="66"/>
  <c r="O168" i="66" s="1"/>
  <c r="G174" i="66"/>
  <c r="D48" i="57"/>
  <c r="D44" i="57"/>
  <c r="G161" i="66"/>
  <c r="I148" i="41"/>
  <c r="C15" i="63"/>
  <c r="E394" i="38"/>
  <c r="N135" i="66" s="1"/>
  <c r="N135" i="74" s="1"/>
  <c r="J321" i="41"/>
  <c r="J494" i="37"/>
  <c r="J493" i="37"/>
  <c r="D30" i="57"/>
  <c r="G135" i="66"/>
  <c r="I379" i="41"/>
  <c r="J420" i="41"/>
  <c r="J238" i="41"/>
  <c r="H242" i="41"/>
  <c r="H297" i="41"/>
  <c r="H203" i="41"/>
  <c r="H169" i="41"/>
  <c r="I349" i="41"/>
  <c r="I144" i="41"/>
  <c r="C14" i="63"/>
  <c r="H373" i="41"/>
  <c r="H224" i="41"/>
  <c r="H275" i="41"/>
  <c r="J414" i="41"/>
  <c r="H238" i="41"/>
  <c r="H295" i="41"/>
  <c r="H201" i="41"/>
  <c r="H167" i="41"/>
  <c r="I325" i="41"/>
  <c r="G212" i="66"/>
  <c r="E20" i="53"/>
  <c r="J257" i="41"/>
  <c r="G82" i="66"/>
  <c r="I285" i="41"/>
  <c r="D24" i="57"/>
  <c r="H146" i="41"/>
  <c r="J293" i="41"/>
  <c r="H185" i="41"/>
  <c r="D4" i="57"/>
  <c r="G39" i="66"/>
  <c r="H494" i="37"/>
  <c r="H321" i="41"/>
  <c r="E392" i="38"/>
  <c r="N39" i="66" s="1"/>
  <c r="H493" i="37"/>
  <c r="E395" i="38"/>
  <c r="N183" i="66" s="1"/>
  <c r="H494" i="58"/>
  <c r="H493" i="58"/>
  <c r="G184" i="66" s="1"/>
  <c r="O184" i="66" s="1"/>
  <c r="D43" i="57"/>
  <c r="G183" i="66"/>
  <c r="I160" i="41"/>
  <c r="J266" i="41"/>
  <c r="H399" i="41"/>
  <c r="H264" i="41"/>
  <c r="H319" i="41"/>
  <c r="H217" i="41"/>
  <c r="I228" i="41"/>
  <c r="J412" i="41"/>
  <c r="H393" i="41"/>
  <c r="J258" i="41"/>
  <c r="H262" i="41"/>
  <c r="H315" i="41"/>
  <c r="H215" i="41"/>
  <c r="H181" i="41"/>
  <c r="D79" i="57"/>
  <c r="E34" i="53"/>
  <c r="F34" i="53" s="1"/>
  <c r="H28" i="53" s="1"/>
  <c r="G275" i="66"/>
  <c r="J330" i="41"/>
  <c r="J261" i="41"/>
  <c r="J198" i="41"/>
  <c r="J209" i="41"/>
  <c r="I188" i="41"/>
  <c r="N7" i="41" s="1"/>
  <c r="I324" i="41"/>
  <c r="I338" i="41"/>
  <c r="J358" i="41"/>
  <c r="I222" i="41"/>
  <c r="G116" i="66"/>
  <c r="J142" i="41"/>
  <c r="E26" i="53"/>
  <c r="H267" i="41"/>
  <c r="G15" i="66"/>
  <c r="D10" i="57"/>
  <c r="G130" i="66"/>
  <c r="D37" i="57"/>
  <c r="J285" i="41"/>
  <c r="C44" i="63"/>
  <c r="E14" i="53"/>
  <c r="G68" i="66"/>
  <c r="I142" i="41"/>
  <c r="D6" i="57"/>
  <c r="G19" i="66"/>
  <c r="H165" i="41"/>
  <c r="D64" i="57"/>
  <c r="G206" i="66"/>
  <c r="O206" i="66" s="1"/>
  <c r="I276" i="41"/>
  <c r="D28" i="57"/>
  <c r="G122" i="66"/>
  <c r="J141" i="41"/>
  <c r="G25" i="66"/>
  <c r="D7" i="57"/>
  <c r="H189" i="41"/>
  <c r="H226" i="41"/>
  <c r="D11" i="57"/>
  <c r="G34" i="66"/>
  <c r="H285" i="41"/>
  <c r="H195" i="41"/>
  <c r="H161" i="41"/>
  <c r="I253" i="41"/>
  <c r="I297" i="41"/>
  <c r="H371" i="41"/>
  <c r="I394" i="41"/>
  <c r="D27" i="57"/>
  <c r="E16" i="53"/>
  <c r="F16" i="53" s="1"/>
  <c r="H22" i="53" s="1"/>
  <c r="G83" i="66"/>
  <c r="I387" i="41"/>
  <c r="H294" i="41"/>
  <c r="H339" i="41"/>
  <c r="D59" i="57"/>
  <c r="G217" i="66"/>
  <c r="O217" i="66" s="1"/>
  <c r="I220" i="41"/>
  <c r="I344" i="41"/>
  <c r="I298" i="41"/>
  <c r="H241" i="41"/>
  <c r="J241" i="41"/>
  <c r="H198" i="41"/>
  <c r="H162" i="41"/>
  <c r="I419" i="41"/>
  <c r="J322" i="41"/>
  <c r="J255" i="41"/>
  <c r="I167" i="41"/>
  <c r="E32" i="53"/>
  <c r="G260" i="66"/>
  <c r="J205" i="41"/>
  <c r="I414" i="41"/>
  <c r="I330" i="41"/>
  <c r="J353" i="41"/>
  <c r="D49" i="57"/>
  <c r="G159" i="66"/>
  <c r="O159" i="66" s="1"/>
  <c r="J421" i="41"/>
  <c r="J228" i="41"/>
  <c r="I252" i="41"/>
  <c r="D76" i="57"/>
  <c r="G274" i="66"/>
  <c r="O274" i="66" s="1"/>
  <c r="I231" i="41"/>
  <c r="J162" i="41"/>
  <c r="J317" i="41"/>
  <c r="H389" i="41"/>
  <c r="I322" i="41"/>
  <c r="D77" i="57"/>
  <c r="G254" i="66"/>
  <c r="O254" i="66" s="1"/>
  <c r="H261" i="41"/>
  <c r="J173" i="41"/>
  <c r="H145" i="41"/>
  <c r="H214" i="41"/>
  <c r="H178" i="41"/>
  <c r="J374" i="41"/>
  <c r="J416" i="41"/>
  <c r="H380" i="41"/>
  <c r="J341" i="41"/>
  <c r="H259" i="41"/>
  <c r="H143" i="41"/>
  <c r="H212" i="41"/>
  <c r="H176" i="41"/>
  <c r="I244" i="41"/>
  <c r="J230" i="41"/>
  <c r="D45" i="57"/>
  <c r="G163" i="66"/>
  <c r="O163" i="66" s="1"/>
  <c r="I301" i="41"/>
  <c r="G62" i="66"/>
  <c r="D25" i="57"/>
  <c r="I345" i="41"/>
  <c r="H350" i="41"/>
  <c r="I221" i="41"/>
  <c r="J206" i="41"/>
  <c r="J154" i="41"/>
  <c r="J340" i="41"/>
  <c r="J320" i="41"/>
  <c r="J368" i="41"/>
  <c r="G113" i="66"/>
  <c r="D31" i="57"/>
  <c r="J207" i="41"/>
  <c r="N3" i="58"/>
  <c r="G234" i="66"/>
  <c r="D60" i="57"/>
  <c r="D66" i="57"/>
  <c r="G227" i="66"/>
  <c r="E22" i="53"/>
  <c r="F22" i="53" s="1"/>
  <c r="G73" i="66"/>
  <c r="D20" i="57"/>
  <c r="I189" i="41"/>
  <c r="D68" i="57"/>
  <c r="G245" i="66"/>
  <c r="O245" i="66" s="1"/>
  <c r="O3" i="58"/>
  <c r="G282" i="66"/>
  <c r="D73" i="57"/>
  <c r="G110" i="66"/>
  <c r="D38" i="57"/>
  <c r="J345" i="41"/>
  <c r="G26" i="66"/>
  <c r="H141" i="41"/>
  <c r="D2" i="57"/>
  <c r="G42" i="66"/>
  <c r="D8" i="57"/>
  <c r="H249" i="41"/>
  <c r="M3" i="37"/>
  <c r="D71" i="57"/>
  <c r="G259" i="66"/>
  <c r="O259" i="66" s="1"/>
  <c r="J390" i="41"/>
  <c r="J243" i="41"/>
  <c r="I273" i="41"/>
  <c r="J384" i="41"/>
  <c r="I346" i="41"/>
  <c r="N3" i="37"/>
  <c r="G90" i="66"/>
  <c r="D21" i="57"/>
  <c r="I249" i="41"/>
  <c r="G35" i="66"/>
  <c r="D14" i="57"/>
  <c r="H387" i="41"/>
  <c r="E4" i="53"/>
  <c r="F4" i="53" s="1"/>
  <c r="G222" i="66"/>
  <c r="D61" i="57"/>
  <c r="I143" i="41"/>
  <c r="I216" i="41"/>
  <c r="I292" i="41"/>
  <c r="J323" i="41"/>
  <c r="G101" i="66"/>
  <c r="J225" i="41"/>
  <c r="D29" i="57"/>
  <c r="J232" i="41"/>
  <c r="J324" i="41"/>
  <c r="J365" i="41"/>
  <c r="D34" i="57"/>
  <c r="O3" i="37"/>
  <c r="G138" i="66"/>
  <c r="J249" i="41"/>
  <c r="J201" i="41"/>
  <c r="J311" i="41"/>
  <c r="J389" i="41"/>
  <c r="H402" i="41"/>
  <c r="J319" i="41"/>
  <c r="H233" i="41"/>
  <c r="J149" i="41"/>
  <c r="I353" i="41"/>
  <c r="H190" i="41"/>
  <c r="C6" i="63"/>
  <c r="H152" i="41"/>
  <c r="H382" i="41"/>
  <c r="H293" i="41"/>
  <c r="H231" i="41"/>
  <c r="J147" i="41"/>
  <c r="H150" i="41"/>
  <c r="H314" i="41"/>
  <c r="I390" i="41"/>
  <c r="I316" i="41"/>
  <c r="D41" i="57"/>
  <c r="G170" i="66"/>
  <c r="J422" i="41"/>
  <c r="J304" i="41"/>
  <c r="H306" i="41"/>
  <c r="H353" i="41"/>
  <c r="I155" i="41"/>
  <c r="G207" i="66"/>
  <c r="O207" i="66" s="1"/>
  <c r="D62" i="57"/>
  <c r="J193" i="41"/>
  <c r="I376" i="41"/>
  <c r="H308" i="41"/>
  <c r="H418" i="41"/>
  <c r="G178" i="66"/>
  <c r="O178" i="66" s="1"/>
  <c r="D50" i="57"/>
  <c r="D47" i="57"/>
  <c r="G186" i="66"/>
  <c r="M3" i="58"/>
  <c r="G115" i="66"/>
  <c r="D32" i="57"/>
  <c r="J165" i="41"/>
  <c r="I319" i="41"/>
  <c r="I403" i="41"/>
  <c r="J397" i="41"/>
  <c r="I306" i="41"/>
  <c r="J333" i="41"/>
  <c r="H247" i="41"/>
  <c r="H204" i="41"/>
  <c r="H168" i="41"/>
  <c r="H248" i="41"/>
  <c r="J331" i="41"/>
  <c r="H245" i="41"/>
  <c r="I271" i="41"/>
  <c r="H202" i="41"/>
  <c r="H166" i="41"/>
  <c r="H367" i="41"/>
  <c r="I398" i="41"/>
  <c r="E10" i="53"/>
  <c r="F10" i="53" s="1"/>
  <c r="H4" i="53" s="1"/>
  <c r="D53" i="57"/>
  <c r="G179" i="66"/>
  <c r="I196" i="41"/>
  <c r="I262" i="41"/>
  <c r="J295" i="41"/>
  <c r="G78" i="66"/>
  <c r="D22" i="57"/>
  <c r="I303" i="41"/>
  <c r="J220" i="41"/>
  <c r="J392" i="41"/>
  <c r="H375" i="41"/>
  <c r="H252" i="41"/>
  <c r="H307" i="41"/>
  <c r="H209" i="41"/>
  <c r="H175" i="41"/>
  <c r="J419" i="41"/>
  <c r="J281" i="41"/>
  <c r="J362" i="41"/>
  <c r="I256" i="41"/>
  <c r="J289" i="41"/>
  <c r="I239" i="41"/>
  <c r="J164" i="41"/>
  <c r="I389" i="41"/>
  <c r="J403" i="41"/>
  <c r="H272" i="41"/>
  <c r="J280" i="41"/>
  <c r="H282" i="41"/>
  <c r="H331" i="41"/>
  <c r="I212" i="41"/>
  <c r="I259" i="41"/>
  <c r="H311" i="41"/>
  <c r="H412" i="41"/>
  <c r="C36" i="63"/>
  <c r="H332" i="41"/>
  <c r="H390" i="41"/>
  <c r="H229" i="41"/>
  <c r="J145" i="41"/>
  <c r="J180" i="41"/>
  <c r="H148" i="41"/>
  <c r="C5" i="63"/>
  <c r="H244" i="41"/>
  <c r="G63" i="66"/>
  <c r="I267" i="41"/>
  <c r="D23" i="57"/>
  <c r="O7" i="41" l="1"/>
  <c r="M7" i="41"/>
  <c r="K49" i="39"/>
  <c r="E147" i="38" s="1"/>
  <c r="H457" i="58" s="1"/>
  <c r="E51" i="39"/>
  <c r="E132" i="38" s="1"/>
  <c r="D49" i="39"/>
  <c r="E113" i="38" s="1"/>
  <c r="I457" i="37" s="1"/>
  <c r="K48" i="39"/>
  <c r="E146" i="38" s="1"/>
  <c r="G28" i="53"/>
  <c r="M47" i="39"/>
  <c r="D51" i="39"/>
  <c r="E115" i="38" s="1"/>
  <c r="I465" i="37" s="1"/>
  <c r="E401" i="38"/>
  <c r="H496" i="58" s="1"/>
  <c r="E403" i="38"/>
  <c r="J496" i="58" s="1"/>
  <c r="L48" i="39"/>
  <c r="E163" i="38" s="1"/>
  <c r="K218" i="66" s="1"/>
  <c r="O218" i="66" s="1"/>
  <c r="C51" i="39"/>
  <c r="E98" i="38" s="1"/>
  <c r="K42" i="66" s="1"/>
  <c r="O42" i="66" s="1"/>
  <c r="E402" i="38"/>
  <c r="I496" i="58" s="1"/>
  <c r="C50" i="39"/>
  <c r="E97" i="38" s="1"/>
  <c r="K30" i="66" s="1"/>
  <c r="O30" i="66" s="1"/>
  <c r="C47" i="39"/>
  <c r="E94" i="38" s="1"/>
  <c r="H455" i="37" s="1"/>
  <c r="L47" i="39"/>
  <c r="E162" i="38" s="1"/>
  <c r="E399" i="38"/>
  <c r="I496" i="37" s="1"/>
  <c r="E48" i="39"/>
  <c r="E129" i="38" s="1"/>
  <c r="J456" i="37" s="1"/>
  <c r="L50" i="39"/>
  <c r="E165" i="38" s="1"/>
  <c r="M49" i="39"/>
  <c r="E181" i="38" s="1"/>
  <c r="M50" i="39"/>
  <c r="E182" i="38" s="1"/>
  <c r="K270" i="66" s="1"/>
  <c r="C48" i="39"/>
  <c r="E95" i="38" s="1"/>
  <c r="H456" i="37" s="1"/>
  <c r="D48" i="39"/>
  <c r="E112" i="38" s="1"/>
  <c r="I456" i="37" s="1"/>
  <c r="O231" i="66"/>
  <c r="I497" i="37"/>
  <c r="I495" i="37"/>
  <c r="K138" i="66"/>
  <c r="O138" i="66" s="1"/>
  <c r="J465" i="37"/>
  <c r="E179" i="38"/>
  <c r="G73" i="74"/>
  <c r="O73" i="66"/>
  <c r="H10" i="53"/>
  <c r="G10" i="53" s="1"/>
  <c r="G4" i="53"/>
  <c r="G22" i="53"/>
  <c r="H16" i="53"/>
  <c r="G16" i="53" s="1"/>
  <c r="I68" i="74"/>
  <c r="K170" i="66"/>
  <c r="O170" i="66" s="1"/>
  <c r="H456" i="58"/>
  <c r="D50" i="39"/>
  <c r="E114" i="38" s="1"/>
  <c r="G26" i="74"/>
  <c r="O183" i="66"/>
  <c r="G111" i="74"/>
  <c r="O111" i="66"/>
  <c r="G87" i="74"/>
  <c r="O87" i="66"/>
  <c r="G20" i="74"/>
  <c r="G63" i="74"/>
  <c r="O63" i="66"/>
  <c r="G34" i="74"/>
  <c r="O34" i="66"/>
  <c r="O130" i="66"/>
  <c r="G130" i="74"/>
  <c r="N8" i="41"/>
  <c r="K50" i="39"/>
  <c r="E148" i="38" s="1"/>
  <c r="G74" i="74"/>
  <c r="O8" i="41"/>
  <c r="N87" i="74"/>
  <c r="G35" i="74"/>
  <c r="G110" i="74"/>
  <c r="O110" i="66"/>
  <c r="L51" i="39"/>
  <c r="E166" i="38" s="1"/>
  <c r="M51" i="39"/>
  <c r="E183" i="38" s="1"/>
  <c r="G121" i="74"/>
  <c r="O121" i="66"/>
  <c r="N9" i="41"/>
  <c r="I493" i="41"/>
  <c r="G88" i="66"/>
  <c r="O67" i="66"/>
  <c r="G67" i="74"/>
  <c r="I20" i="74"/>
  <c r="M48" i="39"/>
  <c r="E180" i="38" s="1"/>
  <c r="G78" i="74"/>
  <c r="K51" i="39"/>
  <c r="E149" i="38" s="1"/>
  <c r="O101" i="66"/>
  <c r="G101" i="74"/>
  <c r="G83" i="74"/>
  <c r="O19" i="66"/>
  <c r="G19" i="74"/>
  <c r="G15" i="74"/>
  <c r="O15" i="66"/>
  <c r="G185" i="66"/>
  <c r="E9" i="53"/>
  <c r="F9" i="53" s="1"/>
  <c r="H3" i="53" s="1"/>
  <c r="G30" i="74"/>
  <c r="G5" i="74"/>
  <c r="O5" i="66"/>
  <c r="G89" i="66"/>
  <c r="I494" i="41"/>
  <c r="E15" i="53"/>
  <c r="F15" i="53" s="1"/>
  <c r="H21" i="53" s="1"/>
  <c r="G115" i="74"/>
  <c r="O115" i="66"/>
  <c r="E49" i="39"/>
  <c r="E130" i="38" s="1"/>
  <c r="M8" i="41"/>
  <c r="D47" i="39"/>
  <c r="E400" i="38"/>
  <c r="H493" i="41"/>
  <c r="G40" i="66"/>
  <c r="G82" i="74"/>
  <c r="O82" i="66"/>
  <c r="L49" i="39"/>
  <c r="E164" i="38" s="1"/>
  <c r="K47" i="39"/>
  <c r="E145" i="38" s="1"/>
  <c r="O9" i="41"/>
  <c r="M9" i="41"/>
  <c r="G90" i="74"/>
  <c r="G62" i="74"/>
  <c r="O62" i="66"/>
  <c r="G25" i="74"/>
  <c r="O25" i="66"/>
  <c r="E47" i="39"/>
  <c r="N39" i="74"/>
  <c r="G135" i="74"/>
  <c r="O135" i="66"/>
  <c r="G233" i="66"/>
  <c r="E21" i="53"/>
  <c r="F21" i="53" s="1"/>
  <c r="G65" i="74"/>
  <c r="G120" i="74"/>
  <c r="O120" i="66"/>
  <c r="E50" i="39"/>
  <c r="E131" i="38" s="1"/>
  <c r="G138" i="74"/>
  <c r="G42" i="74"/>
  <c r="G24" i="74"/>
  <c r="O24" i="66"/>
  <c r="G14" i="74"/>
  <c r="O14" i="66"/>
  <c r="I464" i="58"/>
  <c r="K222" i="66"/>
  <c r="G113" i="74"/>
  <c r="G68" i="74"/>
  <c r="E328" i="38"/>
  <c r="E334" i="38"/>
  <c r="E3" i="53"/>
  <c r="F3" i="53" s="1"/>
  <c r="G41" i="66"/>
  <c r="H494" i="41"/>
  <c r="J493" i="41"/>
  <c r="G136" i="66"/>
  <c r="G34" i="53"/>
  <c r="O279" i="66"/>
  <c r="C49" i="39"/>
  <c r="E96" i="38" s="1"/>
  <c r="O53" i="66"/>
  <c r="G53" i="74"/>
  <c r="G122" i="74"/>
  <c r="G116" i="74"/>
  <c r="O39" i="66"/>
  <c r="G39" i="74"/>
  <c r="G137" i="66"/>
  <c r="J494" i="41"/>
  <c r="E27" i="53"/>
  <c r="F27" i="53" s="1"/>
  <c r="H33" i="53" s="1"/>
  <c r="O72" i="66"/>
  <c r="AA72" i="66" s="1"/>
  <c r="G72" i="74"/>
  <c r="E398" i="38"/>
  <c r="G126" i="74"/>
  <c r="G131" i="74"/>
  <c r="G281" i="66"/>
  <c r="E33" i="53"/>
  <c r="F33" i="53" s="1"/>
  <c r="H27" i="53" s="1"/>
  <c r="G17" i="74"/>
  <c r="I116" i="74"/>
  <c r="J464" i="58" l="1"/>
  <c r="K161" i="66"/>
  <c r="H464" i="37"/>
  <c r="I497" i="58"/>
  <c r="I497" i="41" s="1"/>
  <c r="K74" i="66"/>
  <c r="I495" i="58"/>
  <c r="C51" i="63" s="1"/>
  <c r="K65" i="66"/>
  <c r="H497" i="58"/>
  <c r="H495" i="58"/>
  <c r="C41" i="63" s="1"/>
  <c r="K26" i="66"/>
  <c r="O26" i="66" s="1"/>
  <c r="Z170" i="66" s="1"/>
  <c r="K90" i="66"/>
  <c r="O90" i="66" s="1"/>
  <c r="H465" i="37"/>
  <c r="K122" i="66"/>
  <c r="O122" i="66" s="1"/>
  <c r="K20" i="66"/>
  <c r="H456" i="41"/>
  <c r="I456" i="58"/>
  <c r="I456" i="41" s="1"/>
  <c r="J495" i="58"/>
  <c r="C61" i="63" s="1"/>
  <c r="J497" i="58"/>
  <c r="G276" i="66" s="1"/>
  <c r="K257" i="66"/>
  <c r="O257" i="66" s="1"/>
  <c r="J457" i="58"/>
  <c r="G27" i="53"/>
  <c r="AA170" i="66"/>
  <c r="G41" i="74"/>
  <c r="AA216" i="66"/>
  <c r="Z72" i="66"/>
  <c r="Z216" i="66"/>
  <c r="G3" i="53"/>
  <c r="H9" i="53"/>
  <c r="G9" i="53" s="1"/>
  <c r="Z264" i="66"/>
  <c r="Z120" i="66"/>
  <c r="AA120" i="66"/>
  <c r="AA264" i="66"/>
  <c r="AA62" i="66"/>
  <c r="Z206" i="66"/>
  <c r="Z62" i="66"/>
  <c r="AA206" i="66"/>
  <c r="G40" i="74"/>
  <c r="O40" i="66"/>
  <c r="AA115" i="66"/>
  <c r="AA259" i="66"/>
  <c r="Z259" i="66"/>
  <c r="Z115" i="66"/>
  <c r="J456" i="58"/>
  <c r="J456" i="41" s="1"/>
  <c r="K266" i="66"/>
  <c r="Z254" i="66"/>
  <c r="AA254" i="66"/>
  <c r="AA110" i="66"/>
  <c r="Z110" i="66"/>
  <c r="AA274" i="66"/>
  <c r="AA130" i="66"/>
  <c r="Z130" i="66"/>
  <c r="Z274" i="66"/>
  <c r="AC73" i="74"/>
  <c r="AD73" i="74" s="1"/>
  <c r="O73" i="74"/>
  <c r="S42" i="66"/>
  <c r="T42" i="66"/>
  <c r="Q42" i="66"/>
  <c r="W42" i="66" s="1"/>
  <c r="X42" i="66"/>
  <c r="Z226" i="66"/>
  <c r="AA82" i="66"/>
  <c r="Z82" i="66"/>
  <c r="AA226" i="66"/>
  <c r="X161" i="66"/>
  <c r="Q161" i="66"/>
  <c r="W161" i="66" s="1"/>
  <c r="T161" i="66"/>
  <c r="S161" i="66"/>
  <c r="N131" i="66"/>
  <c r="AA158" i="66"/>
  <c r="AA14" i="66"/>
  <c r="Z14" i="66"/>
  <c r="Z158" i="66"/>
  <c r="O120" i="74"/>
  <c r="AC120" i="74"/>
  <c r="AD120" i="74" s="1"/>
  <c r="O62" i="74"/>
  <c r="AC62" i="74"/>
  <c r="AD62" i="74" s="1"/>
  <c r="O115" i="74"/>
  <c r="AC115" i="74"/>
  <c r="AA15" i="66"/>
  <c r="Z15" i="66"/>
  <c r="AA159" i="66"/>
  <c r="Z159" i="66"/>
  <c r="O110" i="74"/>
  <c r="AC110" i="74"/>
  <c r="AD110" i="74" s="1"/>
  <c r="Z34" i="66"/>
  <c r="Z178" i="66"/>
  <c r="AA34" i="66"/>
  <c r="AA178" i="66"/>
  <c r="E411" i="38"/>
  <c r="G181" i="66"/>
  <c r="J495" i="37"/>
  <c r="J497" i="37"/>
  <c r="J496" i="37"/>
  <c r="AC15" i="74"/>
  <c r="O15" i="74"/>
  <c r="AC67" i="74"/>
  <c r="AD67" i="74" s="1"/>
  <c r="O67" i="74"/>
  <c r="AC34" i="74"/>
  <c r="O34" i="74"/>
  <c r="C21" i="63"/>
  <c r="I495" i="41"/>
  <c r="T74" i="66"/>
  <c r="X74" i="66"/>
  <c r="Q74" i="66"/>
  <c r="K74" i="74"/>
  <c r="AC74" i="74" s="1"/>
  <c r="AD74" i="74" s="1"/>
  <c r="E327" i="38"/>
  <c r="E333" i="38"/>
  <c r="J483" i="37"/>
  <c r="M131" i="66"/>
  <c r="O14" i="74"/>
  <c r="AC14" i="74"/>
  <c r="AD14" i="74" s="1"/>
  <c r="G33" i="53"/>
  <c r="AC53" i="74"/>
  <c r="AD53" i="74" s="1"/>
  <c r="O53" i="74"/>
  <c r="Z24" i="66"/>
  <c r="AA168" i="66"/>
  <c r="Z168" i="66"/>
  <c r="AA24" i="66"/>
  <c r="E111" i="38"/>
  <c r="O19" i="74"/>
  <c r="AC19" i="74"/>
  <c r="Z211" i="66"/>
  <c r="Z67" i="66"/>
  <c r="AA67" i="66"/>
  <c r="AA211" i="66"/>
  <c r="Z63" i="66"/>
  <c r="Z207" i="66"/>
  <c r="AA63" i="66"/>
  <c r="AA207" i="66"/>
  <c r="I464" i="37"/>
  <c r="I464" i="41" s="1"/>
  <c r="K78" i="66"/>
  <c r="I455" i="58"/>
  <c r="K212" i="66"/>
  <c r="D20" i="53"/>
  <c r="F20" i="53" s="1"/>
  <c r="H14" i="53" s="1"/>
  <c r="T138" i="66"/>
  <c r="X138" i="66"/>
  <c r="Q138" i="66"/>
  <c r="G85" i="66"/>
  <c r="E407" i="38"/>
  <c r="I496" i="41"/>
  <c r="H497" i="37"/>
  <c r="H495" i="37"/>
  <c r="H496" i="37"/>
  <c r="Z197" i="66"/>
  <c r="I5" i="6"/>
  <c r="AA197" i="66"/>
  <c r="Z53" i="66"/>
  <c r="AA53" i="66"/>
  <c r="AC24" i="74"/>
  <c r="AD24" i="74" s="1"/>
  <c r="O24" i="74"/>
  <c r="H15" i="53"/>
  <c r="G15" i="53" s="1"/>
  <c r="G21" i="53"/>
  <c r="Z19" i="66"/>
  <c r="AA163" i="66"/>
  <c r="Z163" i="66"/>
  <c r="AA19" i="66"/>
  <c r="O88" i="66"/>
  <c r="G88" i="74"/>
  <c r="AC63" i="74"/>
  <c r="AD63" i="74" s="1"/>
  <c r="O63" i="74"/>
  <c r="T30" i="66"/>
  <c r="S30" i="66"/>
  <c r="Q30" i="66"/>
  <c r="W30" i="66" s="1"/>
  <c r="X30" i="66"/>
  <c r="E406" i="38"/>
  <c r="G84" i="66"/>
  <c r="G137" i="74"/>
  <c r="K17" i="66"/>
  <c r="H457" i="37"/>
  <c r="H457" i="41" s="1"/>
  <c r="G89" i="74"/>
  <c r="Q170" i="66"/>
  <c r="W170" i="66" s="1"/>
  <c r="X170" i="66"/>
  <c r="T170" i="66"/>
  <c r="S170" i="66"/>
  <c r="E414" i="38"/>
  <c r="G277" i="66"/>
  <c r="E415" i="38"/>
  <c r="AA279" i="66"/>
  <c r="Z135" i="66"/>
  <c r="Z279" i="66"/>
  <c r="AA135" i="66"/>
  <c r="H455" i="58"/>
  <c r="H455" i="41" s="1"/>
  <c r="K164" i="66"/>
  <c r="K20" i="74" s="1"/>
  <c r="D8" i="53"/>
  <c r="F8" i="53" s="1"/>
  <c r="H2" i="53" s="1"/>
  <c r="Z39" i="66"/>
  <c r="Z183" i="66"/>
  <c r="AA183" i="66"/>
  <c r="AA39" i="66"/>
  <c r="E340" i="38"/>
  <c r="E346" i="38"/>
  <c r="N275" i="66" s="1"/>
  <c r="O135" i="74"/>
  <c r="AC135" i="74"/>
  <c r="AD135" i="74" s="1"/>
  <c r="I457" i="58"/>
  <c r="I457" i="41" s="1"/>
  <c r="K209" i="66"/>
  <c r="K65" i="74" s="1"/>
  <c r="Z149" i="66"/>
  <c r="AA5" i="66"/>
  <c r="H5" i="6"/>
  <c r="Z5" i="66"/>
  <c r="AA149" i="66"/>
  <c r="AC101" i="74"/>
  <c r="O101" i="74"/>
  <c r="Z121" i="66"/>
  <c r="Z265" i="66"/>
  <c r="AA121" i="66"/>
  <c r="AA265" i="66"/>
  <c r="O74" i="66"/>
  <c r="P218" i="66" s="1"/>
  <c r="Z231" i="66"/>
  <c r="AA87" i="66"/>
  <c r="Z87" i="66"/>
  <c r="AA231" i="66"/>
  <c r="E304" i="38"/>
  <c r="E310" i="38"/>
  <c r="G229" i="66"/>
  <c r="E413" i="38"/>
  <c r="G136" i="74"/>
  <c r="O136" i="66"/>
  <c r="T26" i="66"/>
  <c r="S26" i="66"/>
  <c r="F21" i="39"/>
  <c r="T218" i="66"/>
  <c r="Q218" i="66"/>
  <c r="X218" i="66"/>
  <c r="O5" i="74"/>
  <c r="AC5" i="74"/>
  <c r="AA101" i="66"/>
  <c r="J5" i="6"/>
  <c r="Z245" i="66"/>
  <c r="Z101" i="66"/>
  <c r="AA245" i="66"/>
  <c r="O121" i="74"/>
  <c r="AC121" i="74"/>
  <c r="AC87" i="74"/>
  <c r="AD87" i="74" s="1"/>
  <c r="O87" i="74"/>
  <c r="E322" i="38"/>
  <c r="N227" i="66" s="1"/>
  <c r="E316" i="38"/>
  <c r="E412" i="38"/>
  <c r="G228" i="66"/>
  <c r="O65" i="66"/>
  <c r="T65" i="66"/>
  <c r="X65" i="66"/>
  <c r="Q65" i="66"/>
  <c r="O270" i="66"/>
  <c r="Q270" i="66"/>
  <c r="X270" i="66"/>
  <c r="T270" i="66"/>
  <c r="E128" i="38"/>
  <c r="K186" i="66"/>
  <c r="K42" i="74" s="1"/>
  <c r="H465" i="58"/>
  <c r="O161" i="66"/>
  <c r="K174" i="66"/>
  <c r="H464" i="58"/>
  <c r="H464" i="41" s="1"/>
  <c r="Z111" i="66"/>
  <c r="AA111" i="66"/>
  <c r="AA255" i="66"/>
  <c r="Z255" i="66"/>
  <c r="E286" i="38"/>
  <c r="E280" i="38"/>
  <c r="D2" i="53"/>
  <c r="F2" i="53" s="1"/>
  <c r="AC39" i="74"/>
  <c r="AD39" i="74" s="1"/>
  <c r="O39" i="74"/>
  <c r="O222" i="66"/>
  <c r="Q222" i="66"/>
  <c r="X222" i="66"/>
  <c r="T222" i="66"/>
  <c r="J457" i="37"/>
  <c r="K113" i="66"/>
  <c r="J465" i="58"/>
  <c r="J465" i="41" s="1"/>
  <c r="K282" i="66"/>
  <c r="AC111" i="74"/>
  <c r="O111" i="74"/>
  <c r="E298" i="38"/>
  <c r="N179" i="66" s="1"/>
  <c r="E292" i="38"/>
  <c r="AA25" i="66"/>
  <c r="Z25" i="66"/>
  <c r="AA169" i="66"/>
  <c r="Z169" i="66"/>
  <c r="AC72" i="74"/>
  <c r="AD72" i="74" s="1"/>
  <c r="O72" i="74"/>
  <c r="J464" i="37"/>
  <c r="J464" i="41" s="1"/>
  <c r="K126" i="66"/>
  <c r="AC25" i="74"/>
  <c r="O25" i="74"/>
  <c r="AC82" i="74"/>
  <c r="AD82" i="74" s="1"/>
  <c r="O82" i="74"/>
  <c r="I465" i="58"/>
  <c r="I465" i="41" s="1"/>
  <c r="K234" i="66"/>
  <c r="O130" i="74"/>
  <c r="AC130" i="74"/>
  <c r="AA73" i="66"/>
  <c r="Z217" i="66"/>
  <c r="AA217" i="66"/>
  <c r="Z73" i="66"/>
  <c r="K260" i="66"/>
  <c r="J455" i="58"/>
  <c r="D32" i="53"/>
  <c r="F32" i="53" s="1"/>
  <c r="H26" i="53" s="1"/>
  <c r="E410" i="38"/>
  <c r="G180" i="66"/>
  <c r="X20" i="66"/>
  <c r="T20" i="66"/>
  <c r="H465" i="41" l="1"/>
  <c r="Q90" i="66"/>
  <c r="T90" i="66"/>
  <c r="P26" i="66"/>
  <c r="X90" i="66"/>
  <c r="AA26" i="66"/>
  <c r="X26" i="66"/>
  <c r="K26" i="74"/>
  <c r="X26" i="74" s="1"/>
  <c r="P170" i="66"/>
  <c r="V170" i="66" s="1"/>
  <c r="Q26" i="66"/>
  <c r="W26" i="66" s="1"/>
  <c r="O74" i="74"/>
  <c r="P74" i="74" s="1"/>
  <c r="K122" i="74"/>
  <c r="AC122" i="74" s="1"/>
  <c r="AD122" i="74" s="1"/>
  <c r="T122" i="66"/>
  <c r="X122" i="66"/>
  <c r="Q122" i="66"/>
  <c r="Z26" i="66"/>
  <c r="J497" i="41"/>
  <c r="J457" i="41"/>
  <c r="T257" i="66"/>
  <c r="X257" i="66"/>
  <c r="Q257" i="66"/>
  <c r="U170" i="66"/>
  <c r="U26" i="66"/>
  <c r="T42" i="74"/>
  <c r="Q42" i="74"/>
  <c r="W42" i="74" s="1"/>
  <c r="X42" i="74"/>
  <c r="S42" i="74"/>
  <c r="AC42" i="74"/>
  <c r="O42" i="74"/>
  <c r="D29" i="77"/>
  <c r="AD130" i="74"/>
  <c r="F29" i="77" s="1"/>
  <c r="AA111" i="74"/>
  <c r="Z111" i="74"/>
  <c r="AA39" i="74"/>
  <c r="Z39" i="74"/>
  <c r="Z218" i="66"/>
  <c r="AA218" i="66"/>
  <c r="P74" i="66"/>
  <c r="Z74" i="66"/>
  <c r="AA74" i="66"/>
  <c r="C11" i="63"/>
  <c r="H495" i="41"/>
  <c r="C2" i="63"/>
  <c r="O78" i="66"/>
  <c r="P222" i="66" s="1"/>
  <c r="W222" i="66" s="1"/>
  <c r="Y222" i="66" s="1"/>
  <c r="X78" i="66"/>
  <c r="T78" i="66"/>
  <c r="Q78" i="66"/>
  <c r="K78" i="74"/>
  <c r="F23" i="39"/>
  <c r="AD19" i="74"/>
  <c r="E23" i="77" s="1"/>
  <c r="C23" i="77"/>
  <c r="Y161" i="66"/>
  <c r="Y42" i="66"/>
  <c r="Z130" i="74"/>
  <c r="AA130" i="74"/>
  <c r="AD111" i="74"/>
  <c r="F21" i="77" s="1"/>
  <c r="D21" i="77"/>
  <c r="J455" i="37"/>
  <c r="K116" i="66"/>
  <c r="D26" i="53"/>
  <c r="F26" i="53" s="1"/>
  <c r="H32" i="53" s="1"/>
  <c r="G32" i="53" s="1"/>
  <c r="O209" i="66"/>
  <c r="P209" i="66" s="1"/>
  <c r="T209" i="66"/>
  <c r="Q209" i="66"/>
  <c r="X209" i="66"/>
  <c r="F22" i="39"/>
  <c r="G36" i="66"/>
  <c r="E404" i="38"/>
  <c r="H497" i="41"/>
  <c r="AA19" i="74"/>
  <c r="Z19" i="74"/>
  <c r="AA53" i="74"/>
  <c r="Z53" i="74"/>
  <c r="AA15" i="74"/>
  <c r="Z15" i="74"/>
  <c r="Z120" i="74"/>
  <c r="AA120" i="74"/>
  <c r="T20" i="74"/>
  <c r="X20" i="74"/>
  <c r="T234" i="66"/>
  <c r="X234" i="66"/>
  <c r="Q234" i="66"/>
  <c r="O234" i="66"/>
  <c r="P234" i="66" s="1"/>
  <c r="F24" i="39"/>
  <c r="O282" i="66"/>
  <c r="X282" i="66"/>
  <c r="T282" i="66"/>
  <c r="Q282" i="66"/>
  <c r="G24" i="39"/>
  <c r="G2" i="53"/>
  <c r="H8" i="53"/>
  <c r="G8" i="53" s="1"/>
  <c r="X174" i="66"/>
  <c r="T174" i="66"/>
  <c r="Q174" i="66"/>
  <c r="W174" i="66" s="1"/>
  <c r="S174" i="66"/>
  <c r="O174" i="66"/>
  <c r="D25" i="77"/>
  <c r="AD121" i="74"/>
  <c r="F25" i="77" s="1"/>
  <c r="J488" i="58"/>
  <c r="M276" i="66"/>
  <c r="Q276" i="66" s="1"/>
  <c r="Y30" i="66"/>
  <c r="E315" i="38"/>
  <c r="E321" i="38"/>
  <c r="N233" i="66" s="1"/>
  <c r="AD15" i="74"/>
  <c r="E21" i="77" s="1"/>
  <c r="C21" i="77"/>
  <c r="U42" i="66"/>
  <c r="T266" i="66"/>
  <c r="Q266" i="66"/>
  <c r="X266" i="66"/>
  <c r="O266" i="66"/>
  <c r="G21" i="39"/>
  <c r="AA121" i="74"/>
  <c r="Z121" i="74"/>
  <c r="R218" i="66"/>
  <c r="S218" i="66" s="1"/>
  <c r="U218" i="66" s="1"/>
  <c r="V218" i="66"/>
  <c r="W218" i="66"/>
  <c r="Y218" i="66" s="1"/>
  <c r="J487" i="58"/>
  <c r="M277" i="66"/>
  <c r="Q277" i="66" s="1"/>
  <c r="U30" i="66"/>
  <c r="E303" i="38"/>
  <c r="E309" i="38"/>
  <c r="M85" i="66"/>
  <c r="O85" i="66" s="1"/>
  <c r="I487" i="37"/>
  <c r="E339" i="38"/>
  <c r="E345" i="38"/>
  <c r="N281" i="66" s="1"/>
  <c r="J496" i="41"/>
  <c r="G133" i="66"/>
  <c r="G133" i="74" s="1"/>
  <c r="E409" i="38"/>
  <c r="AA110" i="74"/>
  <c r="Z110" i="74"/>
  <c r="X65" i="74"/>
  <c r="T65" i="74"/>
  <c r="Q65" i="74"/>
  <c r="I487" i="58"/>
  <c r="M229" i="66"/>
  <c r="Q229" i="66" s="1"/>
  <c r="Z135" i="74"/>
  <c r="AA135" i="74"/>
  <c r="X164" i="66"/>
  <c r="T164" i="66"/>
  <c r="T17" i="66"/>
  <c r="Q17" i="66"/>
  <c r="W17" i="66" s="1"/>
  <c r="X17" i="66"/>
  <c r="K17" i="74"/>
  <c r="S17" i="66"/>
  <c r="O17" i="66"/>
  <c r="K30" i="74"/>
  <c r="AA24" i="74"/>
  <c r="Z24" i="74"/>
  <c r="G85" i="74"/>
  <c r="K68" i="66"/>
  <c r="D14" i="53"/>
  <c r="F14" i="53" s="1"/>
  <c r="I455" i="37"/>
  <c r="G132" i="66"/>
  <c r="G132" i="74" s="1"/>
  <c r="E408" i="38"/>
  <c r="AA73" i="74"/>
  <c r="Z73" i="74"/>
  <c r="M180" i="66"/>
  <c r="O180" i="66" s="1"/>
  <c r="H488" i="58"/>
  <c r="Z82" i="74"/>
  <c r="AA82" i="74"/>
  <c r="Q186" i="66"/>
  <c r="W186" i="66" s="1"/>
  <c r="X186" i="66"/>
  <c r="T186" i="66"/>
  <c r="S186" i="66"/>
  <c r="O186" i="66"/>
  <c r="AA101" i="74"/>
  <c r="Z101" i="74"/>
  <c r="K138" i="74"/>
  <c r="C31" i="63"/>
  <c r="J495" i="41"/>
  <c r="O113" i="66"/>
  <c r="T113" i="66"/>
  <c r="X113" i="66"/>
  <c r="K113" i="74"/>
  <c r="Q113" i="66"/>
  <c r="G22" i="39"/>
  <c r="N83" i="66"/>
  <c r="N83" i="74" s="1"/>
  <c r="C18" i="8"/>
  <c r="AD101" i="74"/>
  <c r="F19" i="77" s="1"/>
  <c r="D19" i="77"/>
  <c r="Z63" i="74"/>
  <c r="AA63" i="74"/>
  <c r="AA14" i="74"/>
  <c r="Z14" i="74"/>
  <c r="N131" i="74"/>
  <c r="H483" i="37"/>
  <c r="M35" i="66"/>
  <c r="I488" i="58"/>
  <c r="M228" i="66"/>
  <c r="Q228" i="66" s="1"/>
  <c r="S26" i="74"/>
  <c r="I483" i="37"/>
  <c r="M83" i="66"/>
  <c r="AC65" i="74"/>
  <c r="AD65" i="74" s="1"/>
  <c r="Q131" i="66"/>
  <c r="O131" i="66"/>
  <c r="H487" i="58"/>
  <c r="M181" i="66"/>
  <c r="D18" i="8"/>
  <c r="E291" i="38"/>
  <c r="E297" i="38"/>
  <c r="N185" i="66" s="1"/>
  <c r="V26" i="66"/>
  <c r="R26" i="66"/>
  <c r="X260" i="66"/>
  <c r="T260" i="66"/>
  <c r="AA25" i="74"/>
  <c r="Z25" i="74"/>
  <c r="AD25" i="74"/>
  <c r="E25" i="77" s="1"/>
  <c r="C25" i="77"/>
  <c r="B18" i="8"/>
  <c r="N35" i="66"/>
  <c r="N35" i="74" s="1"/>
  <c r="I483" i="58"/>
  <c r="M227" i="66"/>
  <c r="Y26" i="66"/>
  <c r="AC88" i="74"/>
  <c r="AD88" i="74" s="1"/>
  <c r="O88" i="74"/>
  <c r="O65" i="74"/>
  <c r="O26" i="74"/>
  <c r="D23" i="77"/>
  <c r="AD115" i="74"/>
  <c r="F23" i="77" s="1"/>
  <c r="O122" i="74"/>
  <c r="E279" i="38"/>
  <c r="E285" i="38"/>
  <c r="X126" i="66"/>
  <c r="T126" i="66"/>
  <c r="Q126" i="66"/>
  <c r="K126" i="74"/>
  <c r="O126" i="66"/>
  <c r="G23" i="39"/>
  <c r="AD5" i="74"/>
  <c r="E19" i="77" s="1"/>
  <c r="C19" i="77"/>
  <c r="Z280" i="66"/>
  <c r="Z136" i="66"/>
  <c r="AA280" i="66"/>
  <c r="AA136" i="66"/>
  <c r="J483" i="58"/>
  <c r="J483" i="41" s="1"/>
  <c r="M275" i="66"/>
  <c r="M131" i="74" s="1"/>
  <c r="Y170" i="66"/>
  <c r="AA232" i="66"/>
  <c r="AA88" i="66"/>
  <c r="Z232" i="66"/>
  <c r="Z88" i="66"/>
  <c r="N137" i="66"/>
  <c r="AA34" i="74"/>
  <c r="Z34" i="74"/>
  <c r="AA115" i="74"/>
  <c r="Z115" i="74"/>
  <c r="Z40" i="66"/>
  <c r="AA184" i="66"/>
  <c r="Z184" i="66"/>
  <c r="AA40" i="66"/>
  <c r="H483" i="58"/>
  <c r="M179" i="66"/>
  <c r="AA87" i="74"/>
  <c r="Z87" i="74"/>
  <c r="AA5" i="74"/>
  <c r="Z5" i="74"/>
  <c r="O136" i="74"/>
  <c r="AC136" i="74"/>
  <c r="AD136" i="74" s="1"/>
  <c r="G84" i="74"/>
  <c r="T212" i="66"/>
  <c r="X212" i="66"/>
  <c r="J482" i="37"/>
  <c r="M137" i="66"/>
  <c r="AD34" i="74"/>
  <c r="E29" i="77" s="1"/>
  <c r="C29" i="77"/>
  <c r="U161" i="66"/>
  <c r="O40" i="74"/>
  <c r="AC40" i="74"/>
  <c r="AD40" i="74" s="1"/>
  <c r="AA72" i="74"/>
  <c r="Z72" i="74"/>
  <c r="T122" i="74"/>
  <c r="X122" i="74"/>
  <c r="Q122" i="74"/>
  <c r="K90" i="74"/>
  <c r="I488" i="37"/>
  <c r="M84" i="66"/>
  <c r="O84" i="66" s="1"/>
  <c r="G37" i="66"/>
  <c r="G37" i="74" s="1"/>
  <c r="E405" i="38"/>
  <c r="H496" i="41"/>
  <c r="X74" i="74"/>
  <c r="T74" i="74"/>
  <c r="Q74" i="74"/>
  <c r="AA67" i="74"/>
  <c r="Z67" i="74"/>
  <c r="AA62" i="74"/>
  <c r="Z62" i="74"/>
  <c r="AA74" i="74" l="1"/>
  <c r="R170" i="66"/>
  <c r="Z74" i="74"/>
  <c r="AC26" i="74"/>
  <c r="AD26" i="74" s="1"/>
  <c r="O277" i="66"/>
  <c r="T26" i="74"/>
  <c r="U26" i="74" s="1"/>
  <c r="Q26" i="74"/>
  <c r="W26" i="74" s="1"/>
  <c r="Y26" i="74" s="1"/>
  <c r="U174" i="66"/>
  <c r="Z209" i="66"/>
  <c r="Y17" i="66"/>
  <c r="Z65" i="66"/>
  <c r="AA65" i="66"/>
  <c r="AA209" i="66"/>
  <c r="I488" i="41"/>
  <c r="P65" i="66"/>
  <c r="R65" i="66" s="1"/>
  <c r="S65" i="66" s="1"/>
  <c r="U65" i="66" s="1"/>
  <c r="D17" i="8"/>
  <c r="N137" i="74"/>
  <c r="Y186" i="66"/>
  <c r="U42" i="74"/>
  <c r="O229" i="66"/>
  <c r="P229" i="66" s="1"/>
  <c r="G26" i="53"/>
  <c r="E332" i="38" s="1"/>
  <c r="Y174" i="66"/>
  <c r="I487" i="41"/>
  <c r="X90" i="74"/>
  <c r="T90" i="74"/>
  <c r="Q90" i="74"/>
  <c r="O90" i="74"/>
  <c r="AC90" i="74"/>
  <c r="AD90" i="74" s="1"/>
  <c r="H482" i="37"/>
  <c r="M41" i="66"/>
  <c r="I455" i="41"/>
  <c r="E290" i="38"/>
  <c r="E296" i="38"/>
  <c r="N164" i="66" s="1"/>
  <c r="V209" i="66"/>
  <c r="W209" i="66"/>
  <c r="Y209" i="66" s="1"/>
  <c r="R209" i="66"/>
  <c r="S209" i="66" s="1"/>
  <c r="U209" i="66" s="1"/>
  <c r="AA122" i="74"/>
  <c r="Z122" i="74"/>
  <c r="P122" i="74"/>
  <c r="H482" i="58"/>
  <c r="M185" i="66"/>
  <c r="O228" i="66"/>
  <c r="P228" i="66" s="1"/>
  <c r="G14" i="53"/>
  <c r="H20" i="53"/>
  <c r="G20" i="53" s="1"/>
  <c r="M85" i="74"/>
  <c r="Q85" i="74" s="1"/>
  <c r="Q85" i="66"/>
  <c r="I482" i="58"/>
  <c r="M233" i="66"/>
  <c r="E278" i="38"/>
  <c r="E284" i="38"/>
  <c r="H488" i="37"/>
  <c r="H488" i="41" s="1"/>
  <c r="M36" i="66"/>
  <c r="O36" i="66" s="1"/>
  <c r="T68" i="66"/>
  <c r="X68" i="66"/>
  <c r="K68" i="74"/>
  <c r="C17" i="8"/>
  <c r="N89" i="66"/>
  <c r="N89" i="74" s="1"/>
  <c r="E338" i="38"/>
  <c r="E344" i="38"/>
  <c r="N260" i="66" s="1"/>
  <c r="O181" i="66"/>
  <c r="S181" i="66"/>
  <c r="U181" i="66" s="1"/>
  <c r="Q181" i="66"/>
  <c r="W181" i="66" s="1"/>
  <c r="Y181" i="66" s="1"/>
  <c r="E326" i="38"/>
  <c r="M89" i="66"/>
  <c r="I482" i="37"/>
  <c r="G36" i="74"/>
  <c r="AA234" i="66"/>
  <c r="X116" i="66"/>
  <c r="T116" i="66"/>
  <c r="K116" i="74"/>
  <c r="AC78" i="74"/>
  <c r="AD78" i="74" s="1"/>
  <c r="Q78" i="74"/>
  <c r="X78" i="74"/>
  <c r="T78" i="74"/>
  <c r="O78" i="74"/>
  <c r="W74" i="66"/>
  <c r="Y74" i="66" s="1"/>
  <c r="V74" i="66"/>
  <c r="R74" i="66"/>
  <c r="S74" i="66" s="1"/>
  <c r="U74" i="66" s="1"/>
  <c r="V222" i="66"/>
  <c r="R222" i="66"/>
  <c r="S222" i="66" s="1"/>
  <c r="U222" i="66" s="1"/>
  <c r="AC113" i="74"/>
  <c r="T113" i="74"/>
  <c r="X113" i="74"/>
  <c r="Q113" i="74"/>
  <c r="O113" i="74"/>
  <c r="P90" i="66"/>
  <c r="J455" i="41"/>
  <c r="S179" i="66"/>
  <c r="U179" i="66" s="1"/>
  <c r="Q179" i="66"/>
  <c r="W179" i="66" s="1"/>
  <c r="Y179" i="66" s="1"/>
  <c r="O179" i="66"/>
  <c r="S180" i="66"/>
  <c r="U180" i="66" s="1"/>
  <c r="Q180" i="66"/>
  <c r="W180" i="66" s="1"/>
  <c r="Y180" i="66" s="1"/>
  <c r="J487" i="37"/>
  <c r="J487" i="41" s="1"/>
  <c r="M133" i="66"/>
  <c r="O276" i="66"/>
  <c r="P266" i="66"/>
  <c r="P122" i="66"/>
  <c r="AA122" i="66"/>
  <c r="Z122" i="66"/>
  <c r="AA266" i="66"/>
  <c r="Z266" i="66"/>
  <c r="AA90" i="66"/>
  <c r="AA26" i="74"/>
  <c r="Z26" i="74"/>
  <c r="P26" i="74"/>
  <c r="H487" i="37"/>
  <c r="H487" i="41" s="1"/>
  <c r="M37" i="66"/>
  <c r="P270" i="66"/>
  <c r="AA270" i="66"/>
  <c r="P126" i="66"/>
  <c r="Z270" i="66"/>
  <c r="AA126" i="66"/>
  <c r="Z126" i="66"/>
  <c r="P65" i="74"/>
  <c r="AA65" i="74"/>
  <c r="Z65" i="74"/>
  <c r="M35" i="74"/>
  <c r="Q35" i="66"/>
  <c r="W35" i="66" s="1"/>
  <c r="Y35" i="66" s="1"/>
  <c r="S35" i="66"/>
  <c r="U35" i="66" s="1"/>
  <c r="O35" i="66"/>
  <c r="P282" i="66"/>
  <c r="Z138" i="66"/>
  <c r="AA282" i="66"/>
  <c r="Z282" i="66"/>
  <c r="AA138" i="66"/>
  <c r="P138" i="66"/>
  <c r="Z234" i="66"/>
  <c r="R74" i="74"/>
  <c r="S74" i="74" s="1"/>
  <c r="U74" i="74" s="1"/>
  <c r="V74" i="74"/>
  <c r="W74" i="74"/>
  <c r="Y74" i="74" s="1"/>
  <c r="AA42" i="74"/>
  <c r="P42" i="74"/>
  <c r="Z42" i="74"/>
  <c r="AA40" i="74"/>
  <c r="Z40" i="74"/>
  <c r="Q275" i="66"/>
  <c r="O275" i="66"/>
  <c r="P275" i="66" s="1"/>
  <c r="AC126" i="74"/>
  <c r="X126" i="74"/>
  <c r="Q126" i="74"/>
  <c r="T126" i="74"/>
  <c r="O126" i="74"/>
  <c r="Z88" i="74"/>
  <c r="AA88" i="74"/>
  <c r="H483" i="41"/>
  <c r="P113" i="66"/>
  <c r="Z257" i="66"/>
  <c r="AA257" i="66"/>
  <c r="AA113" i="66"/>
  <c r="Z113" i="66"/>
  <c r="P257" i="66"/>
  <c r="X30" i="74"/>
  <c r="T30" i="74"/>
  <c r="Q30" i="74"/>
  <c r="W30" i="74" s="1"/>
  <c r="S30" i="74"/>
  <c r="AC30" i="74"/>
  <c r="AD30" i="74" s="1"/>
  <c r="O30" i="74"/>
  <c r="P174" i="66"/>
  <c r="Z174" i="66"/>
  <c r="AA30" i="66"/>
  <c r="AA174" i="66"/>
  <c r="Z30" i="66"/>
  <c r="P30" i="66"/>
  <c r="Z90" i="66"/>
  <c r="P78" i="66"/>
  <c r="AA222" i="66"/>
  <c r="Z78" i="66"/>
  <c r="AA78" i="66"/>
  <c r="Z222" i="66"/>
  <c r="AD42" i="74"/>
  <c r="E30" i="77" s="1"/>
  <c r="C30" i="77"/>
  <c r="M84" i="74"/>
  <c r="Q84" i="74" s="1"/>
  <c r="Q84" i="66"/>
  <c r="AA136" i="74"/>
  <c r="Z136" i="74"/>
  <c r="Q131" i="74"/>
  <c r="AC131" i="74"/>
  <c r="AD131" i="74" s="1"/>
  <c r="O131" i="74"/>
  <c r="P186" i="66"/>
  <c r="P42" i="66"/>
  <c r="Z42" i="66"/>
  <c r="AA42" i="66"/>
  <c r="AA186" i="66"/>
  <c r="Z186" i="66"/>
  <c r="P161" i="66"/>
  <c r="AA161" i="66"/>
  <c r="Z17" i="66"/>
  <c r="Z161" i="66"/>
  <c r="P17" i="66"/>
  <c r="AA17" i="66"/>
  <c r="R234" i="66"/>
  <c r="S234" i="66" s="1"/>
  <c r="U234" i="66" s="1"/>
  <c r="W234" i="66"/>
  <c r="Y234" i="66" s="1"/>
  <c r="V234" i="66"/>
  <c r="U186" i="66"/>
  <c r="J488" i="37"/>
  <c r="J488" i="41" s="1"/>
  <c r="M132" i="66"/>
  <c r="O132" i="66" s="1"/>
  <c r="U17" i="66"/>
  <c r="J482" i="58"/>
  <c r="J482" i="41" s="1"/>
  <c r="M281" i="66"/>
  <c r="M137" i="74" s="1"/>
  <c r="Q227" i="66"/>
  <c r="O227" i="66"/>
  <c r="M83" i="74"/>
  <c r="Q83" i="66"/>
  <c r="O83" i="66"/>
  <c r="Q138" i="74"/>
  <c r="X138" i="74"/>
  <c r="T138" i="74"/>
  <c r="AC138" i="74"/>
  <c r="O138" i="74"/>
  <c r="X17" i="74"/>
  <c r="T17" i="74"/>
  <c r="Q17" i="74"/>
  <c r="W17" i="74" s="1"/>
  <c r="S17" i="74"/>
  <c r="O17" i="74"/>
  <c r="AC17" i="74"/>
  <c r="Y42" i="74"/>
  <c r="Q137" i="66"/>
  <c r="O137" i="66"/>
  <c r="N41" i="66"/>
  <c r="N41" i="74" s="1"/>
  <c r="F17" i="8"/>
  <c r="I483" i="41"/>
  <c r="W65" i="66" l="1"/>
  <c r="Y65" i="66" s="1"/>
  <c r="V65" i="66"/>
  <c r="I482" i="41"/>
  <c r="Z229" i="66"/>
  <c r="Z85" i="66"/>
  <c r="AA85" i="66"/>
  <c r="AA229" i="66"/>
  <c r="P85" i="66"/>
  <c r="Z84" i="66"/>
  <c r="AA228" i="66"/>
  <c r="E26" i="77"/>
  <c r="U30" i="74"/>
  <c r="Z228" i="66"/>
  <c r="AA84" i="66"/>
  <c r="AA131" i="66"/>
  <c r="Z131" i="66"/>
  <c r="O85" i="74"/>
  <c r="P227" i="66"/>
  <c r="R227" i="66" s="1"/>
  <c r="S227" i="66" s="1"/>
  <c r="U227" i="66" s="1"/>
  <c r="AC85" i="74"/>
  <c r="AD85" i="74" s="1"/>
  <c r="M36" i="74"/>
  <c r="U17" i="74"/>
  <c r="P131" i="66"/>
  <c r="W131" i="66" s="1"/>
  <c r="Y131" i="66" s="1"/>
  <c r="P84" i="66"/>
  <c r="R84" i="66" s="1"/>
  <c r="S84" i="66" s="1"/>
  <c r="U84" i="66" s="1"/>
  <c r="H482" i="41"/>
  <c r="AA132" i="66"/>
  <c r="Z132" i="66"/>
  <c r="P132" i="66"/>
  <c r="Z276" i="66"/>
  <c r="AA276" i="66"/>
  <c r="Q137" i="74"/>
  <c r="O137" i="74"/>
  <c r="AC137" i="74"/>
  <c r="AD138" i="74"/>
  <c r="F30" i="77" s="1"/>
  <c r="D30" i="77"/>
  <c r="R174" i="66"/>
  <c r="V174" i="66"/>
  <c r="W270" i="66"/>
  <c r="Y270" i="66" s="1"/>
  <c r="R270" i="66"/>
  <c r="S270" i="66" s="1"/>
  <c r="U270" i="66" s="1"/>
  <c r="V270" i="66"/>
  <c r="AA113" i="74"/>
  <c r="P113" i="74"/>
  <c r="Z113" i="74"/>
  <c r="X68" i="74"/>
  <c r="T68" i="74"/>
  <c r="V113" i="66"/>
  <c r="W113" i="66"/>
  <c r="Y113" i="66" s="1"/>
  <c r="R113" i="66"/>
  <c r="S113" i="66" s="1"/>
  <c r="U113" i="66" s="1"/>
  <c r="Z30" i="74"/>
  <c r="AA30" i="74"/>
  <c r="P30" i="74"/>
  <c r="V282" i="66"/>
  <c r="R282" i="66"/>
  <c r="S282" i="66" s="1"/>
  <c r="U282" i="66" s="1"/>
  <c r="W282" i="66"/>
  <c r="Y282" i="66" s="1"/>
  <c r="O84" i="74"/>
  <c r="P179" i="66"/>
  <c r="M89" i="74"/>
  <c r="Q89" i="66"/>
  <c r="O89" i="66"/>
  <c r="AD17" i="74"/>
  <c r="E22" i="77" s="1"/>
  <c r="C22" i="77"/>
  <c r="C7" i="77"/>
  <c r="AA227" i="66"/>
  <c r="P83" i="66"/>
  <c r="Z227" i="66"/>
  <c r="AA83" i="66"/>
  <c r="Z83" i="66"/>
  <c r="V42" i="66"/>
  <c r="R42" i="66"/>
  <c r="V42" i="74"/>
  <c r="R42" i="74"/>
  <c r="Z275" i="66"/>
  <c r="AC84" i="74"/>
  <c r="AD84" i="74" s="1"/>
  <c r="J481" i="58"/>
  <c r="M260" i="66"/>
  <c r="E314" i="38"/>
  <c r="E320" i="38"/>
  <c r="N212" i="66" s="1"/>
  <c r="M164" i="66"/>
  <c r="H481" i="58"/>
  <c r="Q281" i="66"/>
  <c r="O281" i="66"/>
  <c r="P281" i="66" s="1"/>
  <c r="R186" i="66"/>
  <c r="V186" i="66"/>
  <c r="O37" i="66"/>
  <c r="P181" i="66" s="1"/>
  <c r="S37" i="66"/>
  <c r="U37" i="66" s="1"/>
  <c r="Q37" i="66"/>
  <c r="W37" i="66" s="1"/>
  <c r="Y37" i="66" s="1"/>
  <c r="M37" i="74"/>
  <c r="R122" i="66"/>
  <c r="S122" i="66" s="1"/>
  <c r="U122" i="66" s="1"/>
  <c r="W122" i="66"/>
  <c r="Y122" i="66" s="1"/>
  <c r="V122" i="66"/>
  <c r="Z180" i="66"/>
  <c r="AA180" i="66"/>
  <c r="P36" i="66"/>
  <c r="Z36" i="66"/>
  <c r="E302" i="38"/>
  <c r="E308" i="38"/>
  <c r="Z17" i="74"/>
  <c r="P17" i="74"/>
  <c r="AA17" i="74"/>
  <c r="Q83" i="74"/>
  <c r="O83" i="74"/>
  <c r="AC83" i="74"/>
  <c r="AD83" i="74" s="1"/>
  <c r="Z131" i="74"/>
  <c r="P131" i="74"/>
  <c r="AA131" i="74"/>
  <c r="Y30" i="74"/>
  <c r="P126" i="74"/>
  <c r="AA126" i="74"/>
  <c r="Z126" i="74"/>
  <c r="W266" i="66"/>
  <c r="Y266" i="66" s="1"/>
  <c r="R266" i="66"/>
  <c r="S266" i="66" s="1"/>
  <c r="U266" i="66" s="1"/>
  <c r="V266" i="66"/>
  <c r="D22" i="77"/>
  <c r="AD113" i="74"/>
  <c r="F22" i="77" s="1"/>
  <c r="D7" i="77"/>
  <c r="P180" i="66"/>
  <c r="V228" i="66"/>
  <c r="R228" i="66"/>
  <c r="S228" i="66" s="1"/>
  <c r="U228" i="66" s="1"/>
  <c r="W228" i="66"/>
  <c r="Y228" i="66" s="1"/>
  <c r="Y17" i="74"/>
  <c r="V17" i="66"/>
  <c r="R17" i="66"/>
  <c r="V78" i="66"/>
  <c r="R78" i="66"/>
  <c r="S78" i="66" s="1"/>
  <c r="U78" i="66" s="1"/>
  <c r="W78" i="66"/>
  <c r="Y78" i="66" s="1"/>
  <c r="P276" i="66"/>
  <c r="AA36" i="66"/>
  <c r="Q185" i="66"/>
  <c r="W185" i="66" s="1"/>
  <c r="Y185" i="66" s="1"/>
  <c r="S185" i="66"/>
  <c r="U185" i="66" s="1"/>
  <c r="O185" i="66"/>
  <c r="W65" i="74"/>
  <c r="Y65" i="74" s="1"/>
  <c r="V65" i="74"/>
  <c r="R65" i="74"/>
  <c r="S65" i="74" s="1"/>
  <c r="U65" i="74" s="1"/>
  <c r="V26" i="74"/>
  <c r="R26" i="74"/>
  <c r="O133" i="66"/>
  <c r="Q133" i="66"/>
  <c r="M133" i="74"/>
  <c r="R85" i="66"/>
  <c r="S85" i="66" s="1"/>
  <c r="U85" i="66" s="1"/>
  <c r="W85" i="66"/>
  <c r="Y85" i="66" s="1"/>
  <c r="V85" i="66"/>
  <c r="Q36" i="66"/>
  <c r="W36" i="66" s="1"/>
  <c r="Y36" i="66" s="1"/>
  <c r="S36" i="66"/>
  <c r="U36" i="66" s="1"/>
  <c r="R30" i="66"/>
  <c r="V30" i="66"/>
  <c r="R257" i="66"/>
  <c r="S257" i="66" s="1"/>
  <c r="U257" i="66" s="1"/>
  <c r="W257" i="66"/>
  <c r="Y257" i="66" s="1"/>
  <c r="V257" i="66"/>
  <c r="Z179" i="66"/>
  <c r="P35" i="66"/>
  <c r="AA179" i="66"/>
  <c r="Z35" i="66"/>
  <c r="AA35" i="66"/>
  <c r="W90" i="66"/>
  <c r="Y90" i="66" s="1"/>
  <c r="R90" i="66"/>
  <c r="S90" i="66" s="1"/>
  <c r="U90" i="66" s="1"/>
  <c r="V90" i="66"/>
  <c r="X116" i="74"/>
  <c r="T116" i="74"/>
  <c r="W229" i="66"/>
  <c r="Y229" i="66" s="1"/>
  <c r="R229" i="66"/>
  <c r="S229" i="66" s="1"/>
  <c r="U229" i="66" s="1"/>
  <c r="V229" i="66"/>
  <c r="V122" i="74"/>
  <c r="R122" i="74"/>
  <c r="S122" i="74" s="1"/>
  <c r="U122" i="74" s="1"/>
  <c r="W122" i="74"/>
  <c r="Y122" i="74" s="1"/>
  <c r="M41" i="74"/>
  <c r="S41" i="66"/>
  <c r="U41" i="66" s="1"/>
  <c r="Q41" i="66"/>
  <c r="W41" i="66" s="1"/>
  <c r="Y41" i="66" s="1"/>
  <c r="O41" i="66"/>
  <c r="AD126" i="74"/>
  <c r="F26" i="77" s="1"/>
  <c r="D26" i="77"/>
  <c r="W138" i="66"/>
  <c r="Y138" i="66" s="1"/>
  <c r="R138" i="66"/>
  <c r="S138" i="66" s="1"/>
  <c r="U138" i="66" s="1"/>
  <c r="V138" i="66"/>
  <c r="M116" i="66"/>
  <c r="J481" i="37"/>
  <c r="N20" i="66"/>
  <c r="N20" i="74" s="1"/>
  <c r="B16" i="8"/>
  <c r="Z138" i="74"/>
  <c r="P138" i="74"/>
  <c r="AA138" i="74"/>
  <c r="R161" i="66"/>
  <c r="V161" i="66"/>
  <c r="V275" i="66"/>
  <c r="R275" i="66"/>
  <c r="S275" i="66" s="1"/>
  <c r="U275" i="66" s="1"/>
  <c r="W275" i="66"/>
  <c r="Y275" i="66" s="1"/>
  <c r="D16" i="8"/>
  <c r="N116" i="66"/>
  <c r="H481" i="37"/>
  <c r="M20" i="66"/>
  <c r="Q132" i="66"/>
  <c r="M132" i="74"/>
  <c r="S35" i="74"/>
  <c r="U35" i="74" s="1"/>
  <c r="Q35" i="74"/>
  <c r="W35" i="74" s="1"/>
  <c r="Y35" i="74" s="1"/>
  <c r="O35" i="74"/>
  <c r="AC35" i="74"/>
  <c r="AD35" i="74" s="1"/>
  <c r="V126" i="66"/>
  <c r="R126" i="66"/>
  <c r="S126" i="66" s="1"/>
  <c r="U126" i="66" s="1"/>
  <c r="W126" i="66"/>
  <c r="Y126" i="66" s="1"/>
  <c r="S36" i="74"/>
  <c r="U36" i="74" s="1"/>
  <c r="Q36" i="74"/>
  <c r="W36" i="74" s="1"/>
  <c r="Y36" i="74" s="1"/>
  <c r="Z85" i="74"/>
  <c r="AA85" i="74"/>
  <c r="P85" i="74"/>
  <c r="Q233" i="66"/>
  <c r="O233" i="66"/>
  <c r="P233" i="66" s="1"/>
  <c r="AA275" i="66"/>
  <c r="C26" i="77"/>
  <c r="AA78" i="74"/>
  <c r="Z78" i="74"/>
  <c r="P78" i="74"/>
  <c r="O36" i="74"/>
  <c r="AC36" i="74"/>
  <c r="AA90" i="74"/>
  <c r="Z90" i="74"/>
  <c r="P90" i="74"/>
  <c r="W227" i="66" l="1"/>
  <c r="Y227" i="66" s="1"/>
  <c r="V227" i="66"/>
  <c r="V84" i="66"/>
  <c r="W84" i="66"/>
  <c r="Y84" i="66" s="1"/>
  <c r="J481" i="41"/>
  <c r="AA281" i="66"/>
  <c r="H481" i="41"/>
  <c r="Z137" i="66"/>
  <c r="V131" i="66"/>
  <c r="R131" i="66"/>
  <c r="S131" i="66" s="1"/>
  <c r="U131" i="66" s="1"/>
  <c r="P137" i="66"/>
  <c r="V137" i="66" s="1"/>
  <c r="R181" i="66"/>
  <c r="V181" i="66"/>
  <c r="W78" i="74"/>
  <c r="Y78" i="74" s="1"/>
  <c r="R78" i="74"/>
  <c r="S78" i="74" s="1"/>
  <c r="U78" i="74" s="1"/>
  <c r="V78" i="74"/>
  <c r="M116" i="74"/>
  <c r="Q116" i="66"/>
  <c r="O116" i="66"/>
  <c r="S41" i="74"/>
  <c r="U41" i="74" s="1"/>
  <c r="Q41" i="74"/>
  <c r="W41" i="74" s="1"/>
  <c r="Y41" i="74" s="1"/>
  <c r="O41" i="74"/>
  <c r="AC41" i="74"/>
  <c r="W131" i="74"/>
  <c r="Y131" i="74" s="1"/>
  <c r="R131" i="74"/>
  <c r="S131" i="74" s="1"/>
  <c r="U131" i="74" s="1"/>
  <c r="V131" i="74"/>
  <c r="Z281" i="66"/>
  <c r="C16" i="8"/>
  <c r="N68" i="66"/>
  <c r="Z181" i="66"/>
  <c r="AA37" i="66"/>
  <c r="Z37" i="66"/>
  <c r="P37" i="66"/>
  <c r="AA181" i="66"/>
  <c r="P185" i="66"/>
  <c r="I481" i="37"/>
  <c r="M68" i="66"/>
  <c r="AA89" i="66"/>
  <c r="Z89" i="66"/>
  <c r="P89" i="66"/>
  <c r="AA233" i="66"/>
  <c r="Z233" i="66"/>
  <c r="W113" i="74"/>
  <c r="Y113" i="74" s="1"/>
  <c r="R113" i="74"/>
  <c r="S113" i="74" s="1"/>
  <c r="U113" i="74" s="1"/>
  <c r="V113" i="74"/>
  <c r="R90" i="74"/>
  <c r="S90" i="74" s="1"/>
  <c r="U90" i="74" s="1"/>
  <c r="W90" i="74"/>
  <c r="Y90" i="74" s="1"/>
  <c r="V90" i="74"/>
  <c r="W85" i="74"/>
  <c r="Y85" i="74" s="1"/>
  <c r="V85" i="74"/>
  <c r="R85" i="74"/>
  <c r="S85" i="74" s="1"/>
  <c r="U85" i="74" s="1"/>
  <c r="V138" i="74"/>
  <c r="R138" i="74"/>
  <c r="S138" i="74" s="1"/>
  <c r="U138" i="74" s="1"/>
  <c r="W138" i="74"/>
  <c r="Y138" i="74" s="1"/>
  <c r="AA83" i="74"/>
  <c r="Z83" i="74"/>
  <c r="P83" i="74"/>
  <c r="AA35" i="74"/>
  <c r="Z35" i="74"/>
  <c r="P35" i="74"/>
  <c r="V36" i="66"/>
  <c r="R36" i="66"/>
  <c r="W281" i="66"/>
  <c r="Y281" i="66" s="1"/>
  <c r="R281" i="66"/>
  <c r="S281" i="66" s="1"/>
  <c r="U281" i="66" s="1"/>
  <c r="V281" i="66"/>
  <c r="Q89" i="74"/>
  <c r="O89" i="74"/>
  <c r="AC89" i="74"/>
  <c r="AD89" i="74" s="1"/>
  <c r="AD137" i="74"/>
  <c r="F24" i="77" s="1"/>
  <c r="F31" i="77" s="1"/>
  <c r="D12" i="77"/>
  <c r="D24" i="77"/>
  <c r="D31" i="77" s="1"/>
  <c r="V233" i="66"/>
  <c r="R233" i="66"/>
  <c r="S233" i="66" s="1"/>
  <c r="U233" i="66" s="1"/>
  <c r="W233" i="66"/>
  <c r="Y233" i="66" s="1"/>
  <c r="R179" i="66"/>
  <c r="V179" i="66"/>
  <c r="P137" i="74"/>
  <c r="Z137" i="74"/>
  <c r="AA137" i="74"/>
  <c r="V35" i="66"/>
  <c r="R35" i="66"/>
  <c r="Q133" i="74"/>
  <c r="O133" i="74"/>
  <c r="AC133" i="74"/>
  <c r="AD133" i="74" s="1"/>
  <c r="V276" i="66"/>
  <c r="W276" i="66"/>
  <c r="Y276" i="66" s="1"/>
  <c r="R276" i="66"/>
  <c r="S276" i="66" s="1"/>
  <c r="U276" i="66" s="1"/>
  <c r="P84" i="74"/>
  <c r="Z84" i="74"/>
  <c r="AA84" i="74"/>
  <c r="Q132" i="74"/>
  <c r="O132" i="74"/>
  <c r="AC132" i="74"/>
  <c r="S164" i="66"/>
  <c r="U164" i="66" s="1"/>
  <c r="Q164" i="66"/>
  <c r="W164" i="66" s="1"/>
  <c r="Y164" i="66" s="1"/>
  <c r="O164" i="66"/>
  <c r="Z133" i="66"/>
  <c r="P133" i="66"/>
  <c r="AA277" i="66"/>
  <c r="AA133" i="66"/>
  <c r="Z277" i="66"/>
  <c r="P277" i="66"/>
  <c r="M20" i="74"/>
  <c r="O20" i="66"/>
  <c r="Q20" i="66"/>
  <c r="W20" i="66" s="1"/>
  <c r="Y20" i="66" s="1"/>
  <c r="S20" i="66"/>
  <c r="U20" i="66" s="1"/>
  <c r="AA41" i="66"/>
  <c r="Z41" i="66"/>
  <c r="AA185" i="66"/>
  <c r="Z185" i="66"/>
  <c r="P41" i="66"/>
  <c r="W126" i="74"/>
  <c r="Y126" i="74" s="1"/>
  <c r="V126" i="74"/>
  <c r="R126" i="74"/>
  <c r="S126" i="74" s="1"/>
  <c r="U126" i="74" s="1"/>
  <c r="V17" i="74"/>
  <c r="R17" i="74"/>
  <c r="I481" i="58"/>
  <c r="M212" i="66"/>
  <c r="W83" i="66"/>
  <c r="Y83" i="66" s="1"/>
  <c r="V83" i="66"/>
  <c r="R83" i="66"/>
  <c r="S83" i="66" s="1"/>
  <c r="U83" i="66" s="1"/>
  <c r="W132" i="66"/>
  <c r="Y132" i="66" s="1"/>
  <c r="V132" i="66"/>
  <c r="R132" i="66"/>
  <c r="S132" i="66" s="1"/>
  <c r="U132" i="66" s="1"/>
  <c r="AD36" i="74"/>
  <c r="R180" i="66"/>
  <c r="V180" i="66"/>
  <c r="Q37" i="74"/>
  <c r="W37" i="74" s="1"/>
  <c r="Y37" i="74" s="1"/>
  <c r="S37" i="74"/>
  <c r="U37" i="74" s="1"/>
  <c r="AC37" i="74"/>
  <c r="AD37" i="74" s="1"/>
  <c r="O37" i="74"/>
  <c r="Q260" i="66"/>
  <c r="O260" i="66"/>
  <c r="P260" i="66" s="1"/>
  <c r="V30" i="74"/>
  <c r="R30" i="74"/>
  <c r="Z36" i="74"/>
  <c r="AA36" i="74"/>
  <c r="P36" i="74"/>
  <c r="N116" i="74"/>
  <c r="G20" i="39"/>
  <c r="AA137" i="66"/>
  <c r="C11" i="77" l="1"/>
  <c r="R137" i="66"/>
  <c r="S137" i="66" s="1"/>
  <c r="U137" i="66" s="1"/>
  <c r="W137" i="66"/>
  <c r="Y137" i="66" s="1"/>
  <c r="R185" i="66"/>
  <c r="V185" i="66"/>
  <c r="C24" i="77"/>
  <c r="C31" i="77" s="1"/>
  <c r="AD41" i="74"/>
  <c r="E24" i="77" s="1"/>
  <c r="E31" i="77" s="1"/>
  <c r="C12" i="77"/>
  <c r="V36" i="74"/>
  <c r="R36" i="74"/>
  <c r="AA41" i="74"/>
  <c r="Z41" i="74"/>
  <c r="P41" i="74"/>
  <c r="Z164" i="66"/>
  <c r="AA20" i="66"/>
  <c r="Z20" i="66"/>
  <c r="AA164" i="66"/>
  <c r="P20" i="66"/>
  <c r="R37" i="66"/>
  <c r="V37" i="66"/>
  <c r="O20" i="74"/>
  <c r="AC20" i="74"/>
  <c r="S20" i="74"/>
  <c r="U20" i="74" s="1"/>
  <c r="Q20" i="74"/>
  <c r="W20" i="74" s="1"/>
  <c r="Y20" i="74" s="1"/>
  <c r="R277" i="66"/>
  <c r="S277" i="66" s="1"/>
  <c r="U277" i="66" s="1"/>
  <c r="W277" i="66"/>
  <c r="Y277" i="66" s="1"/>
  <c r="V277" i="66"/>
  <c r="V35" i="74"/>
  <c r="R35" i="74"/>
  <c r="AA260" i="66"/>
  <c r="P116" i="66"/>
  <c r="Z260" i="66"/>
  <c r="AA116" i="66"/>
  <c r="Z116" i="66"/>
  <c r="AD132" i="74"/>
  <c r="D11" i="77"/>
  <c r="AA133" i="74"/>
  <c r="P133" i="74"/>
  <c r="Z133" i="74"/>
  <c r="AA132" i="74"/>
  <c r="P132" i="74"/>
  <c r="Z132" i="74"/>
  <c r="N68" i="74"/>
  <c r="F20" i="39"/>
  <c r="Q116" i="74"/>
  <c r="O116" i="74"/>
  <c r="AC116" i="74"/>
  <c r="V41" i="66"/>
  <c r="R41" i="66"/>
  <c r="V89" i="66"/>
  <c r="W89" i="66"/>
  <c r="Y89" i="66" s="1"/>
  <c r="R89" i="66"/>
  <c r="S89" i="66" s="1"/>
  <c r="U89" i="66" s="1"/>
  <c r="W260" i="66"/>
  <c r="Y260" i="66" s="1"/>
  <c r="V260" i="66"/>
  <c r="R260" i="66"/>
  <c r="S260" i="66" s="1"/>
  <c r="U260" i="66" s="1"/>
  <c r="Z37" i="74"/>
  <c r="P37" i="74"/>
  <c r="AA37" i="74"/>
  <c r="V133" i="66"/>
  <c r="R133" i="66"/>
  <c r="S133" i="66" s="1"/>
  <c r="U133" i="66" s="1"/>
  <c r="W133" i="66"/>
  <c r="Y133" i="66" s="1"/>
  <c r="Z89" i="74"/>
  <c r="P89" i="74"/>
  <c r="AA89" i="74"/>
  <c r="Q212" i="66"/>
  <c r="O212" i="66"/>
  <c r="P164" i="66"/>
  <c r="R84" i="74"/>
  <c r="S84" i="74" s="1"/>
  <c r="U84" i="74" s="1"/>
  <c r="V84" i="74"/>
  <c r="W84" i="74"/>
  <c r="Y84" i="74" s="1"/>
  <c r="M68" i="74"/>
  <c r="Q68" i="66"/>
  <c r="O68" i="66"/>
  <c r="V137" i="74"/>
  <c r="R137" i="74"/>
  <c r="S137" i="74" s="1"/>
  <c r="U137" i="74" s="1"/>
  <c r="W137" i="74"/>
  <c r="Y137" i="74" s="1"/>
  <c r="V83" i="74"/>
  <c r="R83" i="74"/>
  <c r="S83" i="74" s="1"/>
  <c r="U83" i="74" s="1"/>
  <c r="W83" i="74"/>
  <c r="Y83" i="74" s="1"/>
  <c r="I481" i="41"/>
  <c r="P212" i="66" l="1"/>
  <c r="R133" i="74"/>
  <c r="S133" i="74" s="1"/>
  <c r="U133" i="74" s="1"/>
  <c r="W133" i="74"/>
  <c r="Y133" i="74" s="1"/>
  <c r="V133" i="74"/>
  <c r="Q68" i="74"/>
  <c r="AC68" i="74"/>
  <c r="AD68" i="74" s="1"/>
  <c r="O68" i="74"/>
  <c r="AD116" i="74"/>
  <c r="D8" i="77"/>
  <c r="AD20" i="74"/>
  <c r="C8" i="77"/>
  <c r="V20" i="66"/>
  <c r="R20" i="66"/>
  <c r="Z68" i="66"/>
  <c r="P68" i="66"/>
  <c r="Z212" i="66"/>
  <c r="AA212" i="66"/>
  <c r="AA68" i="66"/>
  <c r="AA116" i="74"/>
  <c r="P116" i="74"/>
  <c r="Z116" i="74"/>
  <c r="P20" i="74"/>
  <c r="AA20" i="74"/>
  <c r="Z20" i="74"/>
  <c r="W89" i="74"/>
  <c r="Y89" i="74" s="1"/>
  <c r="R89" i="74"/>
  <c r="S89" i="74" s="1"/>
  <c r="U89" i="74" s="1"/>
  <c r="V89" i="74"/>
  <c r="V37" i="74"/>
  <c r="R37" i="74"/>
  <c r="V41" i="74"/>
  <c r="R41" i="74"/>
  <c r="V132" i="74"/>
  <c r="W132" i="74"/>
  <c r="Y132" i="74" s="1"/>
  <c r="R132" i="74"/>
  <c r="S132" i="74" s="1"/>
  <c r="U132" i="74" s="1"/>
  <c r="V116" i="66"/>
  <c r="R116" i="66"/>
  <c r="S116" i="66" s="1"/>
  <c r="U116" i="66" s="1"/>
  <c r="W116" i="66"/>
  <c r="Y116" i="66" s="1"/>
  <c r="R164" i="66"/>
  <c r="V164" i="66"/>
  <c r="R116" i="74" l="1"/>
  <c r="S116" i="74" s="1"/>
  <c r="U116" i="74" s="1"/>
  <c r="W116" i="74"/>
  <c r="Y116" i="74" s="1"/>
  <c r="V116" i="74"/>
  <c r="AA68" i="74"/>
  <c r="P68" i="74"/>
  <c r="Z68" i="74"/>
  <c r="V68" i="66"/>
  <c r="R68" i="66"/>
  <c r="S68" i="66" s="1"/>
  <c r="U68" i="66" s="1"/>
  <c r="W68" i="66"/>
  <c r="Y68" i="66" s="1"/>
  <c r="R20" i="74"/>
  <c r="V20" i="74"/>
  <c r="V212" i="66"/>
  <c r="R212" i="66"/>
  <c r="S212" i="66" s="1"/>
  <c r="U212" i="66" s="1"/>
  <c r="W212" i="66"/>
  <c r="Y212" i="66" s="1"/>
  <c r="R68" i="74" l="1"/>
  <c r="S68" i="74" s="1"/>
  <c r="U68" i="74" s="1"/>
  <c r="V68" i="74"/>
  <c r="W68" i="74"/>
  <c r="Y68" i="74" s="1"/>
  <c r="J489" i="37" l="1"/>
  <c r="J489" i="58"/>
  <c r="J489" i="41" l="1"/>
  <c r="I4" i="37" l="1"/>
  <c r="I4" i="58"/>
  <c r="J4" i="37"/>
  <c r="J4" i="58"/>
  <c r="H4" i="37" l="1"/>
  <c r="H4" i="58"/>
  <c r="O4" i="58"/>
  <c r="G246" i="66"/>
  <c r="E37" i="53"/>
  <c r="J4" i="41"/>
  <c r="M45" i="39" s="1"/>
  <c r="E31" i="53"/>
  <c r="G102" i="66"/>
  <c r="E45" i="39"/>
  <c r="G198" i="66"/>
  <c r="N4" i="58"/>
  <c r="E25" i="53"/>
  <c r="I4" i="41"/>
  <c r="D45" i="39" s="1"/>
  <c r="G54" i="66"/>
  <c r="E19" i="53"/>
  <c r="L45" i="39" l="1"/>
  <c r="L59" i="39" s="1"/>
  <c r="L60" i="39" s="1"/>
  <c r="E59" i="39"/>
  <c r="E60" i="39" s="1"/>
  <c r="E124" i="38"/>
  <c r="E56" i="39"/>
  <c r="G102" i="74"/>
  <c r="E175" i="38"/>
  <c r="M56" i="39"/>
  <c r="M59" i="39"/>
  <c r="M60" i="39" s="1"/>
  <c r="G54" i="74"/>
  <c r="D56" i="39"/>
  <c r="E107" i="38"/>
  <c r="D59" i="39"/>
  <c r="D60" i="39" s="1"/>
  <c r="E13" i="53"/>
  <c r="G150" i="66"/>
  <c r="M4" i="58"/>
  <c r="G6" i="66"/>
  <c r="H4" i="41"/>
  <c r="C45" i="39" s="1"/>
  <c r="E7" i="53"/>
  <c r="L56" i="39" l="1"/>
  <c r="E158" i="38"/>
  <c r="K45" i="39"/>
  <c r="K59" i="39" s="1"/>
  <c r="K60" i="39" s="1"/>
  <c r="K198" i="66"/>
  <c r="I474" i="58"/>
  <c r="I466" i="58"/>
  <c r="D25" i="53"/>
  <c r="F25" i="53" s="1"/>
  <c r="G282" i="72"/>
  <c r="G251" i="72"/>
  <c r="L58" i="39"/>
  <c r="L57" i="39"/>
  <c r="G65" i="72"/>
  <c r="G96" i="72"/>
  <c r="M57" i="39"/>
  <c r="M58" i="39"/>
  <c r="D37" i="53"/>
  <c r="F37" i="53" s="1"/>
  <c r="K246" i="66"/>
  <c r="J466" i="58"/>
  <c r="G247" i="66" s="1"/>
  <c r="J474" i="58"/>
  <c r="G127" i="72"/>
  <c r="G158" i="72"/>
  <c r="G6" i="74"/>
  <c r="G220" i="72"/>
  <c r="G189" i="72"/>
  <c r="D19" i="53"/>
  <c r="F19" i="53" s="1"/>
  <c r="H25" i="53" s="1"/>
  <c r="K54" i="66"/>
  <c r="I474" i="37"/>
  <c r="I466" i="37"/>
  <c r="E58" i="39"/>
  <c r="E57" i="39"/>
  <c r="D58" i="39"/>
  <c r="D57" i="39"/>
  <c r="K102" i="66"/>
  <c r="J466" i="37"/>
  <c r="D31" i="53"/>
  <c r="F31" i="53" s="1"/>
  <c r="H37" i="53" s="1"/>
  <c r="J474" i="37"/>
  <c r="G34" i="72"/>
  <c r="G3" i="72"/>
  <c r="C59" i="39"/>
  <c r="C60" i="39" s="1"/>
  <c r="E90" i="38"/>
  <c r="C56" i="39"/>
  <c r="K56" i="39" l="1"/>
  <c r="E141" i="38"/>
  <c r="G37" i="53"/>
  <c r="H31" i="53"/>
  <c r="G31" i="53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C58" i="39"/>
  <c r="C57" i="39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G248" i="66"/>
  <c r="J479" i="58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D7" i="53"/>
  <c r="F7" i="53" s="1"/>
  <c r="H13" i="53" s="1"/>
  <c r="H466" i="37"/>
  <c r="H474" i="37"/>
  <c r="K6" i="66"/>
  <c r="I466" i="41"/>
  <c r="I489" i="37"/>
  <c r="G55" i="66"/>
  <c r="M247" i="66"/>
  <c r="Q247" i="66" s="1"/>
  <c r="O247" i="66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T246" i="66"/>
  <c r="X246" i="66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K54" i="74"/>
  <c r="T54" i="66"/>
  <c r="X54" i="66"/>
  <c r="G25" i="53"/>
  <c r="H19" i="53"/>
  <c r="G19" i="53" s="1"/>
  <c r="J474" i="41"/>
  <c r="J479" i="37"/>
  <c r="G104" i="66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I489" i="58"/>
  <c r="G199" i="66"/>
  <c r="G200" i="66"/>
  <c r="I479" i="58"/>
  <c r="G56" i="66"/>
  <c r="I479" i="37"/>
  <c r="I474" i="4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X102" i="66"/>
  <c r="T102" i="66"/>
  <c r="K102" i="74"/>
  <c r="H466" i="58"/>
  <c r="K150" i="66"/>
  <c r="D13" i="53"/>
  <c r="F13" i="53" s="1"/>
  <c r="H474" i="58"/>
  <c r="X198" i="66"/>
  <c r="T198" i="66"/>
  <c r="K58" i="39"/>
  <c r="K57" i="39"/>
  <c r="G103" i="66"/>
  <c r="J466" i="41"/>
  <c r="T102" i="74" l="1"/>
  <c r="X102" i="74"/>
  <c r="T54" i="74"/>
  <c r="X54" i="74"/>
  <c r="I489" i="4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04" i="74"/>
  <c r="T6" i="66"/>
  <c r="X6" i="66"/>
  <c r="K6" i="74"/>
  <c r="H479" i="37"/>
  <c r="H474" i="41"/>
  <c r="G8" i="66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H466" i="41"/>
  <c r="G7" i="66"/>
  <c r="H489" i="37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J479" i="41"/>
  <c r="J480" i="37"/>
  <c r="E366" i="38"/>
  <c r="L104" i="66" s="1"/>
  <c r="L104" i="74" s="1"/>
  <c r="H479" i="58"/>
  <c r="G152" i="66"/>
  <c r="E313" i="38"/>
  <c r="E307" i="38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H7" i="53"/>
  <c r="G7" i="53" s="1"/>
  <c r="G13" i="53"/>
  <c r="E360" i="38"/>
  <c r="L56" i="66" s="1"/>
  <c r="L56" i="74" s="1"/>
  <c r="I479" i="41"/>
  <c r="I480" i="37"/>
  <c r="E325" i="38"/>
  <c r="N198" i="66" s="1"/>
  <c r="E319" i="38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56" i="74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M103" i="66"/>
  <c r="G103" i="74"/>
  <c r="X150" i="66"/>
  <c r="T150" i="66"/>
  <c r="M199" i="66"/>
  <c r="Q199" i="66" s="1"/>
  <c r="J480" i="58"/>
  <c r="E385" i="38" s="1"/>
  <c r="L267" i="66" s="1"/>
  <c r="O267" i="66" s="1"/>
  <c r="E384" i="38"/>
  <c r="L248" i="66" s="1"/>
  <c r="O248" i="66" s="1"/>
  <c r="E337" i="38"/>
  <c r="E331" i="38"/>
  <c r="H489" i="58"/>
  <c r="G151" i="66"/>
  <c r="E378" i="38"/>
  <c r="L200" i="66" s="1"/>
  <c r="O200" i="66" s="1"/>
  <c r="I480" i="58"/>
  <c r="E379" i="38" s="1"/>
  <c r="L219" i="66" s="1"/>
  <c r="O219" i="66" s="1"/>
  <c r="M55" i="66"/>
  <c r="G55" i="74"/>
  <c r="E349" i="38"/>
  <c r="N246" i="66" s="1"/>
  <c r="E343" i="38"/>
  <c r="O56" i="66" l="1"/>
  <c r="Z200" i="66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H489" i="4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66" i="72"/>
  <c r="F66" i="72" s="1"/>
  <c r="AA56" i="66"/>
  <c r="AA200" i="66"/>
  <c r="M151" i="66"/>
  <c r="Q151" i="66" s="1"/>
  <c r="W151" i="66" s="1"/>
  <c r="Y151" i="66" s="1"/>
  <c r="E190" i="72"/>
  <c r="F190" i="72" s="1"/>
  <c r="G7" i="74"/>
  <c r="M7" i="66"/>
  <c r="T6" i="74"/>
  <c r="X6" i="74"/>
  <c r="AC56" i="74"/>
  <c r="AD56" i="74" s="1"/>
  <c r="O56" i="74"/>
  <c r="M102" i="66"/>
  <c r="J486" i="37"/>
  <c r="E372" i="38"/>
  <c r="L152" i="66" s="1"/>
  <c r="O152" i="66" s="1"/>
  <c r="H480" i="58"/>
  <c r="E373" i="38" s="1"/>
  <c r="L171" i="66" s="1"/>
  <c r="O171" i="66" s="1"/>
  <c r="E4" i="72"/>
  <c r="F4" i="72" s="1"/>
  <c r="O104" i="66"/>
  <c r="I486" i="58"/>
  <c r="M198" i="66"/>
  <c r="I486" i="37"/>
  <c r="M54" i="66"/>
  <c r="N102" i="66"/>
  <c r="D20" i="8"/>
  <c r="C20" i="8"/>
  <c r="N54" i="66"/>
  <c r="E361" i="38"/>
  <c r="L75" i="66" s="1"/>
  <c r="I480" i="41"/>
  <c r="J486" i="58"/>
  <c r="M246" i="66"/>
  <c r="O199" i="66"/>
  <c r="O104" i="74"/>
  <c r="AC104" i="74"/>
  <c r="AD104" i="74" s="1"/>
  <c r="G8" i="74"/>
  <c r="E128" i="72"/>
  <c r="F128" i="72" s="1"/>
  <c r="O103" i="66"/>
  <c r="Q103" i="66"/>
  <c r="M103" i="74"/>
  <c r="Q103" i="74" s="1"/>
  <c r="E283" i="38"/>
  <c r="E289" i="38"/>
  <c r="E301" i="38"/>
  <c r="N150" i="66" s="1"/>
  <c r="E295" i="38"/>
  <c r="J480" i="41"/>
  <c r="E367" i="38"/>
  <c r="L123" i="66" s="1"/>
  <c r="O55" i="66"/>
  <c r="M55" i="74"/>
  <c r="Q55" i="74" s="1"/>
  <c r="Q55" i="66"/>
  <c r="E159" i="72"/>
  <c r="F159" i="72" s="1"/>
  <c r="E283" i="72"/>
  <c r="F283" i="72" s="1"/>
  <c r="E221" i="72"/>
  <c r="F221" i="72" s="1"/>
  <c r="H479" i="41"/>
  <c r="E354" i="38"/>
  <c r="L8" i="66" s="1"/>
  <c r="H480" i="37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Z56" i="66" l="1"/>
  <c r="L8" i="74"/>
  <c r="O8" i="74" s="1"/>
  <c r="AA8" i="74" s="1"/>
  <c r="E67" i="72"/>
  <c r="F67" i="72" s="1"/>
  <c r="O246" i="66"/>
  <c r="P246" i="66" s="1"/>
  <c r="Q246" i="66"/>
  <c r="M102" i="74"/>
  <c r="Q102" i="66"/>
  <c r="O102" i="66"/>
  <c r="M54" i="74"/>
  <c r="Q54" i="66"/>
  <c r="O54" i="66"/>
  <c r="Q198" i="66"/>
  <c r="O198" i="66"/>
  <c r="O55" i="74"/>
  <c r="Z55" i="74" s="1"/>
  <c r="O75" i="66"/>
  <c r="L75" i="74"/>
  <c r="O151" i="66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P103" i="66"/>
  <c r="AA247" i="66"/>
  <c r="AA103" i="66"/>
  <c r="Z103" i="66"/>
  <c r="Z247" i="66"/>
  <c r="P247" i="66"/>
  <c r="N54" i="74"/>
  <c r="F18" i="39"/>
  <c r="AC55" i="74"/>
  <c r="AD55" i="74" s="1"/>
  <c r="Z104" i="74"/>
  <c r="AA104" i="74"/>
  <c r="E253" i="72"/>
  <c r="F253" i="72" s="1"/>
  <c r="E36" i="72"/>
  <c r="F36" i="72" s="1"/>
  <c r="O103" i="74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J486" i="41"/>
  <c r="AC103" i="74"/>
  <c r="AD103" i="74" s="1"/>
  <c r="N102" i="74"/>
  <c r="G18" i="39"/>
  <c r="Z248" i="66"/>
  <c r="Z104" i="66"/>
  <c r="AA104" i="66"/>
  <c r="AA248" i="66"/>
  <c r="P55" i="66"/>
  <c r="AA199" i="66"/>
  <c r="Z55" i="66"/>
  <c r="Z199" i="66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O123" i="66"/>
  <c r="L123" i="74"/>
  <c r="AA55" i="66"/>
  <c r="P199" i="66"/>
  <c r="I486" i="41"/>
  <c r="AA56" i="74"/>
  <c r="Z56" i="74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O7" i="66"/>
  <c r="Q7" i="66"/>
  <c r="W7" i="66" s="1"/>
  <c r="Y7" i="66" s="1"/>
  <c r="M7" i="74"/>
  <c r="Q7" i="74" s="1"/>
  <c r="W7" i="74" s="1"/>
  <c r="Y7" i="74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355" i="38"/>
  <c r="L27" i="66" s="1"/>
  <c r="H480" i="41"/>
  <c r="N6" i="66"/>
  <c r="N6" i="74" s="1"/>
  <c r="B20" i="8"/>
  <c r="O8" i="66"/>
  <c r="M150" i="66"/>
  <c r="H486" i="58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M6" i="66"/>
  <c r="H486" i="37"/>
  <c r="AC8" i="74"/>
  <c r="AD8" i="74" s="1"/>
  <c r="E98" i="72"/>
  <c r="F98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Z8" i="74" l="1"/>
  <c r="AA55" i="74"/>
  <c r="E191" i="72"/>
  <c r="F191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S150" i="66"/>
  <c r="U150" i="66" s="1"/>
  <c r="Q150" i="66"/>
  <c r="W150" i="66" s="1"/>
  <c r="Y150" i="66" s="1"/>
  <c r="O150" i="66"/>
  <c r="P54" i="66"/>
  <c r="AA198" i="66"/>
  <c r="AA54" i="66"/>
  <c r="Z54" i="66"/>
  <c r="Z198" i="66"/>
  <c r="Q54" i="74"/>
  <c r="AC54" i="74"/>
  <c r="AD54" i="74" s="1"/>
  <c r="O54" i="74"/>
  <c r="H486" i="41"/>
  <c r="P55" i="74"/>
  <c r="P102" i="66"/>
  <c r="Z246" i="66"/>
  <c r="AA102" i="66"/>
  <c r="AA246" i="66"/>
  <c r="Z102" i="66"/>
  <c r="Q6" i="66"/>
  <c r="W6" i="66" s="1"/>
  <c r="Y6" i="66" s="1"/>
  <c r="O6" i="66"/>
  <c r="Q102" i="74"/>
  <c r="AC102" i="74"/>
  <c r="O102" i="74"/>
  <c r="P198" i="66"/>
  <c r="V246" i="66"/>
  <c r="R246" i="66"/>
  <c r="S246" i="66" s="1"/>
  <c r="U246" i="66" s="1"/>
  <c r="W246" i="66"/>
  <c r="Y246" i="66" s="1"/>
  <c r="O7" i="74"/>
  <c r="Z7" i="74" s="1"/>
  <c r="AC7" i="74"/>
  <c r="AD7" i="74" s="1"/>
  <c r="E68" i="72"/>
  <c r="F68" i="72" s="1"/>
  <c r="G69" i="72" s="1"/>
  <c r="Z152" i="66"/>
  <c r="Z8" i="66"/>
  <c r="AA8" i="66"/>
  <c r="AA152" i="66"/>
  <c r="R199" i="66"/>
  <c r="W199" i="66"/>
  <c r="Y199" i="66" s="1"/>
  <c r="V199" i="66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O27" i="66"/>
  <c r="L27" i="74"/>
  <c r="E284" i="72"/>
  <c r="F284" i="72" s="1"/>
  <c r="E5" i="72"/>
  <c r="F5" i="72" s="1"/>
  <c r="P103" i="74"/>
  <c r="Z103" i="74"/>
  <c r="AA103" i="74"/>
  <c r="P151" i="66"/>
  <c r="V55" i="66"/>
  <c r="R55" i="66"/>
  <c r="W55" i="66"/>
  <c r="Y55" i="66" s="1"/>
  <c r="V247" i="66"/>
  <c r="R247" i="66"/>
  <c r="W247" i="66"/>
  <c r="Y247" i="66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92" i="72"/>
  <c r="F192" i="72" s="1"/>
  <c r="AC123" i="74"/>
  <c r="AD123" i="74" s="1"/>
  <c r="O123" i="74"/>
  <c r="E129" i="72"/>
  <c r="F129" i="72" s="1"/>
  <c r="AA267" i="66"/>
  <c r="Z267" i="66"/>
  <c r="AA123" i="66"/>
  <c r="Z123" i="66"/>
  <c r="R55" i="74"/>
  <c r="W55" i="74"/>
  <c r="Y55" i="74" s="1"/>
  <c r="V55" i="74"/>
  <c r="M6" i="74"/>
  <c r="S6" i="66"/>
  <c r="U6" i="66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AC75" i="74"/>
  <c r="AD75" i="74" s="1"/>
  <c r="O75" i="74"/>
  <c r="Z151" i="66"/>
  <c r="Z7" i="66"/>
  <c r="AA7" i="66"/>
  <c r="P7" i="66"/>
  <c r="AA151" i="66"/>
  <c r="E160" i="72"/>
  <c r="F160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W103" i="66"/>
  <c r="Y103" i="66" s="1"/>
  <c r="R103" i="66"/>
  <c r="V103" i="66"/>
  <c r="Z75" i="66"/>
  <c r="AA219" i="66"/>
  <c r="AA75" i="66"/>
  <c r="Z219" i="66"/>
  <c r="E99" i="72" l="1"/>
  <c r="F99" i="72" s="1"/>
  <c r="E37" i="72"/>
  <c r="F37" i="72" s="1"/>
  <c r="AA7" i="74"/>
  <c r="P7" i="74"/>
  <c r="P150" i="66"/>
  <c r="V150" i="66" s="1"/>
  <c r="H70" i="72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69" i="72"/>
  <c r="F69" i="72" s="1"/>
  <c r="V198" i="66"/>
  <c r="R198" i="66"/>
  <c r="S198" i="66" s="1"/>
  <c r="U198" i="66" s="1"/>
  <c r="W198" i="66"/>
  <c r="Y198" i="66" s="1"/>
  <c r="AA102" i="74"/>
  <c r="Z102" i="74"/>
  <c r="P102" i="74"/>
  <c r="P54" i="74"/>
  <c r="Z54" i="74"/>
  <c r="AA54" i="74"/>
  <c r="AD102" i="74"/>
  <c r="D4" i="77"/>
  <c r="P6" i="66"/>
  <c r="AA6" i="66"/>
  <c r="Z6" i="66"/>
  <c r="AA150" i="66"/>
  <c r="Z150" i="66"/>
  <c r="V54" i="66"/>
  <c r="R54" i="66"/>
  <c r="S54" i="66" s="1"/>
  <c r="U54" i="66" s="1"/>
  <c r="W54" i="66"/>
  <c r="Y54" i="66" s="1"/>
  <c r="S6" i="74"/>
  <c r="U6" i="74" s="1"/>
  <c r="Q6" i="74"/>
  <c r="W6" i="74" s="1"/>
  <c r="Y6" i="74" s="1"/>
  <c r="AC6" i="74"/>
  <c r="O6" i="74"/>
  <c r="W102" i="66"/>
  <c r="Y102" i="66" s="1"/>
  <c r="V102" i="66"/>
  <c r="R102" i="66"/>
  <c r="S102" i="66" s="1"/>
  <c r="U102" i="66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R151" i="66"/>
  <c r="V151" i="66"/>
  <c r="Z123" i="74"/>
  <c r="AA123" i="74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O27" i="74"/>
  <c r="AC27" i="74"/>
  <c r="AD27" i="74" s="1"/>
  <c r="Z171" i="66"/>
  <c r="AA171" i="66"/>
  <c r="Z27" i="66"/>
  <c r="AA27" i="66"/>
  <c r="R7" i="66"/>
  <c r="V7" i="66"/>
  <c r="W103" i="74"/>
  <c r="Y103" i="74" s="1"/>
  <c r="R103" i="74"/>
  <c r="V103" i="74"/>
  <c r="AA75" i="74"/>
  <c r="Z75" i="74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54" i="72"/>
  <c r="F254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R7" i="74"/>
  <c r="V7" i="74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" i="72" l="1"/>
  <c r="F6" i="72" s="1"/>
  <c r="R150" i="66"/>
  <c r="E193" i="72"/>
  <c r="F193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C4" i="77"/>
  <c r="AD6" i="74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W54" i="74"/>
  <c r="Y54" i="74" s="1"/>
  <c r="V54" i="74"/>
  <c r="R54" i="74"/>
  <c r="S54" i="74" s="1"/>
  <c r="U54" i="74" s="1"/>
  <c r="R102" i="74"/>
  <c r="S102" i="74" s="1"/>
  <c r="U102" i="74" s="1"/>
  <c r="V102" i="74"/>
  <c r="W102" i="74"/>
  <c r="Y102" i="74" s="1"/>
  <c r="R6" i="66"/>
  <c r="V6" i="66"/>
  <c r="P6" i="74"/>
  <c r="Z6" i="74"/>
  <c r="AA6" i="74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00" i="72"/>
  <c r="F100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AA27" i="74"/>
  <c r="Z27" i="74"/>
  <c r="E70" i="72"/>
  <c r="F70" i="72" s="1"/>
  <c r="E224" i="72"/>
  <c r="F224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130" i="72"/>
  <c r="F130" i="72" s="1"/>
  <c r="R6" i="74" l="1"/>
  <c r="V6" i="74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255" i="72"/>
  <c r="F255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39" i="72"/>
  <c r="F39" i="72" s="1"/>
  <c r="E71" i="72" l="1"/>
  <c r="F71" i="72" s="1"/>
  <c r="E287" i="72"/>
  <c r="F287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8" i="72"/>
  <c r="F8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3" i="72"/>
  <c r="F163" i="72" s="1"/>
  <c r="E101" i="72"/>
  <c r="F101" i="72" s="1"/>
  <c r="E195" i="72"/>
  <c r="F195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56" i="72" l="1"/>
  <c r="F256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32" i="72"/>
  <c r="F132" i="72" s="1"/>
  <c r="E40" i="72"/>
  <c r="F40" i="72" s="1"/>
  <c r="E72" i="72"/>
  <c r="F72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288" i="72"/>
  <c r="F288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26" i="72"/>
  <c r="F226" i="72" s="1"/>
  <c r="E102" i="72" l="1"/>
  <c r="F102" i="72" s="1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96" i="72"/>
  <c r="F196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64" i="72"/>
  <c r="F164" i="72" s="1"/>
  <c r="E258" i="72" l="1"/>
  <c r="F258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73" i="72"/>
  <c r="F73" i="72" s="1"/>
  <c r="E103" i="72"/>
  <c r="F103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227" i="72"/>
  <c r="F227" i="72" s="1"/>
  <c r="E289" i="72"/>
  <c r="F289" i="72" s="1"/>
  <c r="E10" i="72"/>
  <c r="F10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65" i="72"/>
  <c r="F165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42" i="72"/>
  <c r="F42" i="72" s="1"/>
  <c r="E197" i="72"/>
  <c r="F197" i="72" s="1"/>
  <c r="E134" i="72"/>
  <c r="F134" i="72" s="1"/>
  <c r="E11" i="72" l="1"/>
  <c r="F11" i="72" s="1"/>
  <c r="E74" i="72"/>
  <c r="F74" i="72" s="1"/>
  <c r="E104" i="72"/>
  <c r="F104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28" i="72"/>
  <c r="F228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90" i="72"/>
  <c r="F290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60" i="72"/>
  <c r="F260" i="72" s="1"/>
  <c r="E43" i="72" l="1"/>
  <c r="F43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35" i="72"/>
  <c r="F135" i="72" s="1"/>
  <c r="E166" i="72"/>
  <c r="F166" i="72" s="1"/>
  <c r="E198" i="72"/>
  <c r="F198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2" i="72" l="1"/>
  <c r="F12" i="72" s="1"/>
  <c r="E75" i="72"/>
  <c r="F75" i="72" s="1"/>
  <c r="E261" i="72"/>
  <c r="F261" i="72" s="1"/>
  <c r="E105" i="72"/>
  <c r="F105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91" i="72"/>
  <c r="F291" i="72" s="1"/>
  <c r="E229" i="72"/>
  <c r="F229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3" i="72" l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36" i="72"/>
  <c r="F136" i="72" s="1"/>
  <c r="E167" i="72"/>
  <c r="F167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99" i="72"/>
  <c r="F199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" i="72"/>
  <c r="F13" i="72" s="1"/>
  <c r="E76" i="72" l="1"/>
  <c r="F76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30" i="72"/>
  <c r="F230" i="72" s="1"/>
  <c r="E106" i="72"/>
  <c r="F106" i="72" s="1"/>
  <c r="E292" i="72"/>
  <c r="F292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62" i="72"/>
  <c r="F262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45" i="72"/>
  <c r="F45" i="72" s="1"/>
  <c r="G263" i="72" l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68" i="72"/>
  <c r="F168" i="72" s="1"/>
  <c r="E14" i="72"/>
  <c r="F14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77" i="72"/>
  <c r="F77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37" i="72"/>
  <c r="F137" i="72" s="1"/>
  <c r="E200" i="72"/>
  <c r="F200" i="72" s="1"/>
  <c r="G78" i="72" l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31" i="72"/>
  <c r="F231" i="72" s="1"/>
  <c r="E107" i="72"/>
  <c r="F107" i="72" s="1"/>
  <c r="E293" i="72"/>
  <c r="F293" i="72" s="1"/>
  <c r="E46" i="72"/>
  <c r="F46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63" i="72"/>
  <c r="F263" i="72" s="1"/>
  <c r="E201" i="72" l="1"/>
  <c r="F201" i="72" s="1"/>
  <c r="E15" i="72"/>
  <c r="F15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69" i="72"/>
  <c r="F169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38" i="72"/>
  <c r="F138" i="72" s="1"/>
  <c r="E78" i="72"/>
  <c r="F78" i="72" s="1"/>
  <c r="G79" i="72" l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32" i="72"/>
  <c r="F232" i="72" s="1"/>
  <c r="E108" i="72"/>
  <c r="F108" i="72" s="1"/>
  <c r="E294" i="72"/>
  <c r="F294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7" i="72"/>
  <c r="F47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64" i="72"/>
  <c r="F264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02" i="72" l="1"/>
  <c r="F202" i="72" s="1"/>
  <c r="E139" i="72"/>
  <c r="F139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70" i="72"/>
  <c r="F170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6" i="72"/>
  <c r="F16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79" i="72"/>
  <c r="F79" i="72" s="1"/>
  <c r="G17" i="72" l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95" i="72"/>
  <c r="F295" i="72" s="1"/>
  <c r="E265" i="72"/>
  <c r="F265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09" i="72"/>
  <c r="F109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33" i="72"/>
  <c r="F233" i="72" s="1"/>
  <c r="E48" i="72"/>
  <c r="F48" i="72" s="1"/>
  <c r="E203" i="72"/>
  <c r="F20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7" i="72" l="1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71" i="72"/>
  <c r="F171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80" i="72"/>
  <c r="F80" i="72" s="1"/>
  <c r="E140" i="72"/>
  <c r="F140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96" i="72" l="1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8" i="72"/>
  <c r="F18" i="72" s="1"/>
  <c r="E49" i="72"/>
  <c r="F49" i="72" s="1"/>
  <c r="E266" i="72"/>
  <c r="F266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10" i="72"/>
  <c r="F110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34" i="72"/>
  <c r="F234" i="72" s="1"/>
  <c r="E204" i="72"/>
  <c r="F204" i="72" s="1"/>
  <c r="G19" i="72" l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1" i="72"/>
  <c r="F141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97" i="72"/>
  <c r="F297" i="72" s="1"/>
  <c r="E81" i="72"/>
  <c r="F81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72" i="72"/>
  <c r="F172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9" i="72" l="1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50" i="72"/>
  <c r="F50" i="72" s="1"/>
  <c r="E205" i="72"/>
  <c r="F205" i="72" s="1"/>
  <c r="E267" i="72"/>
  <c r="F267" i="72" s="1"/>
  <c r="E235" i="72"/>
  <c r="F235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11" i="72"/>
  <c r="F111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0" i="72" l="1"/>
  <c r="F20" i="72" s="1"/>
  <c r="E142" i="72"/>
  <c r="F142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98" i="72"/>
  <c r="F298" i="72" s="1"/>
  <c r="E51" i="72"/>
  <c r="F51" i="72" s="1"/>
  <c r="E82" i="72"/>
  <c r="F82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73" i="72"/>
  <c r="F173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21" i="72" l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36" i="72"/>
  <c r="F236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06" i="72"/>
  <c r="F206" i="72" s="1"/>
  <c r="E112" i="72"/>
  <c r="F112" i="72" s="1"/>
  <c r="E268" i="72"/>
  <c r="F268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1" i="72" l="1"/>
  <c r="F21" i="72" s="1"/>
  <c r="E143" i="72"/>
  <c r="F143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99" i="72"/>
  <c r="F299" i="72" s="1"/>
  <c r="E52" i="72"/>
  <c r="F52" i="72" s="1"/>
  <c r="E83" i="72"/>
  <c r="F83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74" i="72"/>
  <c r="F174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44" i="72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13" i="72"/>
  <c r="F113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2" i="72"/>
  <c r="F22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07" i="72"/>
  <c r="F207" i="72" s="1"/>
  <c r="E269" i="72"/>
  <c r="F269" i="72" s="1"/>
  <c r="E238" i="72" l="1"/>
  <c r="F238" i="72" s="1"/>
  <c r="E300" i="72"/>
  <c r="F300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53" i="72"/>
  <c r="F53" i="72" s="1"/>
  <c r="E84" i="72"/>
  <c r="F84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75" i="72"/>
  <c r="F175" i="72" s="1"/>
  <c r="E145" i="72"/>
  <c r="F145" i="72" s="1"/>
  <c r="E114" i="72" l="1"/>
  <c r="F114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08" i="72"/>
  <c r="F208" i="72" s="1"/>
  <c r="E23" i="72"/>
  <c r="F23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270" i="72"/>
  <c r="F270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39" i="72" l="1"/>
  <c r="F239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301" i="72"/>
  <c r="F301" i="72" s="1"/>
  <c r="E146" i="72"/>
  <c r="F146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54" i="72"/>
  <c r="F54" i="72" s="1"/>
  <c r="G24" i="72"/>
  <c r="H25" i="72" s="1"/>
  <c r="I26" i="72" s="1"/>
  <c r="J27" i="72" s="1"/>
  <c r="K28" i="72" s="1"/>
  <c r="L29" i="72" s="1"/>
  <c r="M30" i="72" s="1"/>
  <c r="N31" i="72" s="1"/>
  <c r="O32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85" i="72"/>
  <c r="F85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40" i="72" l="1"/>
  <c r="F240" i="72" s="1"/>
  <c r="E24" i="72"/>
  <c r="F24" i="72" s="1"/>
  <c r="G55" i="72"/>
  <c r="H56" i="72" s="1"/>
  <c r="I57" i="72" s="1"/>
  <c r="J58" i="72" s="1"/>
  <c r="K59" i="72" s="1"/>
  <c r="L60" i="72" s="1"/>
  <c r="M61" i="72" s="1"/>
  <c r="N62" i="72" s="1"/>
  <c r="O63" i="72" s="1"/>
  <c r="E271" i="72"/>
  <c r="F271" i="72" s="1"/>
  <c r="E209" i="72"/>
  <c r="F209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115" i="72"/>
  <c r="F115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86" i="72"/>
  <c r="H87" i="72" s="1"/>
  <c r="I88" i="72" s="1"/>
  <c r="J89" i="72" s="1"/>
  <c r="K90" i="72" s="1"/>
  <c r="L91" i="72" s="1"/>
  <c r="M92" i="72" s="1"/>
  <c r="N93" i="72" s="1"/>
  <c r="O94" i="72" s="1"/>
  <c r="E177" i="72"/>
  <c r="F177" i="72" s="1"/>
  <c r="G116" i="72" l="1"/>
  <c r="H117" i="72" s="1"/>
  <c r="I118" i="72" s="1"/>
  <c r="J119" i="72" s="1"/>
  <c r="K120" i="72" s="1"/>
  <c r="L121" i="72" s="1"/>
  <c r="M122" i="72" s="1"/>
  <c r="N123" i="72" s="1"/>
  <c r="O124" i="72" s="1"/>
  <c r="P125" i="72" s="1"/>
  <c r="E147" i="72"/>
  <c r="F147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55" i="72"/>
  <c r="F55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25" i="72"/>
  <c r="H26" i="72" s="1"/>
  <c r="I27" i="72" s="1"/>
  <c r="J28" i="72" s="1"/>
  <c r="K29" i="72" s="1"/>
  <c r="L30" i="72" s="1"/>
  <c r="M31" i="72" s="1"/>
  <c r="N32" i="72" s="1"/>
  <c r="E302" i="72"/>
  <c r="F302" i="72" s="1"/>
  <c r="E86" i="72"/>
  <c r="F86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303" i="72" l="1"/>
  <c r="H304" i="72" s="1"/>
  <c r="I305" i="72" s="1"/>
  <c r="J306" i="72" s="1"/>
  <c r="K307" i="72" s="1"/>
  <c r="L308" i="72" s="1"/>
  <c r="M309" i="72" s="1"/>
  <c r="N310" i="72" s="1"/>
  <c r="O311" i="72" s="1"/>
  <c r="E25" i="72"/>
  <c r="F25" i="72" s="1"/>
  <c r="E178" i="72"/>
  <c r="F178" i="72" s="1"/>
  <c r="G56" i="72"/>
  <c r="H57" i="72" s="1"/>
  <c r="I58" i="72" s="1"/>
  <c r="J59" i="72" s="1"/>
  <c r="K60" i="72" s="1"/>
  <c r="L61" i="72" s="1"/>
  <c r="M62" i="72" s="1"/>
  <c r="N63" i="72" s="1"/>
  <c r="E272" i="72"/>
  <c r="F272" i="72" s="1"/>
  <c r="E210" i="72"/>
  <c r="F210" i="72" s="1"/>
  <c r="E241" i="72"/>
  <c r="F241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87" i="72"/>
  <c r="H88" i="72" s="1"/>
  <c r="I89" i="72" s="1"/>
  <c r="J90" i="72" s="1"/>
  <c r="K91" i="72" s="1"/>
  <c r="L92" i="72" s="1"/>
  <c r="M93" i="72" s="1"/>
  <c r="N94" i="72" s="1"/>
  <c r="E116" i="72"/>
  <c r="F116" i="72" s="1"/>
  <c r="E87" i="72" l="1"/>
  <c r="F87" i="72" s="1"/>
  <c r="G273" i="72"/>
  <c r="H274" i="72" s="1"/>
  <c r="I275" i="72" s="1"/>
  <c r="J276" i="72" s="1"/>
  <c r="K277" i="72" s="1"/>
  <c r="L278" i="72" s="1"/>
  <c r="M279" i="72" s="1"/>
  <c r="N280" i="72" s="1"/>
  <c r="G242" i="72"/>
  <c r="H243" i="72" s="1"/>
  <c r="I244" i="72" s="1"/>
  <c r="J245" i="72" s="1"/>
  <c r="K246" i="72" s="1"/>
  <c r="L247" i="72" s="1"/>
  <c r="M248" i="72" s="1"/>
  <c r="N249" i="72" s="1"/>
  <c r="E56" i="72"/>
  <c r="F56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11" i="72"/>
  <c r="H212" i="72" s="1"/>
  <c r="I213" i="72" s="1"/>
  <c r="J214" i="72" s="1"/>
  <c r="K215" i="72" s="1"/>
  <c r="L216" i="72" s="1"/>
  <c r="M217" i="72" s="1"/>
  <c r="N218" i="72" s="1"/>
  <c r="G26" i="72"/>
  <c r="H27" i="72" s="1"/>
  <c r="I28" i="72" s="1"/>
  <c r="J29" i="72" s="1"/>
  <c r="K30" i="72" s="1"/>
  <c r="L31" i="72" s="1"/>
  <c r="M32" i="72" s="1"/>
  <c r="E148" i="72"/>
  <c r="F148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303" i="72"/>
  <c r="F303" i="72" s="1"/>
  <c r="E26" i="72" l="1"/>
  <c r="F26" i="72" s="1"/>
  <c r="E211" i="72"/>
  <c r="F211" i="72" s="1"/>
  <c r="E179" i="72"/>
  <c r="F179" i="72" s="1"/>
  <c r="G57" i="72"/>
  <c r="H58" i="72" s="1"/>
  <c r="I59" i="72" s="1"/>
  <c r="J60" i="72" s="1"/>
  <c r="K61" i="72" s="1"/>
  <c r="L62" i="72" s="1"/>
  <c r="M63" i="72" s="1"/>
  <c r="E242" i="72"/>
  <c r="F242" i="72" s="1"/>
  <c r="G304" i="72"/>
  <c r="H305" i="72" s="1"/>
  <c r="I306" i="72" s="1"/>
  <c r="J307" i="72" s="1"/>
  <c r="K308" i="72" s="1"/>
  <c r="L309" i="72" s="1"/>
  <c r="M310" i="72" s="1"/>
  <c r="N311" i="72" s="1"/>
  <c r="E117" i="72"/>
  <c r="F117" i="72" s="1"/>
  <c r="E273" i="72"/>
  <c r="F273" i="72" s="1"/>
  <c r="G149" i="72"/>
  <c r="H150" i="72" s="1"/>
  <c r="I151" i="72" s="1"/>
  <c r="J152" i="72" s="1"/>
  <c r="K153" i="72" s="1"/>
  <c r="L154" i="72" s="1"/>
  <c r="M155" i="72" s="1"/>
  <c r="N156" i="72" s="1"/>
  <c r="G88" i="72"/>
  <c r="H89" i="72" s="1"/>
  <c r="I90" i="72" s="1"/>
  <c r="J91" i="72" s="1"/>
  <c r="K92" i="72" s="1"/>
  <c r="L93" i="72" s="1"/>
  <c r="M94" i="72" s="1"/>
  <c r="E149" i="72" l="1"/>
  <c r="F149" i="72" s="1"/>
  <c r="G274" i="72"/>
  <c r="H275" i="72" s="1"/>
  <c r="I276" i="72" s="1"/>
  <c r="J277" i="72" s="1"/>
  <c r="K278" i="72" s="1"/>
  <c r="L279" i="72" s="1"/>
  <c r="M280" i="72" s="1"/>
  <c r="E304" i="72"/>
  <c r="F304" i="72" s="1"/>
  <c r="G243" i="72"/>
  <c r="H244" i="72" s="1"/>
  <c r="I245" i="72" s="1"/>
  <c r="J246" i="72" s="1"/>
  <c r="K247" i="72" s="1"/>
  <c r="L248" i="72" s="1"/>
  <c r="M249" i="72" s="1"/>
  <c r="E57" i="72"/>
  <c r="F57" i="72" s="1"/>
  <c r="G180" i="72"/>
  <c r="H181" i="72" s="1"/>
  <c r="I182" i="72" s="1"/>
  <c r="J183" i="72" s="1"/>
  <c r="K184" i="72" s="1"/>
  <c r="L185" i="72" s="1"/>
  <c r="M186" i="72" s="1"/>
  <c r="N187" i="72" s="1"/>
  <c r="G118" i="72"/>
  <c r="H119" i="72" s="1"/>
  <c r="I120" i="72" s="1"/>
  <c r="J121" i="72" s="1"/>
  <c r="K122" i="72" s="1"/>
  <c r="L123" i="72" s="1"/>
  <c r="M124" i="72" s="1"/>
  <c r="N125" i="72" s="1"/>
  <c r="E88" i="72"/>
  <c r="F88" i="72" s="1"/>
  <c r="G212" i="72"/>
  <c r="H213" i="72" s="1"/>
  <c r="I214" i="72" s="1"/>
  <c r="J215" i="72" s="1"/>
  <c r="K216" i="72" s="1"/>
  <c r="L217" i="72" s="1"/>
  <c r="M218" i="72" s="1"/>
  <c r="G27" i="72"/>
  <c r="H28" i="72" s="1"/>
  <c r="I29" i="72" s="1"/>
  <c r="J30" i="72" s="1"/>
  <c r="K31" i="72" s="1"/>
  <c r="L32" i="72" s="1"/>
  <c r="E27" i="72" l="1"/>
  <c r="F27" i="72" s="1"/>
  <c r="G28" i="72" s="1"/>
  <c r="H29" i="72" s="1"/>
  <c r="I30" i="72" s="1"/>
  <c r="J31" i="72" s="1"/>
  <c r="K32" i="72" s="1"/>
  <c r="E212" i="72"/>
  <c r="F212" i="72" s="1"/>
  <c r="G213" i="72" s="1"/>
  <c r="H214" i="72" s="1"/>
  <c r="I215" i="72" s="1"/>
  <c r="J216" i="72" s="1"/>
  <c r="K217" i="72" s="1"/>
  <c r="L218" i="72" s="1"/>
  <c r="E118" i="72"/>
  <c r="F118" i="72" s="1"/>
  <c r="G89" i="72"/>
  <c r="H90" i="72" s="1"/>
  <c r="I91" i="72" s="1"/>
  <c r="J92" i="72" s="1"/>
  <c r="K93" i="72" s="1"/>
  <c r="L94" i="72" s="1"/>
  <c r="E180" i="72"/>
  <c r="F180" i="72" s="1"/>
  <c r="G58" i="72"/>
  <c r="H59" i="72" s="1"/>
  <c r="I60" i="72" s="1"/>
  <c r="J61" i="72" s="1"/>
  <c r="K62" i="72" s="1"/>
  <c r="L63" i="72" s="1"/>
  <c r="E243" i="72"/>
  <c r="F243" i="72" s="1"/>
  <c r="G305" i="72"/>
  <c r="H306" i="72" s="1"/>
  <c r="I307" i="72" s="1"/>
  <c r="J308" i="72" s="1"/>
  <c r="K309" i="72" s="1"/>
  <c r="L310" i="72" s="1"/>
  <c r="M311" i="72" s="1"/>
  <c r="E274" i="72"/>
  <c r="F274" i="72" s="1"/>
  <c r="G150" i="72"/>
  <c r="H151" i="72" s="1"/>
  <c r="I152" i="72" s="1"/>
  <c r="J153" i="72" s="1"/>
  <c r="K154" i="72" s="1"/>
  <c r="L155" i="72" s="1"/>
  <c r="M156" i="72" s="1"/>
  <c r="E28" i="72" l="1"/>
  <c r="F28" i="72" s="1"/>
  <c r="E213" i="72"/>
  <c r="F213" i="72" s="1"/>
  <c r="E150" i="72"/>
  <c r="F150" i="72" s="1"/>
  <c r="G151" i="72" s="1"/>
  <c r="H152" i="72" s="1"/>
  <c r="I153" i="72" s="1"/>
  <c r="J154" i="72" s="1"/>
  <c r="K155" i="72" s="1"/>
  <c r="L156" i="72" s="1"/>
  <c r="E305" i="72"/>
  <c r="F305" i="72" s="1"/>
  <c r="G29" i="72"/>
  <c r="H30" i="72" s="1"/>
  <c r="I31" i="72" s="1"/>
  <c r="J32" i="72" s="1"/>
  <c r="E58" i="72"/>
  <c r="F58" i="72" s="1"/>
  <c r="G181" i="72"/>
  <c r="H182" i="72" s="1"/>
  <c r="I183" i="72" s="1"/>
  <c r="J184" i="72" s="1"/>
  <c r="K185" i="72" s="1"/>
  <c r="L186" i="72" s="1"/>
  <c r="M187" i="72" s="1"/>
  <c r="G275" i="72"/>
  <c r="H276" i="72" s="1"/>
  <c r="I277" i="72" s="1"/>
  <c r="J278" i="72" s="1"/>
  <c r="K279" i="72" s="1"/>
  <c r="L280" i="72" s="1"/>
  <c r="G244" i="72"/>
  <c r="H245" i="72" s="1"/>
  <c r="I246" i="72" s="1"/>
  <c r="J247" i="72" s="1"/>
  <c r="K248" i="72" s="1"/>
  <c r="L249" i="72" s="1"/>
  <c r="E89" i="72"/>
  <c r="F89" i="72" s="1"/>
  <c r="G119" i="72"/>
  <c r="H120" i="72" s="1"/>
  <c r="I121" i="72" s="1"/>
  <c r="J122" i="72" s="1"/>
  <c r="K123" i="72" s="1"/>
  <c r="L124" i="72" s="1"/>
  <c r="M125" i="72" s="1"/>
  <c r="G214" i="72"/>
  <c r="H215" i="72" s="1"/>
  <c r="I216" i="72" s="1"/>
  <c r="J217" i="72" s="1"/>
  <c r="K218" i="72" s="1"/>
  <c r="E244" i="72" l="1"/>
  <c r="F244" i="72" s="1"/>
  <c r="G245" i="72" s="1"/>
  <c r="H246" i="72" s="1"/>
  <c r="I247" i="72" s="1"/>
  <c r="J248" i="72" s="1"/>
  <c r="K249" i="72" s="1"/>
  <c r="E214" i="72"/>
  <c r="F214" i="72" s="1"/>
  <c r="G215" i="72" s="1"/>
  <c r="H216" i="72" s="1"/>
  <c r="I217" i="72" s="1"/>
  <c r="J218" i="72" s="1"/>
  <c r="E275" i="72"/>
  <c r="F275" i="72" s="1"/>
  <c r="E181" i="72"/>
  <c r="F181" i="72" s="1"/>
  <c r="E151" i="72"/>
  <c r="F151" i="72" s="1"/>
  <c r="G59" i="72"/>
  <c r="H60" i="72" s="1"/>
  <c r="I61" i="72" s="1"/>
  <c r="J62" i="72" s="1"/>
  <c r="K63" i="72" s="1"/>
  <c r="E119" i="72"/>
  <c r="F119" i="72" s="1"/>
  <c r="E29" i="72"/>
  <c r="F29" i="72" s="1"/>
  <c r="G90" i="72"/>
  <c r="H91" i="72" s="1"/>
  <c r="I92" i="72" s="1"/>
  <c r="J93" i="72" s="1"/>
  <c r="K94" i="72" s="1"/>
  <c r="G306" i="72"/>
  <c r="H307" i="72" s="1"/>
  <c r="I308" i="72" s="1"/>
  <c r="J309" i="72" s="1"/>
  <c r="K310" i="72" s="1"/>
  <c r="L311" i="72" s="1"/>
  <c r="E306" i="72" l="1"/>
  <c r="F306" i="72" s="1"/>
  <c r="E90" i="72"/>
  <c r="F90" i="72" s="1"/>
  <c r="G120" i="72"/>
  <c r="H121" i="72" s="1"/>
  <c r="I122" i="72" s="1"/>
  <c r="J123" i="72" s="1"/>
  <c r="K124" i="72" s="1"/>
  <c r="L125" i="72" s="1"/>
  <c r="E59" i="72"/>
  <c r="F59" i="72" s="1"/>
  <c r="E215" i="72"/>
  <c r="F215" i="72" s="1"/>
  <c r="G152" i="72"/>
  <c r="H153" i="72" s="1"/>
  <c r="I154" i="72" s="1"/>
  <c r="J155" i="72" s="1"/>
  <c r="K156" i="72" s="1"/>
  <c r="G30" i="72"/>
  <c r="H31" i="72" s="1"/>
  <c r="I32" i="72" s="1"/>
  <c r="G182" i="72"/>
  <c r="H183" i="72" s="1"/>
  <c r="I184" i="72" s="1"/>
  <c r="J185" i="72" s="1"/>
  <c r="K186" i="72" s="1"/>
  <c r="L187" i="72" s="1"/>
  <c r="G307" i="72"/>
  <c r="H308" i="72" s="1"/>
  <c r="I309" i="72" s="1"/>
  <c r="J310" i="72" s="1"/>
  <c r="K311" i="72" s="1"/>
  <c r="G276" i="72"/>
  <c r="H277" i="72" s="1"/>
  <c r="I278" i="72" s="1"/>
  <c r="J279" i="72" s="1"/>
  <c r="K280" i="72" s="1"/>
  <c r="E245" i="72"/>
  <c r="F245" i="72" s="1"/>
  <c r="E30" i="72" l="1"/>
  <c r="F30" i="72" s="1"/>
  <c r="E152" i="72"/>
  <c r="F152" i="72" s="1"/>
  <c r="G216" i="72"/>
  <c r="H217" i="72" s="1"/>
  <c r="I218" i="72" s="1"/>
  <c r="E182" i="72"/>
  <c r="F182" i="72" s="1"/>
  <c r="G60" i="72"/>
  <c r="H61" i="72" s="1"/>
  <c r="I62" i="72" s="1"/>
  <c r="J63" i="72" s="1"/>
  <c r="G246" i="72"/>
  <c r="H247" i="72" s="1"/>
  <c r="I248" i="72" s="1"/>
  <c r="J249" i="72" s="1"/>
  <c r="E276" i="72"/>
  <c r="F276" i="72" s="1"/>
  <c r="E120" i="72"/>
  <c r="F120" i="72" s="1"/>
  <c r="E307" i="72"/>
  <c r="F307" i="72" s="1"/>
  <c r="G91" i="72"/>
  <c r="H92" i="72" s="1"/>
  <c r="I93" i="72" s="1"/>
  <c r="J94" i="72" s="1"/>
  <c r="G277" i="72" l="1"/>
  <c r="H278" i="72" s="1"/>
  <c r="I279" i="72" s="1"/>
  <c r="J280" i="72" s="1"/>
  <c r="G308" i="72"/>
  <c r="H309" i="72" s="1"/>
  <c r="I310" i="72" s="1"/>
  <c r="J311" i="72" s="1"/>
  <c r="E60" i="72"/>
  <c r="F60" i="72" s="1"/>
  <c r="G183" i="72"/>
  <c r="H184" i="72" s="1"/>
  <c r="I185" i="72" s="1"/>
  <c r="J186" i="72" s="1"/>
  <c r="K187" i="72" s="1"/>
  <c r="E216" i="72"/>
  <c r="F216" i="72" s="1"/>
  <c r="G121" i="72"/>
  <c r="H122" i="72" s="1"/>
  <c r="I123" i="72" s="1"/>
  <c r="J124" i="72" s="1"/>
  <c r="K125" i="72" s="1"/>
  <c r="E246" i="72"/>
  <c r="F246" i="72" s="1"/>
  <c r="E91" i="72"/>
  <c r="F91" i="72" s="1"/>
  <c r="G153" i="72"/>
  <c r="H154" i="72" s="1"/>
  <c r="I155" i="72" s="1"/>
  <c r="J156" i="72" s="1"/>
  <c r="G31" i="72"/>
  <c r="H32" i="72" s="1"/>
  <c r="E277" i="72" l="1"/>
  <c r="F277" i="72" s="1"/>
  <c r="E153" i="72"/>
  <c r="F153" i="72" s="1"/>
  <c r="G92" i="72"/>
  <c r="H93" i="72" s="1"/>
  <c r="I94" i="72" s="1"/>
  <c r="G247" i="72"/>
  <c r="H248" i="72" s="1"/>
  <c r="I249" i="72" s="1"/>
  <c r="E121" i="72"/>
  <c r="F121" i="72" s="1"/>
  <c r="G61" i="72"/>
  <c r="H62" i="72" s="1"/>
  <c r="I63" i="72" s="1"/>
  <c r="G217" i="72"/>
  <c r="H218" i="72" s="1"/>
  <c r="E183" i="72"/>
  <c r="F183" i="72" s="1"/>
  <c r="E31" i="72"/>
  <c r="F31" i="72" s="1"/>
  <c r="E308" i="72"/>
  <c r="F308" i="72" s="1"/>
  <c r="G278" i="72"/>
  <c r="H279" i="72" s="1"/>
  <c r="I280" i="72" s="1"/>
  <c r="G32" i="72" l="1"/>
  <c r="E32" i="72" s="1"/>
  <c r="F32" i="72" s="1"/>
  <c r="AL32" i="72" s="1"/>
  <c r="E217" i="72"/>
  <c r="F217" i="72" s="1"/>
  <c r="G218" i="72" s="1"/>
  <c r="E218" i="72" s="1"/>
  <c r="F218" i="72" s="1"/>
  <c r="G184" i="72"/>
  <c r="H185" i="72" s="1"/>
  <c r="I186" i="72" s="1"/>
  <c r="J187" i="72" s="1"/>
  <c r="E61" i="72"/>
  <c r="F61" i="72" s="1"/>
  <c r="G122" i="72"/>
  <c r="H123" i="72" s="1"/>
  <c r="I124" i="72" s="1"/>
  <c r="J125" i="72" s="1"/>
  <c r="E247" i="72"/>
  <c r="F247" i="72" s="1"/>
  <c r="E278" i="72"/>
  <c r="F278" i="72" s="1"/>
  <c r="E92" i="72"/>
  <c r="F92" i="72" s="1"/>
  <c r="G309" i="72"/>
  <c r="H310" i="72" s="1"/>
  <c r="I311" i="72" s="1"/>
  <c r="G154" i="72"/>
  <c r="H155" i="72" s="1"/>
  <c r="I156" i="72" s="1"/>
  <c r="E309" i="72" l="1"/>
  <c r="F309" i="72" s="1"/>
  <c r="G93" i="72"/>
  <c r="H94" i="72" s="1"/>
  <c r="G248" i="72"/>
  <c r="H249" i="72" s="1"/>
  <c r="E154" i="72"/>
  <c r="F154" i="72" s="1"/>
  <c r="G279" i="72"/>
  <c r="H280" i="72" s="1"/>
  <c r="E122" i="72"/>
  <c r="F122" i="72" s="1"/>
  <c r="G62" i="72"/>
  <c r="H63" i="72" s="1"/>
  <c r="E184" i="72"/>
  <c r="F184" i="72" s="1"/>
  <c r="G123" i="72" l="1"/>
  <c r="H124" i="72" s="1"/>
  <c r="I125" i="72" s="1"/>
  <c r="G185" i="72"/>
  <c r="H186" i="72" s="1"/>
  <c r="I187" i="72" s="1"/>
  <c r="E62" i="72"/>
  <c r="F62" i="72" s="1"/>
  <c r="E279" i="72"/>
  <c r="F279" i="72" s="1"/>
  <c r="G280" i="72" s="1"/>
  <c r="E280" i="72" s="1"/>
  <c r="F280" i="72" s="1"/>
  <c r="G155" i="72"/>
  <c r="H156" i="72" s="1"/>
  <c r="E248" i="72"/>
  <c r="F248" i="72" s="1"/>
  <c r="G249" i="72" s="1"/>
  <c r="E249" i="72" s="1"/>
  <c r="F249" i="72" s="1"/>
  <c r="E93" i="72"/>
  <c r="F93" i="72" s="1"/>
  <c r="G94" i="72" s="1"/>
  <c r="E94" i="72" s="1"/>
  <c r="F94" i="72" s="1"/>
  <c r="AL94" i="72" s="1"/>
  <c r="G310" i="72"/>
  <c r="H311" i="72" s="1"/>
  <c r="G63" i="72" l="1"/>
  <c r="E63" i="72" s="1"/>
  <c r="F63" i="72" s="1"/>
  <c r="AL63" i="72" s="1"/>
  <c r="E310" i="72"/>
  <c r="F310" i="72" s="1"/>
  <c r="G311" i="72" s="1"/>
  <c r="E311" i="72" s="1"/>
  <c r="F311" i="72" s="1"/>
  <c r="E155" i="72"/>
  <c r="F155" i="72" s="1"/>
  <c r="G156" i="72" s="1"/>
  <c r="E156" i="72" s="1"/>
  <c r="F156" i="72" s="1"/>
  <c r="E185" i="72"/>
  <c r="F185" i="72" s="1"/>
  <c r="E123" i="72"/>
  <c r="F123" i="72" s="1"/>
  <c r="G124" i="72" l="1"/>
  <c r="H125" i="72" s="1"/>
  <c r="G186" i="72"/>
  <c r="H187" i="72" s="1"/>
  <c r="E186" i="72" l="1"/>
  <c r="F186" i="72" s="1"/>
  <c r="G187" i="72" s="1"/>
  <c r="E187" i="72" s="1"/>
  <c r="F187" i="72" s="1"/>
  <c r="E124" i="72"/>
  <c r="F124" i="72" s="1"/>
  <c r="G125" i="72" l="1"/>
  <c r="E125" i="72" s="1"/>
  <c r="F125" i="72" s="1"/>
  <c r="F40" i="26" s="1" a="1"/>
  <c r="F40" i="26" s="1"/>
  <c r="G224" i="35" s="1"/>
  <c r="D32" i="26" a="1"/>
  <c r="D32" i="26" s="1"/>
  <c r="H195" i="35" s="1"/>
  <c r="H27" i="26" a="1"/>
  <c r="H27" i="26" s="1"/>
  <c r="H41" i="26" a="1"/>
  <c r="H41" i="26" s="1"/>
  <c r="I225" i="35" s="1"/>
  <c r="F34" i="26" a="1"/>
  <c r="F34" i="26" s="1"/>
  <c r="G218" i="35" s="1"/>
  <c r="F42" i="26" a="1"/>
  <c r="F42" i="26" s="1"/>
  <c r="G226" i="35" s="1"/>
  <c r="G40" i="26" a="1"/>
  <c r="G40" i="26" s="1"/>
  <c r="H224" i="35" s="1"/>
  <c r="G24" i="26" a="1"/>
  <c r="G24" i="26" s="1"/>
  <c r="H208" i="35" s="1"/>
  <c r="F35" i="26" a="1"/>
  <c r="F35" i="26" s="1"/>
  <c r="G37" i="26" a="1"/>
  <c r="G37" i="26" s="1"/>
  <c r="H221" i="35" s="1"/>
  <c r="H23" i="26" a="1"/>
  <c r="H23" i="26" s="1"/>
  <c r="F38" i="26" a="1"/>
  <c r="F38" i="26" s="1"/>
  <c r="G222" i="35" s="1"/>
  <c r="D29" i="26" a="1"/>
  <c r="D29" i="26" s="1"/>
  <c r="H192" i="35" s="1"/>
  <c r="F33" i="26" a="1"/>
  <c r="F33" i="26" s="1"/>
  <c r="G217" i="35" s="1"/>
  <c r="F27" i="26" a="1"/>
  <c r="F27" i="26" s="1"/>
  <c r="E27" i="26" a="1"/>
  <c r="E27" i="26" s="1"/>
  <c r="F29" i="26" a="1"/>
  <c r="F29" i="26" s="1"/>
  <c r="G213" i="35" s="1"/>
  <c r="E31" i="26" a="1"/>
  <c r="E31" i="26" s="1"/>
  <c r="G38" i="26" a="1"/>
  <c r="G38" i="26" s="1"/>
  <c r="H222" i="35" s="1"/>
  <c r="E34" i="26" a="1"/>
  <c r="E34" i="26" s="1"/>
  <c r="I197" i="35" s="1"/>
  <c r="E24" i="26" a="1"/>
  <c r="E24" i="26" s="1"/>
  <c r="I187" i="35" s="1"/>
  <c r="D25" i="26" a="1"/>
  <c r="D25" i="26" s="1"/>
  <c r="H188" i="35" s="1"/>
  <c r="D40" i="26" a="1"/>
  <c r="D40" i="26" s="1"/>
  <c r="H203" i="35" s="1"/>
  <c r="F37" i="26" a="1"/>
  <c r="F37" i="26" s="1"/>
  <c r="G221" i="35" s="1"/>
  <c r="D42" i="26" a="1"/>
  <c r="D42" i="26" s="1"/>
  <c r="H205" i="35" s="1"/>
  <c r="G39" i="26" a="1"/>
  <c r="G39" i="26" s="1"/>
  <c r="H24" i="26" a="1"/>
  <c r="H24" i="26" s="1"/>
  <c r="I208" i="35" s="1"/>
  <c r="E32" i="26" a="1"/>
  <c r="E32" i="26" s="1"/>
  <c r="I195" i="35" s="1"/>
  <c r="H38" i="26" a="1"/>
  <c r="H38" i="26" s="1"/>
  <c r="I222" i="35" s="1"/>
  <c r="H31" i="26" a="1"/>
  <c r="H31" i="26" s="1"/>
  <c r="F32" i="26" a="1"/>
  <c r="F32" i="26" s="1"/>
  <c r="G216" i="35" s="1"/>
  <c r="H36" i="26" a="1"/>
  <c r="H36" i="26" s="1"/>
  <c r="I220" i="35" s="1"/>
  <c r="E35" i="26" a="1"/>
  <c r="E35" i="26" s="1"/>
  <c r="F24" i="26" a="1"/>
  <c r="F24" i="26" s="1"/>
  <c r="G208" i="35" s="1"/>
  <c r="D37" i="26" a="1"/>
  <c r="D37" i="26" s="1"/>
  <c r="H200" i="35" s="1"/>
  <c r="F36" i="26" a="1"/>
  <c r="F36" i="26" s="1"/>
  <c r="G220" i="35" s="1"/>
  <c r="H37" i="26" a="1"/>
  <c r="H37" i="26" s="1"/>
  <c r="I221" i="35" s="1"/>
  <c r="F39" i="26" a="1"/>
  <c r="F39" i="26" s="1"/>
  <c r="E42" i="26" a="1"/>
  <c r="E42" i="26" s="1"/>
  <c r="I205" i="35" s="1"/>
  <c r="D36" i="26" a="1"/>
  <c r="D36" i="26" s="1"/>
  <c r="H199" i="35" s="1"/>
  <c r="H39" i="26" a="1"/>
  <c r="H39" i="26" s="1"/>
  <c r="D27" i="26" a="1"/>
  <c r="D27" i="26" s="1"/>
  <c r="H25" i="26" a="1"/>
  <c r="H25" i="26" s="1"/>
  <c r="I209" i="35" s="1"/>
  <c r="F23" i="26" a="1"/>
  <c r="F23" i="26" s="1"/>
  <c r="F30" i="26" a="1"/>
  <c r="F30" i="26" s="1"/>
  <c r="G214" i="35" s="1"/>
  <c r="H35" i="26" a="1"/>
  <c r="H35" i="26" s="1"/>
  <c r="D39" i="26" a="1"/>
  <c r="D39" i="26" s="1"/>
  <c r="H32" i="26" a="1"/>
  <c r="H32" i="26" s="1"/>
  <c r="I216" i="35" s="1"/>
  <c r="D33" i="26" a="1"/>
  <c r="D33" i="26" s="1"/>
  <c r="H196" i="35" s="1"/>
  <c r="D34" i="26" a="1"/>
  <c r="D34" i="26" s="1"/>
  <c r="H197" i="35" s="1"/>
  <c r="G25" i="26" a="1"/>
  <c r="G25" i="26" s="1"/>
  <c r="H209" i="35" s="1"/>
  <c r="E38" i="26" a="1"/>
  <c r="E38" i="26" s="1"/>
  <c r="I201" i="35" s="1"/>
  <c r="G26" i="26" a="1"/>
  <c r="G26" i="26" s="1"/>
  <c r="H210" i="35" s="1"/>
  <c r="D24" i="26" a="1"/>
  <c r="D24" i="26" s="1"/>
  <c r="H187" i="35" s="1"/>
  <c r="G30" i="26" a="1"/>
  <c r="G30" i="26" s="1"/>
  <c r="H214" i="35" s="1"/>
  <c r="E39" i="26" a="1"/>
  <c r="E39" i="26" s="1"/>
  <c r="E23" i="26" a="1"/>
  <c r="E23" i="26" s="1"/>
  <c r="F26" i="26" a="1"/>
  <c r="F26" i="26" s="1"/>
  <c r="G210" i="35" s="1"/>
  <c r="D23" i="26" a="1"/>
  <c r="D23" i="26" s="1"/>
  <c r="D35" i="26" a="1"/>
  <c r="D35" i="26" s="1"/>
  <c r="G31" i="26" a="1"/>
  <c r="G31" i="26" s="1"/>
  <c r="F31" i="26" a="1"/>
  <c r="F31" i="26" s="1"/>
  <c r="E26" i="26" a="1"/>
  <c r="E26" i="26" s="1"/>
  <c r="I189" i="35" s="1"/>
  <c r="E36" i="26" a="1"/>
  <c r="E36" i="26" s="1"/>
  <c r="I199" i="35" s="1"/>
  <c r="G34" i="26" a="1"/>
  <c r="G34" i="26" s="1"/>
  <c r="H218" i="35" s="1"/>
  <c r="G28" i="26" a="1"/>
  <c r="G28" i="26" s="1"/>
  <c r="H212" i="35" s="1"/>
  <c r="E41" i="26" a="1"/>
  <c r="E41" i="26" s="1"/>
  <c r="I204" i="35" s="1"/>
  <c r="G27" i="26" a="1"/>
  <c r="G27" i="26" s="1"/>
  <c r="D38" i="26" a="1"/>
  <c r="D38" i="26" s="1"/>
  <c r="H201" i="35" s="1"/>
  <c r="H30" i="26" a="1"/>
  <c r="H30" i="26" s="1"/>
  <c r="I214" i="35" s="1"/>
  <c r="G29" i="26" a="1"/>
  <c r="G29" i="26" s="1"/>
  <c r="H213" i="35" s="1"/>
  <c r="F28" i="26" a="1"/>
  <c r="F28" i="26" s="1"/>
  <c r="G212" i="35" s="1"/>
  <c r="D26" i="26" a="1"/>
  <c r="D26" i="26" s="1"/>
  <c r="H189" i="35" s="1"/>
  <c r="E28" i="26" a="1"/>
  <c r="E28" i="26" s="1"/>
  <c r="I191" i="35" s="1"/>
  <c r="E40" i="26" a="1"/>
  <c r="E40" i="26" s="1"/>
  <c r="I203" i="35" s="1"/>
  <c r="H40" i="26" a="1"/>
  <c r="H40" i="26" s="1"/>
  <c r="I224" i="35" s="1"/>
  <c r="D41" i="26" a="1"/>
  <c r="D41" i="26" s="1"/>
  <c r="H204" i="35" s="1"/>
  <c r="G32" i="26" a="1"/>
  <c r="G32" i="26" s="1"/>
  <c r="H216" i="35" s="1"/>
  <c r="G42" i="26" a="1"/>
  <c r="G42" i="26" s="1"/>
  <c r="H226" i="35" s="1"/>
  <c r="G41" i="26" a="1"/>
  <c r="G41" i="26" s="1"/>
  <c r="H225" i="35" s="1"/>
  <c r="E30" i="26" a="1"/>
  <c r="E30" i="26" s="1"/>
  <c r="I193" i="35" s="1"/>
  <c r="H29" i="26" a="1"/>
  <c r="H29" i="26" s="1"/>
  <c r="I213" i="35" s="1"/>
  <c r="H26" i="26" a="1"/>
  <c r="H26" i="26" s="1"/>
  <c r="I210" i="35" s="1"/>
  <c r="D31" i="26" a="1"/>
  <c r="D31" i="26" s="1"/>
  <c r="H42" i="26" a="1"/>
  <c r="H42" i="26" s="1"/>
  <c r="I226" i="35" s="1"/>
  <c r="AL125" i="72"/>
  <c r="AL127" i="72" s="1"/>
  <c r="H86" i="58" l="1"/>
  <c r="H86" i="41" s="1"/>
  <c r="H83" i="58"/>
  <c r="H83" i="41" s="1"/>
  <c r="H84" i="58"/>
  <c r="H84" i="41" s="1"/>
  <c r="H85" i="58"/>
  <c r="H85" i="41" s="1"/>
  <c r="I41" i="58"/>
  <c r="I39" i="58"/>
  <c r="I42" i="58"/>
  <c r="I40" i="58"/>
  <c r="H186" i="35"/>
  <c r="C50" i="26"/>
  <c r="C54" i="26"/>
  <c r="H202" i="35"/>
  <c r="I73" i="37"/>
  <c r="I74" i="37"/>
  <c r="I72" i="37"/>
  <c r="I72" i="41" s="1"/>
  <c r="I71" i="37"/>
  <c r="I84" i="37"/>
  <c r="I86" i="37"/>
  <c r="I83" i="37"/>
  <c r="I85" i="37"/>
  <c r="I207" i="35"/>
  <c r="G50" i="26"/>
  <c r="F41" i="26" a="1"/>
  <c r="F41" i="26" s="1"/>
  <c r="G225" i="35" s="1"/>
  <c r="J46" i="58"/>
  <c r="J43" i="58"/>
  <c r="J45" i="58"/>
  <c r="J44" i="58"/>
  <c r="H28" i="58"/>
  <c r="H28" i="41" s="1"/>
  <c r="H27" i="58"/>
  <c r="H27" i="41" s="1"/>
  <c r="H30" i="58"/>
  <c r="H30" i="41" s="1"/>
  <c r="H29" i="58"/>
  <c r="H29" i="41" s="1"/>
  <c r="I219" i="35"/>
  <c r="G53" i="26"/>
  <c r="H20" i="58"/>
  <c r="H20" i="41" s="1"/>
  <c r="H19" i="58"/>
  <c r="H19" i="41" s="1"/>
  <c r="H22" i="58"/>
  <c r="H22" i="41" s="1"/>
  <c r="H21" i="58"/>
  <c r="H21" i="41" s="1"/>
  <c r="I25" i="37"/>
  <c r="I24" i="37"/>
  <c r="I26" i="37"/>
  <c r="I23" i="37"/>
  <c r="I71" i="58"/>
  <c r="I73" i="58"/>
  <c r="I74" i="58"/>
  <c r="I72" i="58"/>
  <c r="G23" i="26" a="1"/>
  <c r="G23" i="26" s="1"/>
  <c r="J46" i="37"/>
  <c r="J43" i="37"/>
  <c r="J44" i="37"/>
  <c r="J44" i="41" s="1"/>
  <c r="J45" i="37"/>
  <c r="J45" i="41" s="1"/>
  <c r="I78" i="37"/>
  <c r="I76" i="37"/>
  <c r="I75" i="37"/>
  <c r="I77" i="37"/>
  <c r="I186" i="35"/>
  <c r="H45" i="58"/>
  <c r="H45" i="41" s="1"/>
  <c r="H46" i="58"/>
  <c r="H46" i="41" s="1"/>
  <c r="H44" i="58"/>
  <c r="H44" i="41" s="1"/>
  <c r="H43" i="58"/>
  <c r="H43" i="41" s="1"/>
  <c r="I198" i="35"/>
  <c r="J19" i="37"/>
  <c r="J20" i="37"/>
  <c r="J22" i="37"/>
  <c r="J21" i="37"/>
  <c r="G219" i="35"/>
  <c r="E53" i="26"/>
  <c r="H53" i="26" s="1"/>
  <c r="H28" i="26" a="1"/>
  <c r="H28" i="26" s="1"/>
  <c r="I212" i="35" s="1"/>
  <c r="J27" i="58"/>
  <c r="J28" i="58"/>
  <c r="J30" i="58"/>
  <c r="J29" i="58"/>
  <c r="I88" i="58"/>
  <c r="I89" i="58"/>
  <c r="I90" i="58"/>
  <c r="I87" i="58"/>
  <c r="H211" i="35"/>
  <c r="F51" i="26"/>
  <c r="I202" i="35"/>
  <c r="D54" i="26"/>
  <c r="J54" i="26" s="1"/>
  <c r="G207" i="35"/>
  <c r="J67" i="58"/>
  <c r="J69" i="58"/>
  <c r="J70" i="58"/>
  <c r="J68" i="58"/>
  <c r="J61" i="37"/>
  <c r="J62" i="37"/>
  <c r="J59" i="37"/>
  <c r="J60" i="37"/>
  <c r="G33" i="26" a="1"/>
  <c r="G33" i="26" s="1"/>
  <c r="H217" i="35" s="1"/>
  <c r="G35" i="26" a="1"/>
  <c r="G35" i="26" s="1"/>
  <c r="I92" i="58"/>
  <c r="I94" i="58"/>
  <c r="I93" i="58"/>
  <c r="I91" i="58"/>
  <c r="J89" i="37"/>
  <c r="J90" i="37"/>
  <c r="J87" i="37"/>
  <c r="J88" i="37"/>
  <c r="I46" i="58"/>
  <c r="I45" i="58"/>
  <c r="I44" i="58"/>
  <c r="I43" i="58"/>
  <c r="J24" i="58"/>
  <c r="J26" i="58"/>
  <c r="J25" i="58"/>
  <c r="J23" i="58"/>
  <c r="H53" i="58"/>
  <c r="H53" i="41" s="1"/>
  <c r="H52" i="58"/>
  <c r="H52" i="41" s="1"/>
  <c r="H54" i="58"/>
  <c r="H54" i="41" s="1"/>
  <c r="H51" i="58"/>
  <c r="H51" i="41" s="1"/>
  <c r="I75" i="58"/>
  <c r="I78" i="58"/>
  <c r="I77" i="58"/>
  <c r="I76" i="58"/>
  <c r="I22" i="58"/>
  <c r="I21" i="58"/>
  <c r="I19" i="58"/>
  <c r="I20" i="58"/>
  <c r="E33" i="26" a="1"/>
  <c r="E33" i="26" s="1"/>
  <c r="I196" i="35" s="1"/>
  <c r="I52" i="58"/>
  <c r="I51" i="58"/>
  <c r="I54" i="58"/>
  <c r="I53" i="58"/>
  <c r="I36" i="58"/>
  <c r="I37" i="58"/>
  <c r="I38" i="58"/>
  <c r="I35" i="58"/>
  <c r="I19" i="37"/>
  <c r="I19" i="41" s="1"/>
  <c r="I20" i="37"/>
  <c r="I22" i="37"/>
  <c r="I21" i="37"/>
  <c r="H190" i="35"/>
  <c r="I215" i="35"/>
  <c r="I194" i="35"/>
  <c r="I83" i="58"/>
  <c r="I84" i="58"/>
  <c r="I85" i="58"/>
  <c r="I86" i="58"/>
  <c r="H34" i="26" a="1"/>
  <c r="H34" i="26" s="1"/>
  <c r="I218" i="35" s="1"/>
  <c r="I88" i="37"/>
  <c r="I90" i="37"/>
  <c r="I90" i="41" s="1"/>
  <c r="I89" i="37"/>
  <c r="I89" i="41" s="1"/>
  <c r="I87" i="37"/>
  <c r="I87" i="41" s="1"/>
  <c r="I61" i="58"/>
  <c r="I60" i="58"/>
  <c r="I62" i="58"/>
  <c r="I59" i="58"/>
  <c r="I30" i="58"/>
  <c r="I29" i="58"/>
  <c r="I27" i="58"/>
  <c r="I28" i="58"/>
  <c r="I223" i="35"/>
  <c r="G54" i="26"/>
  <c r="J78" i="58"/>
  <c r="J75" i="58"/>
  <c r="J76" i="58"/>
  <c r="J77" i="58"/>
  <c r="H42" i="58"/>
  <c r="H42" i="41" s="1"/>
  <c r="H40" i="58"/>
  <c r="H40" i="41" s="1"/>
  <c r="H39" i="58"/>
  <c r="H39" i="41" s="1"/>
  <c r="H41" i="58"/>
  <c r="H41" i="41" s="1"/>
  <c r="H94" i="58"/>
  <c r="H94" i="41" s="1"/>
  <c r="H92" i="58"/>
  <c r="H92" i="41" s="1"/>
  <c r="H91" i="58"/>
  <c r="H91" i="41" s="1"/>
  <c r="H93" i="58"/>
  <c r="H93" i="41" s="1"/>
  <c r="D28" i="26" a="1"/>
  <c r="D28" i="26" s="1"/>
  <c r="H191" i="35" s="1"/>
  <c r="J86" i="58"/>
  <c r="J85" i="58"/>
  <c r="J83" i="58"/>
  <c r="J84" i="58"/>
  <c r="J70" i="37"/>
  <c r="J69" i="37"/>
  <c r="J68" i="37"/>
  <c r="J67" i="37"/>
  <c r="J67" i="41" s="1"/>
  <c r="J75" i="37"/>
  <c r="J76" i="37"/>
  <c r="J78" i="37"/>
  <c r="J77" i="37"/>
  <c r="J77" i="41" s="1"/>
  <c r="I68" i="37"/>
  <c r="I67" i="37"/>
  <c r="I70" i="37"/>
  <c r="I69" i="37"/>
  <c r="J51" i="37"/>
  <c r="J54" i="37"/>
  <c r="J52" i="37"/>
  <c r="J53" i="37"/>
  <c r="I190" i="35"/>
  <c r="H61" i="58"/>
  <c r="H61" i="41" s="1"/>
  <c r="H60" i="58"/>
  <c r="H60" i="41" s="1"/>
  <c r="H59" i="58"/>
  <c r="H59" i="41" s="1"/>
  <c r="H62" i="58"/>
  <c r="H62" i="41" s="1"/>
  <c r="E37" i="26" a="1"/>
  <c r="E37" i="26" s="1"/>
  <c r="I200" i="35" s="1"/>
  <c r="J86" i="37"/>
  <c r="J85" i="37"/>
  <c r="J83" i="37"/>
  <c r="J83" i="41" s="1"/>
  <c r="J84" i="37"/>
  <c r="J27" i="37"/>
  <c r="J28" i="37"/>
  <c r="J30" i="37"/>
  <c r="J29" i="37"/>
  <c r="I23" i="58"/>
  <c r="I26" i="58"/>
  <c r="I24" i="58"/>
  <c r="I25" i="58"/>
  <c r="J91" i="37"/>
  <c r="J93" i="37"/>
  <c r="J94" i="37"/>
  <c r="J92" i="37"/>
  <c r="J21" i="58"/>
  <c r="J22" i="58"/>
  <c r="J22" i="41" s="1"/>
  <c r="J20" i="58"/>
  <c r="J20" i="41" s="1"/>
  <c r="J19" i="58"/>
  <c r="E51" i="26"/>
  <c r="H51" i="26" s="1"/>
  <c r="G211" i="35"/>
  <c r="J88" i="58"/>
  <c r="J90" i="58"/>
  <c r="J89" i="58"/>
  <c r="J87" i="58"/>
  <c r="H33" i="26" a="1"/>
  <c r="H33" i="26" s="1"/>
  <c r="I217" i="35" s="1"/>
  <c r="J39" i="58"/>
  <c r="J41" i="58"/>
  <c r="J40" i="58"/>
  <c r="J42" i="58"/>
  <c r="J36" i="37"/>
  <c r="J37" i="37"/>
  <c r="J35" i="37"/>
  <c r="J38" i="37"/>
  <c r="G215" i="35"/>
  <c r="E52" i="26"/>
  <c r="H52" i="26" s="1"/>
  <c r="I60" i="37"/>
  <c r="I60" i="41" s="1"/>
  <c r="I59" i="37"/>
  <c r="I59" i="41" s="1"/>
  <c r="I61" i="37"/>
  <c r="I62" i="37"/>
  <c r="G223" i="35"/>
  <c r="H223" i="35"/>
  <c r="F54" i="26"/>
  <c r="H58" i="58"/>
  <c r="H58" i="41" s="1"/>
  <c r="H56" i="58"/>
  <c r="H56" i="41" s="1"/>
  <c r="H55" i="58"/>
  <c r="H55" i="41" s="1"/>
  <c r="H57" i="58"/>
  <c r="H57" i="41" s="1"/>
  <c r="I211" i="35"/>
  <c r="G36" i="26" a="1"/>
  <c r="G36" i="26" s="1"/>
  <c r="H220" i="35" s="1"/>
  <c r="I30" i="37"/>
  <c r="I28" i="37"/>
  <c r="I27" i="37"/>
  <c r="I29" i="37"/>
  <c r="H215" i="35"/>
  <c r="I57" i="37"/>
  <c r="I55" i="37"/>
  <c r="I56" i="37"/>
  <c r="I58" i="37"/>
  <c r="J71" i="58"/>
  <c r="J73" i="58"/>
  <c r="J74" i="58"/>
  <c r="J72" i="58"/>
  <c r="I91" i="37"/>
  <c r="I92" i="37"/>
  <c r="I94" i="37"/>
  <c r="I94" i="41" s="1"/>
  <c r="I93" i="37"/>
  <c r="I93" i="41" s="1"/>
  <c r="I42" i="37"/>
  <c r="I42" i="41" s="1"/>
  <c r="I41" i="37"/>
  <c r="I41" i="41" s="1"/>
  <c r="I39" i="37"/>
  <c r="I39" i="41" s="1"/>
  <c r="I40" i="37"/>
  <c r="I40" i="41" s="1"/>
  <c r="I51" i="37"/>
  <c r="I51" i="41" s="1"/>
  <c r="I52" i="37"/>
  <c r="I54" i="37"/>
  <c r="I54" i="41" s="1"/>
  <c r="I53" i="37"/>
  <c r="I53" i="41" s="1"/>
  <c r="C52" i="26"/>
  <c r="H194" i="35"/>
  <c r="H37" i="58"/>
  <c r="H37" i="41" s="1"/>
  <c r="H36" i="58"/>
  <c r="H36" i="41" s="1"/>
  <c r="H38" i="58"/>
  <c r="H38" i="41" s="1"/>
  <c r="H35" i="58"/>
  <c r="H35" i="41" s="1"/>
  <c r="C53" i="26"/>
  <c r="H198" i="35"/>
  <c r="J52" i="58"/>
  <c r="J51" i="58"/>
  <c r="J54" i="58"/>
  <c r="J53" i="58"/>
  <c r="H68" i="58"/>
  <c r="H68" i="41" s="1"/>
  <c r="H67" i="58"/>
  <c r="H67" i="41" s="1"/>
  <c r="H70" i="58"/>
  <c r="H70" i="41" s="1"/>
  <c r="H69" i="58"/>
  <c r="H69" i="41" s="1"/>
  <c r="H73" i="58"/>
  <c r="H73" i="41" s="1"/>
  <c r="H71" i="58"/>
  <c r="H71" i="41" s="1"/>
  <c r="H74" i="58"/>
  <c r="H74" i="41" s="1"/>
  <c r="H72" i="58"/>
  <c r="H72" i="41" s="1"/>
  <c r="H76" i="58"/>
  <c r="H76" i="41" s="1"/>
  <c r="H77" i="58"/>
  <c r="H77" i="41" s="1"/>
  <c r="H75" i="58"/>
  <c r="H75" i="41" s="1"/>
  <c r="H78" i="58"/>
  <c r="H78" i="41" s="1"/>
  <c r="F25" i="26" a="1"/>
  <c r="F25" i="26" s="1"/>
  <c r="G209" i="35" s="1"/>
  <c r="E25" i="26" a="1"/>
  <c r="E25" i="26" s="1"/>
  <c r="I188" i="35" s="1"/>
  <c r="E29" i="26" a="1"/>
  <c r="E29" i="26" s="1"/>
  <c r="I192" i="35" s="1"/>
  <c r="D30" i="26" a="1"/>
  <c r="D30" i="26" s="1"/>
  <c r="H193" i="35" s="1"/>
  <c r="J91" i="58"/>
  <c r="J94" i="58"/>
  <c r="J92" i="58"/>
  <c r="J93" i="58"/>
  <c r="J93" i="41" s="1"/>
  <c r="J84" i="41" l="1"/>
  <c r="J46" i="41"/>
  <c r="J76" i="41"/>
  <c r="I61" i="41"/>
  <c r="J85" i="41"/>
  <c r="J68" i="41"/>
  <c r="I52" i="41"/>
  <c r="I27" i="41"/>
  <c r="J52" i="41"/>
  <c r="J43" i="41"/>
  <c r="J78" i="41"/>
  <c r="J29" i="41"/>
  <c r="J30" i="41"/>
  <c r="J75" i="41"/>
  <c r="I28" i="41"/>
  <c r="J54" i="41"/>
  <c r="J69" i="41"/>
  <c r="J70" i="41"/>
  <c r="G51" i="26"/>
  <c r="I91" i="41"/>
  <c r="J86" i="41"/>
  <c r="H23" i="58"/>
  <c r="H23" i="41" s="1"/>
  <c r="H26" i="58"/>
  <c r="H26" i="41" s="1"/>
  <c r="H25" i="58"/>
  <c r="H25" i="41" s="1"/>
  <c r="H24" i="58"/>
  <c r="H24" i="41" s="1"/>
  <c r="H79" i="58"/>
  <c r="H79" i="41" s="1"/>
  <c r="H82" i="58"/>
  <c r="H82" i="41" s="1"/>
  <c r="H80" i="58"/>
  <c r="H80" i="41" s="1"/>
  <c r="H81" i="58"/>
  <c r="H81" i="41" s="1"/>
  <c r="D51" i="26"/>
  <c r="J51" i="26" s="1"/>
  <c r="J80" i="58"/>
  <c r="J81" i="58"/>
  <c r="J79" i="58"/>
  <c r="J82" i="58"/>
  <c r="I21" i="41"/>
  <c r="E54" i="26"/>
  <c r="H54" i="26" s="1"/>
  <c r="J28" i="41"/>
  <c r="J33" i="37"/>
  <c r="J32" i="37"/>
  <c r="J34" i="37"/>
  <c r="J31" i="37"/>
  <c r="I30" i="41"/>
  <c r="I62" i="41"/>
  <c r="J27" i="41"/>
  <c r="J53" i="41"/>
  <c r="I20" i="41"/>
  <c r="I80" i="37"/>
  <c r="I81" i="37"/>
  <c r="I82" i="37"/>
  <c r="I79" i="37"/>
  <c r="I68" i="58"/>
  <c r="I69" i="58"/>
  <c r="I67" i="58"/>
  <c r="I67" i="41" s="1"/>
  <c r="I70" i="58"/>
  <c r="I70" i="41" s="1"/>
  <c r="E50" i="26"/>
  <c r="H50" i="26" s="1"/>
  <c r="H89" i="58"/>
  <c r="H89" i="41" s="1"/>
  <c r="H88" i="58"/>
  <c r="H88" i="41" s="1"/>
  <c r="H90" i="58"/>
  <c r="H90" i="41" s="1"/>
  <c r="H87" i="58"/>
  <c r="H87" i="41" s="1"/>
  <c r="I54" i="26"/>
  <c r="J57" i="58"/>
  <c r="J58" i="58"/>
  <c r="J55" i="58"/>
  <c r="J56" i="58"/>
  <c r="H17" i="58"/>
  <c r="H18" i="58"/>
  <c r="H15" i="58"/>
  <c r="H16" i="58"/>
  <c r="F50" i="26"/>
  <c r="I50" i="26" s="1"/>
  <c r="H207" i="35"/>
  <c r="J32" i="58"/>
  <c r="J31" i="58"/>
  <c r="J33" i="58"/>
  <c r="J34" i="58"/>
  <c r="J51" i="41"/>
  <c r="J38" i="58"/>
  <c r="J36" i="58"/>
  <c r="J35" i="58"/>
  <c r="J35" i="41" s="1"/>
  <c r="J37" i="58"/>
  <c r="J18" i="58"/>
  <c r="J17" i="58"/>
  <c r="J16" i="58"/>
  <c r="J15" i="58"/>
  <c r="I18" i="37"/>
  <c r="I16" i="37"/>
  <c r="I15" i="37"/>
  <c r="I17" i="37"/>
  <c r="I63" i="37"/>
  <c r="I65" i="37"/>
  <c r="I64" i="37"/>
  <c r="I66" i="37"/>
  <c r="I58" i="58"/>
  <c r="I58" i="41" s="1"/>
  <c r="I57" i="58"/>
  <c r="I57" i="41" s="1"/>
  <c r="I55" i="58"/>
  <c r="I55" i="41" s="1"/>
  <c r="I56" i="58"/>
  <c r="I56" i="41" s="1"/>
  <c r="J82" i="37"/>
  <c r="J82" i="41" s="1"/>
  <c r="J81" i="37"/>
  <c r="J81" i="41" s="1"/>
  <c r="J79" i="37"/>
  <c r="J79" i="41" s="1"/>
  <c r="J80" i="37"/>
  <c r="J80" i="41" s="1"/>
  <c r="D50" i="26"/>
  <c r="J50" i="26" s="1"/>
  <c r="J63" i="58"/>
  <c r="J64" i="58"/>
  <c r="J66" i="58"/>
  <c r="J65" i="58"/>
  <c r="I85" i="41"/>
  <c r="J72" i="37"/>
  <c r="J72" i="41" s="1"/>
  <c r="J73" i="37"/>
  <c r="J73" i="41" s="1"/>
  <c r="J74" i="37"/>
  <c r="J74" i="41" s="1"/>
  <c r="J71" i="37"/>
  <c r="J71" i="41" s="1"/>
  <c r="D52" i="26"/>
  <c r="H66" i="58"/>
  <c r="H66" i="41" s="1"/>
  <c r="H64" i="58"/>
  <c r="H64" i="41" s="1"/>
  <c r="H63" i="58"/>
  <c r="H63" i="41" s="1"/>
  <c r="H65" i="58"/>
  <c r="H65" i="41" s="1"/>
  <c r="J18" i="37"/>
  <c r="J17" i="37"/>
  <c r="J15" i="37"/>
  <c r="J16" i="37"/>
  <c r="I83" i="41"/>
  <c r="F53" i="26"/>
  <c r="I53" i="26" s="1"/>
  <c r="H219" i="35"/>
  <c r="I69" i="41"/>
  <c r="J49" i="37"/>
  <c r="J50" i="37"/>
  <c r="J47" i="37"/>
  <c r="J48" i="37"/>
  <c r="J94" i="41"/>
  <c r="H47" i="58"/>
  <c r="H47" i="41" s="1"/>
  <c r="H49" i="58"/>
  <c r="H49" i="41" s="1"/>
  <c r="H48" i="58"/>
  <c r="H48" i="41" s="1"/>
  <c r="H50" i="58"/>
  <c r="H50" i="41" s="1"/>
  <c r="J91" i="41"/>
  <c r="J38" i="41"/>
  <c r="G52" i="26"/>
  <c r="I32" i="58"/>
  <c r="I33" i="58"/>
  <c r="I34" i="58"/>
  <c r="I31" i="58"/>
  <c r="J21" i="41"/>
  <c r="I77" i="41"/>
  <c r="I86" i="41"/>
  <c r="I46" i="37"/>
  <c r="I46" i="41" s="1"/>
  <c r="I43" i="37"/>
  <c r="I43" i="41" s="1"/>
  <c r="I45" i="37"/>
  <c r="I45" i="41" s="1"/>
  <c r="I44" i="37"/>
  <c r="I44" i="41" s="1"/>
  <c r="F52" i="26"/>
  <c r="I52" i="26" s="1"/>
  <c r="H33" i="58"/>
  <c r="H33" i="41" s="1"/>
  <c r="H31" i="58"/>
  <c r="H31" i="41" s="1"/>
  <c r="H32" i="58"/>
  <c r="H32" i="41" s="1"/>
  <c r="H34" i="58"/>
  <c r="H34" i="41" s="1"/>
  <c r="I68" i="41"/>
  <c r="J47" i="58"/>
  <c r="J50" i="58"/>
  <c r="J49" i="58"/>
  <c r="J48" i="58"/>
  <c r="J88" i="41"/>
  <c r="I75" i="41"/>
  <c r="I23" i="41"/>
  <c r="I84" i="41"/>
  <c r="J41" i="37"/>
  <c r="J41" i="41" s="1"/>
  <c r="J39" i="37"/>
  <c r="J39" i="41" s="1"/>
  <c r="J40" i="37"/>
  <c r="J40" i="41" s="1"/>
  <c r="J42" i="37"/>
  <c r="J42" i="41" s="1"/>
  <c r="I35" i="37"/>
  <c r="I35" i="41" s="1"/>
  <c r="I37" i="37"/>
  <c r="I37" i="41" s="1"/>
  <c r="I38" i="37"/>
  <c r="I38" i="41" s="1"/>
  <c r="I36" i="37"/>
  <c r="I36" i="41" s="1"/>
  <c r="C51" i="26"/>
  <c r="I51" i="26" s="1"/>
  <c r="J87" i="41"/>
  <c r="I76" i="41"/>
  <c r="I26" i="41"/>
  <c r="I71" i="41"/>
  <c r="J26" i="37"/>
  <c r="J26" i="41" s="1"/>
  <c r="J24" i="37"/>
  <c r="J24" i="41" s="1"/>
  <c r="J23" i="37"/>
  <c r="J23" i="41" s="1"/>
  <c r="J25" i="37"/>
  <c r="J25" i="41" s="1"/>
  <c r="I49" i="37"/>
  <c r="I50" i="37"/>
  <c r="I47" i="37"/>
  <c r="I48" i="37"/>
  <c r="I92" i="41"/>
  <c r="I29" i="41"/>
  <c r="I79" i="58"/>
  <c r="I80" i="58"/>
  <c r="I81" i="58"/>
  <c r="I82" i="58"/>
  <c r="J36" i="41"/>
  <c r="I32" i="37"/>
  <c r="I34" i="37"/>
  <c r="I31" i="37"/>
  <c r="I33" i="37"/>
  <c r="J90" i="41"/>
  <c r="J19" i="41"/>
  <c r="I78" i="41"/>
  <c r="I24" i="41"/>
  <c r="J37" i="41"/>
  <c r="J56" i="37"/>
  <c r="J56" i="41" s="1"/>
  <c r="J58" i="37"/>
  <c r="J58" i="41" s="1"/>
  <c r="J57" i="37"/>
  <c r="J57" i="41" s="1"/>
  <c r="J55" i="37"/>
  <c r="J55" i="41" s="1"/>
  <c r="J89" i="41"/>
  <c r="I88" i="41"/>
  <c r="D53" i="26"/>
  <c r="J53" i="26" s="1"/>
  <c r="I25" i="41"/>
  <c r="I74" i="41"/>
  <c r="I50" i="58"/>
  <c r="I49" i="58"/>
  <c r="I48" i="58"/>
  <c r="I47" i="58"/>
  <c r="J61" i="58"/>
  <c r="J61" i="41" s="1"/>
  <c r="J62" i="58"/>
  <c r="J62" i="41" s="1"/>
  <c r="J60" i="58"/>
  <c r="J60" i="41" s="1"/>
  <c r="J59" i="58"/>
  <c r="J59" i="41" s="1"/>
  <c r="I22" i="41"/>
  <c r="J66" i="37"/>
  <c r="J66" i="41" s="1"/>
  <c r="J63" i="37"/>
  <c r="J65" i="37"/>
  <c r="J65" i="41" s="1"/>
  <c r="J64" i="37"/>
  <c r="I73" i="41"/>
  <c r="J92" i="41"/>
  <c r="I34" i="41" l="1"/>
  <c r="I31" i="41"/>
  <c r="I32" i="41"/>
  <c r="J63" i="41"/>
  <c r="J64" i="41"/>
  <c r="H16" i="41"/>
  <c r="H15" i="41"/>
  <c r="H424" i="58"/>
  <c r="H424" i="41" s="1"/>
  <c r="H423" i="58"/>
  <c r="H425" i="58" s="1"/>
  <c r="H18" i="41"/>
  <c r="I65" i="58"/>
  <c r="I65" i="41" s="1"/>
  <c r="I66" i="58"/>
  <c r="I66" i="41" s="1"/>
  <c r="I63" i="58"/>
  <c r="I63" i="41" s="1"/>
  <c r="I64" i="58"/>
  <c r="I64" i="41" s="1"/>
  <c r="J52" i="26"/>
  <c r="H17" i="41"/>
  <c r="C38" i="63"/>
  <c r="J31" i="41"/>
  <c r="C18" i="63"/>
  <c r="J34" i="41"/>
  <c r="I423" i="37"/>
  <c r="I424" i="37"/>
  <c r="G98" i="66" s="1"/>
  <c r="J32" i="41"/>
  <c r="J16" i="41"/>
  <c r="I79" i="41"/>
  <c r="J33" i="41"/>
  <c r="I48" i="41"/>
  <c r="J423" i="37"/>
  <c r="J424" i="37"/>
  <c r="G146" i="66" s="1"/>
  <c r="J15" i="41"/>
  <c r="I82" i="41"/>
  <c r="I33" i="41"/>
  <c r="I47" i="41"/>
  <c r="J48" i="41"/>
  <c r="J17" i="41"/>
  <c r="C28" i="63"/>
  <c r="J423" i="58"/>
  <c r="J424" i="58"/>
  <c r="E35" i="53" s="1"/>
  <c r="F35" i="53" s="1"/>
  <c r="H29" i="53" s="1"/>
  <c r="I81" i="41"/>
  <c r="I50" i="41"/>
  <c r="J47" i="41"/>
  <c r="J18" i="41"/>
  <c r="I80" i="41"/>
  <c r="I49" i="41"/>
  <c r="J50" i="41"/>
  <c r="C58" i="63"/>
  <c r="I15" i="58"/>
  <c r="I16" i="58"/>
  <c r="I16" i="41" s="1"/>
  <c r="I17" i="58"/>
  <c r="I17" i="41" s="1"/>
  <c r="I18" i="58"/>
  <c r="J49" i="41"/>
  <c r="I425" i="37" l="1"/>
  <c r="J425" i="37"/>
  <c r="C22" i="63" s="1"/>
  <c r="E17" i="53"/>
  <c r="F17" i="53" s="1"/>
  <c r="H23" i="53" s="1"/>
  <c r="E29" i="53"/>
  <c r="F29" i="53" s="1"/>
  <c r="G29" i="53" s="1"/>
  <c r="E329" i="38" s="1"/>
  <c r="C19" i="63"/>
  <c r="C12" i="63"/>
  <c r="H425" i="41"/>
  <c r="M3" i="41" s="1"/>
  <c r="C39" i="63"/>
  <c r="C32" i="63"/>
  <c r="C29" i="63"/>
  <c r="I424" i="58"/>
  <c r="G242" i="66" s="1"/>
  <c r="G98" i="74" s="1"/>
  <c r="I423" i="58"/>
  <c r="I423" i="41" s="1"/>
  <c r="G291" i="66"/>
  <c r="E347" i="38"/>
  <c r="N291" i="66" s="1"/>
  <c r="G290" i="66"/>
  <c r="J425" i="58"/>
  <c r="J425" i="41" s="1"/>
  <c r="O3" i="41" s="1"/>
  <c r="H423" i="41"/>
  <c r="E299" i="38"/>
  <c r="N195" i="66" s="1"/>
  <c r="N51" i="74" s="1"/>
  <c r="G195" i="66"/>
  <c r="H35" i="53"/>
  <c r="G35" i="53" s="1"/>
  <c r="E341" i="38" s="1"/>
  <c r="I18" i="41"/>
  <c r="C48" i="63"/>
  <c r="J424" i="41"/>
  <c r="G147" i="66"/>
  <c r="J423" i="41"/>
  <c r="E335" i="38"/>
  <c r="N147" i="66" s="1"/>
  <c r="N147" i="74" s="1"/>
  <c r="I15" i="41"/>
  <c r="E11" i="53"/>
  <c r="F11" i="53" s="1"/>
  <c r="E311" i="38"/>
  <c r="N99" i="66" s="1"/>
  <c r="G99" i="66"/>
  <c r="G194" i="66"/>
  <c r="I425" i="58" l="1"/>
  <c r="I425" i="41" s="1"/>
  <c r="N3" i="41" s="1"/>
  <c r="I424" i="41"/>
  <c r="E23" i="53"/>
  <c r="F23" i="53" s="1"/>
  <c r="G23" i="53" s="1"/>
  <c r="E317" i="38" s="1"/>
  <c r="M290" i="66"/>
  <c r="Q290" i="66" s="1"/>
  <c r="J484" i="58"/>
  <c r="G51" i="74"/>
  <c r="O195" i="66"/>
  <c r="G147" i="74"/>
  <c r="O147" i="66"/>
  <c r="G50" i="74"/>
  <c r="C59" i="63"/>
  <c r="C52" i="63"/>
  <c r="O291" i="66"/>
  <c r="O99" i="66"/>
  <c r="G146" i="74"/>
  <c r="E323" i="38"/>
  <c r="N243" i="66" s="1"/>
  <c r="N99" i="74" s="1"/>
  <c r="G243" i="66"/>
  <c r="G99" i="74" s="1"/>
  <c r="H5" i="53"/>
  <c r="G5" i="53" s="1"/>
  <c r="E281" i="38" s="1"/>
  <c r="G11" i="53"/>
  <c r="E293" i="38" s="1"/>
  <c r="J484" i="37"/>
  <c r="M146" i="66"/>
  <c r="J484" i="41" l="1"/>
  <c r="H17" i="53"/>
  <c r="G17" i="53" s="1"/>
  <c r="E305" i="38" s="1"/>
  <c r="I484" i="37" s="1"/>
  <c r="C49" i="63"/>
  <c r="C42" i="63"/>
  <c r="M242" i="66"/>
  <c r="I484" i="58"/>
  <c r="O243" i="66"/>
  <c r="Z147" i="66"/>
  <c r="AA147" i="66"/>
  <c r="AA291" i="66"/>
  <c r="Z291" i="66"/>
  <c r="M50" i="66"/>
  <c r="H484" i="37"/>
  <c r="AC147" i="74"/>
  <c r="AD147" i="74" s="1"/>
  <c r="O147" i="74"/>
  <c r="AA195" i="66"/>
  <c r="Z51" i="66"/>
  <c r="AA51" i="66"/>
  <c r="Z195" i="66"/>
  <c r="O51" i="74"/>
  <c r="AC51" i="74"/>
  <c r="AD51" i="74" s="1"/>
  <c r="AC99" i="74"/>
  <c r="AD99" i="74" s="1"/>
  <c r="O99" i="74"/>
  <c r="M146" i="74"/>
  <c r="Q146" i="74" s="1"/>
  <c r="Q146" i="66"/>
  <c r="O146" i="66"/>
  <c r="Z243" i="66"/>
  <c r="Z99" i="66"/>
  <c r="AA99" i="66"/>
  <c r="AA243" i="66"/>
  <c r="M194" i="66"/>
  <c r="H484" i="58"/>
  <c r="O290" i="66"/>
  <c r="P290" i="66" l="1"/>
  <c r="V290" i="66" s="1"/>
  <c r="M98" i="66"/>
  <c r="M98" i="74" s="1"/>
  <c r="S50" i="66"/>
  <c r="U50" i="66" s="1"/>
  <c r="Q50" i="66"/>
  <c r="W50" i="66" s="1"/>
  <c r="Y50" i="66" s="1"/>
  <c r="O50" i="66"/>
  <c r="M50" i="74"/>
  <c r="Z99" i="74"/>
  <c r="AA99" i="74"/>
  <c r="Z51" i="74"/>
  <c r="AA51" i="74"/>
  <c r="AC146" i="74"/>
  <c r="O146" i="74"/>
  <c r="Q194" i="66"/>
  <c r="W194" i="66" s="1"/>
  <c r="Y194" i="66" s="1"/>
  <c r="S194" i="66"/>
  <c r="U194" i="66" s="1"/>
  <c r="O194" i="66"/>
  <c r="P194" i="66" s="1"/>
  <c r="Z290" i="66"/>
  <c r="AA146" i="66"/>
  <c r="AA290" i="66"/>
  <c r="Z146" i="66"/>
  <c r="P146" i="66"/>
  <c r="AA147" i="74"/>
  <c r="Z147" i="74"/>
  <c r="Q242" i="66"/>
  <c r="O242" i="66"/>
  <c r="H484" i="41"/>
  <c r="I484" i="41"/>
  <c r="R290" i="66" l="1"/>
  <c r="S290" i="66" s="1"/>
  <c r="U290" i="66" s="1"/>
  <c r="W290" i="66"/>
  <c r="Y290" i="66" s="1"/>
  <c r="O98" i="66"/>
  <c r="AA242" i="66" s="1"/>
  <c r="Q98" i="66"/>
  <c r="P146" i="74"/>
  <c r="AA146" i="74"/>
  <c r="Z146" i="74"/>
  <c r="D10" i="77"/>
  <c r="D13" i="77" s="1"/>
  <c r="AD146" i="74"/>
  <c r="AF3" i="74" s="1"/>
  <c r="R146" i="66"/>
  <c r="S146" i="66" s="1"/>
  <c r="U146" i="66" s="1"/>
  <c r="V146" i="66"/>
  <c r="W146" i="66"/>
  <c r="Y146" i="66" s="1"/>
  <c r="Q50" i="74"/>
  <c r="W50" i="74" s="1"/>
  <c r="Y50" i="74" s="1"/>
  <c r="S50" i="74"/>
  <c r="U50" i="74" s="1"/>
  <c r="AC50" i="74"/>
  <c r="O50" i="74"/>
  <c r="V194" i="66"/>
  <c r="R194" i="66"/>
  <c r="Z194" i="66"/>
  <c r="AA50" i="66"/>
  <c r="Z50" i="66"/>
  <c r="AA194" i="66"/>
  <c r="P50" i="66"/>
  <c r="Q98" i="74"/>
  <c r="AC98" i="74"/>
  <c r="AD98" i="74" s="1"/>
  <c r="AF2" i="74" s="1"/>
  <c r="O98" i="74"/>
  <c r="P242" i="66" l="1"/>
  <c r="R242" i="66" s="1"/>
  <c r="S242" i="66" s="1"/>
  <c r="U242" i="66" s="1"/>
  <c r="Z242" i="66"/>
  <c r="Z98" i="66"/>
  <c r="AA98" i="66"/>
  <c r="P98" i="66"/>
  <c r="V98" i="66" s="1"/>
  <c r="R50" i="66"/>
  <c r="V50" i="66"/>
  <c r="W146" i="74"/>
  <c r="Y146" i="74" s="1"/>
  <c r="V146" i="74"/>
  <c r="R146" i="74"/>
  <c r="S146" i="74" s="1"/>
  <c r="U146" i="74" s="1"/>
  <c r="AA50" i="74"/>
  <c r="P50" i="74"/>
  <c r="Z50" i="74"/>
  <c r="AD50" i="74"/>
  <c r="AF1" i="74" s="1"/>
  <c r="C10" i="77"/>
  <c r="C13" i="77" s="1"/>
  <c r="AA98" i="74"/>
  <c r="P98" i="74"/>
  <c r="Z98" i="74"/>
  <c r="V242" i="66" l="1"/>
  <c r="W242" i="66"/>
  <c r="Y242" i="66" s="1"/>
  <c r="R98" i="66"/>
  <c r="S98" i="66" s="1"/>
  <c r="U98" i="66" s="1"/>
  <c r="W98" i="66"/>
  <c r="Y98" i="66" s="1"/>
  <c r="V50" i="74"/>
  <c r="R50" i="74"/>
  <c r="W98" i="74"/>
  <c r="Y98" i="74" s="1"/>
  <c r="R98" i="74"/>
  <c r="S98" i="74" s="1"/>
  <c r="U98" i="74" s="1"/>
  <c r="V98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<sst xmlns="http://schemas.openxmlformats.org/spreadsheetml/2006/main" count="5062" uniqueCount="416">
  <si>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</si>
  <si>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</si>
  <si>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</si>
  <si>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</si>
  <si>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</si>
  <si>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</si>
  <si>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</si>
  <si>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</si>
  <si>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</si>
  <si>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</si>
  <si>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</si>
  <si>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</si>
  <si>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</si>
  <si>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</si>
  <si>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</si>
  <si>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</si>
  <si>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</si>
  <si>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</si>
  <si>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</si>
  <si>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</si>
  <si>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</si>
  <si>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</si>
  <si>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</si>
  <si>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</si>
  <si>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</si>
  <si>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</si>
  <si>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</si>
  <si>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</si>
  <si>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</si>
  <si>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</si>
  <si>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</si>
  <si>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</si>
  <si>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</si>
  <si>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</si>
  <si>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</si>
  <si>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</si>
  <si>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</si>
  <si>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</si>
  <si>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</si>
  <si>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</si>
  <si>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</si>
  <si>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</si>
  <si>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</si>
  <si>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</si>
  <si>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</si>
  <si>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</si>
  <si>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</si>
  <si>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</si>
  <si>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</si>
  <si>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</si>
  <si>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</si>
  <si>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</si>
  <si>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</si>
  <si>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</si>
  <si>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</si>
  <si>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</si>
  <si>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</si>
  <si>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</si>
  <si>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</si>
  <si>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</si>
  <si>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</si>
  <si>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</si>
  <si>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</si>
  <si>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</si>
  <si>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</si>
  <si>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</si>
  <si>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</si>
  <si>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</si>
  <si>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</si>
  <si>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</si>
  <si>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</si>
  <si>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</si>
  <si>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</si>
  <si>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</si>
  <si>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</si>
  <si>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</si>
  <si>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</si>
  <si>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</si>
  <si>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</si>
  <si>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</si>
  <si>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</si>
  <si>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</si>
  <si>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</si>
  <si>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</si>
  <si>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</si>
  <si>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</si>
  <si>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</si>
  <si>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</si>
  <si>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</si>
  <si>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</si>
  <si>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</si>
  <si>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</si>
  <si>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</si>
  <si>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</si>
  <si>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</si>
  <si>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</si>
  <si>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</si>
  <si>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</si>
  <si>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</si>
  <si>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</si>
  <si>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</si>
  <si>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</si>
  <si>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</si>
  <si>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</si>
  <si>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</si>
  <si>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</si>
  <si>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</si>
  <si>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</si>
  <si>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</si>
  <si>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</si>
  <si>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</si>
  <si>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</si>
  <si>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</si>
  <si>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</si>
  <si>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</si>
  <si>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</si>
  <si>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</si>
  <si>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</si>
  <si>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</si>
  <si>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</si>
  <si>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</si>
  <si>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</si>
  <si>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</si>
  <si>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</si>
  <si>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</si>
  <si>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</si>
  <si>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</si>
  <si>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</si>
  <si>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</si>
  <si>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</si>
  <si>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</si>
  <si>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</si>
  <si>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</si>
  <si>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</si>
  <si>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</si>
  <si>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</si>
  <si>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</si>
  <si>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</si>
  <si>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</si>
  <si>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</si>
  <si>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</si>
  <si>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</si>
  <si>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</si>
  <si>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</si>
  <si>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</si>
  <si>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</si>
  <si>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</si>
  <si>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</si>
  <si>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</si>
  <si>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</si>
  <si>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</si>
  <si>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</si>
  <si>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</si>
  <si>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</si>
  <si>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</si>
  <si>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</si>
  <si>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</si>
  <si>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</si>
  <si>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</si>
  <si>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</si>
  <si>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</si>
  <si>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</si>
  <si>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</si>
  <si>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</si>
  <si>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</si>
  <si>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</si>
  <si>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</si>
  <si>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</si>
  <si>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</si>
  <si>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</si>
  <si>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</si>
  <si>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</si>
  <si>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</si>
  <si>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</si>
  <si>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</si>
  <si>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</si>
  <si>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</si>
  <si>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</si>
  <si>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</si>
  <si>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</si>
  <si>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</si>
  <si>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</si>
  <si>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</si>
  <si>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</si>
  <si>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</si>
  <si>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</si>
  <si>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</si>
  <si>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</si>
  <si>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</si>
  <si>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</si>
  <si>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</si>
  <si>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</si>
  <si>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</si>
  <si>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</si>
  <si>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</si>
  <si>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</si>
  <si>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</si>
  <si>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</si>
  <si>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</si>
  <si>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</si>
  <si>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</si>
  <si>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</si>
  <si>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</si>
  <si>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</si>
  <si>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</si>
  <si>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</si>
  <si>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</si>
  <si>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</si>
  <si>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</si>
  <si>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</si>
  <si>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</si>
  <si>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</si>
  <si>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</si>
  <si>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</si>
  <si>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</si>
  <si>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</si>
  <si>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</si>
  <si>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</si>
  <si>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</si>
  <si>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</si>
  <si>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</si>
  <si>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</si>
  <si>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</si>
  <si>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</si>
  <si>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</si>
  <si>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</si>
  <si>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</si>
  <si>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</si>
  <si>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</si>
  <si>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</si>
  <si>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</si>
  <si>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</si>
  <si>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</si>
  <si>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</si>
  <si>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</si>
  <si>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</si>
  <si>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</si>
  <si>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</si>
  <si>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</si>
  <si>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</si>
  <si>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</si>
  <si>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</si>
  <si>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</si>
  <si>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</si>
  <si>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</si>
  <si>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</si>
  <si>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</si>
  <si>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</si>
  <si>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</si>
  <si>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</si>
  <si>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</si>
  <si>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</si>
  <si>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</si>
  <si>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</si>
  <si>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</si>
  <si>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</si>
  <si>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</si>
  <si>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</si>
  <si>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</si>
  <si>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</si>
  <si>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</si>
  <si>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</si>
  <si>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</si>
  <si>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</si>
  <si>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</si>
  <si>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</si>
  <si>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</si>
  <si>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</si>
  <si>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</si>
  <si>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</si>
  <si>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</si>
  <si>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</si>
  <si>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</si>
  <si>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</si>
  <si>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</si>
  <si>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</si>
  <si>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</si>
  <si>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</si>
  <si>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</si>
  <si>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</si>
  <si>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</si>
  <si>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</si>
  <si>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</si>
  <si>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</si>
  <si>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</si>
  <si>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</si>
  <si>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</si>
  <si>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</si>
  <si>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</si>
  <si>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</si>
  <si>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</si>
  <si>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</si>
  <si>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</si>
  <si>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</si>
  <si>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</si>
  <si>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</si>
  <si>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</si>
  <si>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</si>
  <si>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</si>
  <si>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</si>
  <si>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</si>
  <si>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</si>
  <si>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</si>
  <si>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</si>
  <si>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</si>
  <si>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</si>
  <si>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</si>
  <si>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</si>
  <si>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</si>
  <si>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</si>
  <si>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</si>
  <si>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</si>
  <si>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</si>
  <si>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</si>
  <si>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</si>
  <si>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</si>
  <si>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</si>
  <si>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</si>
  <si>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</si>
  <si>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</si>
  <si>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</si>
  <si>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</si>
  <si>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</si>
  <si>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</si>
  <si>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</si>
  <si>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</si>
  <si>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</si>
  <si>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</si>
  <si>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</si>
  <si>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</si>
  <si>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</si>
  <si>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</si>
  <si>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</si>
  <si>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</si>
  <si>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</si>
  <si>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</si>
  <si>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</si>
  <si>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</si>
  <si>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</si>
  <si>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</si>
  <si>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</si>
  <si>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</si>
  <si>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</si>
  <si>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Cereals - excluding beer</t>
  </si>
  <si>
    <t>Starchy roots</t>
  </si>
  <si>
    <t>Sugar crops</t>
  </si>
  <si>
    <t>Sugar &amp; sweeteners</t>
  </si>
  <si>
    <t>Pulses</t>
  </si>
  <si>
    <t>Treenuts</t>
  </si>
  <si>
    <t>Oilcrops</t>
  </si>
  <si>
    <t>Vegetable oils</t>
  </si>
  <si>
    <t>Vegetables</t>
  </si>
  <si>
    <t>Fruits - excluding wine</t>
  </si>
  <si>
    <t>Stimulants</t>
  </si>
  <si>
    <t>Spices</t>
  </si>
  <si>
    <t>Alcoholic beverages</t>
  </si>
  <si>
    <t>Meat</t>
  </si>
  <si>
    <t>Offals</t>
  </si>
  <si>
    <t>Animal fats</t>
  </si>
  <si>
    <t>Eggs</t>
  </si>
  <si>
    <t>Milk - excluding butter</t>
  </si>
  <si>
    <t>Fish, seafood</t>
  </si>
  <si>
    <t>Aquatic products, other</t>
  </si>
  <si>
    <t>Miscellaneous</t>
  </si>
  <si>
    <t>Nødder</t>
  </si>
  <si>
    <t>Stimulanter</t>
  </si>
  <si>
    <t>Krydderier</t>
  </si>
  <si>
    <t>Fisk mm</t>
  </si>
  <si>
    <t>Olieafgrøder</t>
  </si>
  <si>
    <t>Model</t>
  </si>
  <si>
    <t>Gruppe</t>
  </si>
  <si>
    <t>billion kcal</t>
  </si>
  <si>
    <t>kcal</t>
  </si>
  <si>
    <t>ton</t>
  </si>
  <si>
    <t>https://static-curis.ku.dk/portal/files/209323723/IFRO_Udredning_2016_30.pdf</t>
  </si>
  <si>
    <t>kton</t>
  </si>
  <si>
    <t>Slagtesvin</t>
  </si>
  <si>
    <t>Slagtefjerkræ</t>
  </si>
  <si>
    <t>Slagtekøer</t>
  </si>
  <si>
    <t>Produceret</t>
  </si>
  <si>
    <t>Total domestic supply</t>
  </si>
  <si>
    <t>År i modellen</t>
  </si>
  <si>
    <t>Ton</t>
  </si>
  <si>
    <t>Billion kcal</t>
  </si>
  <si>
    <t>Malkeko</t>
  </si>
  <si>
    <t>Reduktion</t>
  </si>
  <si>
    <t>Antal køer i 2050</t>
  </si>
  <si>
    <t>Øvrig kvæg</t>
  </si>
  <si>
    <t>Antal køer i 2019</t>
  </si>
  <si>
    <t>Andel i 2050</t>
  </si>
  <si>
    <t>Andel i 2019</t>
  </si>
  <si>
    <t>Landbrug til vådområder (ikke organogene jorde)</t>
  </si>
  <si>
    <t>Græs på arealerne</t>
  </si>
  <si>
    <t>Flerårige afgrøder</t>
  </si>
  <si>
    <t>Areal-græs</t>
  </si>
  <si>
    <t>Produktivitet</t>
  </si>
  <si>
    <t>*Mine antagelser - bør opdateres</t>
  </si>
  <si>
    <t>Areal-korn</t>
  </si>
  <si>
    <t>Areal-grøntsager</t>
  </si>
  <si>
    <t>Areal-kartofler</t>
  </si>
  <si>
    <t>Areal-bælgsæd</t>
  </si>
  <si>
    <t>Areal-roer</t>
  </si>
  <si>
    <t>Areal-frugt</t>
  </si>
  <si>
    <t>Areal-øvrige</t>
  </si>
  <si>
    <t>Areal-majs</t>
  </si>
  <si>
    <t>Areal-raps</t>
  </si>
  <si>
    <t>Areal-frøgræs</t>
  </si>
  <si>
    <t>Areal-juletræer</t>
  </si>
  <si>
    <t>Areal-pil-poppel</t>
  </si>
  <si>
    <t>Areal-permanent græs</t>
  </si>
  <si>
    <t>Justeringsfaktor emissioner</t>
  </si>
  <si>
    <t>Fordøjelse</t>
  </si>
  <si>
    <t>Gødningshåndtering</t>
  </si>
  <si>
    <t>Procentdel af emission herfra</t>
  </si>
  <si>
    <t>Lattergas</t>
  </si>
  <si>
    <t>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</si>
</sst>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  <numFmt numFmtId="176" formatCode="#,##0.000"/>
    <numFmt numFmtId="177" formatCode="0.000000000000000%"/>
    <numFmt numFmtId="178" formatCode="0.0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7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0" fontId="18" fillId="0" borderId="0" xfId="11"/>
    <xf numFmtId="3" fontId="0" fillId="14" borderId="6" xfId="5" applyNumberFormat="1" applyFont="1" applyFill="1" applyBorder="1"/>
    <xf numFmtId="3" fontId="0" fillId="14" borderId="0" xfId="5" applyNumberFormat="1" applyFont="1" applyFill="1" applyBorder="1"/>
    <xf numFmtId="3" fontId="0" fillId="14" borderId="7" xfId="5" applyNumberFormat="1" applyFont="1" applyFill="1" applyBorder="1"/>
    <xf numFmtId="3" fontId="0" fillId="0" borderId="15" xfId="0" applyNumberFormat="1" applyBorder="1"/>
    <xf numFmtId="176" fontId="0" fillId="0" borderId="16" xfId="0" applyNumberFormat="1" applyBorder="1"/>
    <xf numFmtId="176" fontId="0" fillId="0" borderId="7" xfId="0" applyNumberFormat="1" applyBorder="1"/>
    <xf numFmtId="176" fontId="0" fillId="0" borderId="17" xfId="0" applyNumberFormat="1" applyBorder="1"/>
    <xf numFmtId="3" fontId="0" fillId="0" borderId="16" xfId="0" applyNumberFormat="1" applyBorder="1"/>
    <xf numFmtId="3" fontId="0" fillId="0" borderId="59" xfId="0" applyNumberFormat="1" applyBorder="1"/>
    <xf numFmtId="3" fontId="0" fillId="0" borderId="60" xfId="0" applyNumberFormat="1" applyBorder="1"/>
    <xf numFmtId="3" fontId="0" fillId="0" borderId="33" xfId="0" applyNumberFormat="1" applyBorder="1"/>
    <xf numFmtId="176" fontId="0" fillId="0" borderId="59" xfId="0" applyNumberFormat="1" applyBorder="1"/>
    <xf numFmtId="176" fontId="0" fillId="0" borderId="60" xfId="0" applyNumberFormat="1" applyBorder="1"/>
    <xf numFmtId="176" fontId="0" fillId="0" borderId="33" xfId="0" applyNumberFormat="1" applyBorder="1"/>
    <xf numFmtId="3" fontId="0" fillId="0" borderId="61" xfId="0" applyNumberFormat="1" applyBorder="1"/>
    <xf numFmtId="3" fontId="0" fillId="0" borderId="62" xfId="0" applyNumberFormat="1" applyBorder="1"/>
    <xf numFmtId="3" fontId="0" fillId="0" borderId="35" xfId="0" applyNumberFormat="1" applyBorder="1"/>
    <xf numFmtId="176" fontId="0" fillId="0" borderId="63" xfId="0" applyNumberFormat="1" applyBorder="1"/>
    <xf numFmtId="176" fontId="0" fillId="0" borderId="64" xfId="0" applyNumberFormat="1" applyBorder="1"/>
    <xf numFmtId="176" fontId="0" fillId="0" borderId="65" xfId="0" applyNumberFormat="1" applyBorder="1"/>
    <xf numFmtId="167" fontId="0" fillId="3" borderId="1" xfId="0" applyNumberFormat="1" applyFill="1" applyBorder="1"/>
    <xf numFmtId="167" fontId="0" fillId="14" borderId="1" xfId="2" applyNumberFormat="1" applyFont="1" applyFill="1" applyBorder="1"/>
    <xf numFmtId="167" fontId="0" fillId="10" borderId="1" xfId="0" applyNumberFormat="1" applyFill="1" applyBorder="1"/>
    <xf numFmtId="9" fontId="0" fillId="3" borderId="0" xfId="0" applyNumberFormat="1" applyFill="1"/>
    <xf numFmtId="167" fontId="0" fillId="14" borderId="0" xfId="2" applyNumberFormat="1" applyFont="1" applyFill="1" applyBorder="1"/>
    <xf numFmtId="177" fontId="0" fillId="2" borderId="0" xfId="0" applyNumberFormat="1" applyFill="1"/>
    <xf numFmtId="9" fontId="0" fillId="0" borderId="0" xfId="0" applyNumberFormat="1"/>
    <xf numFmtId="9" fontId="0" fillId="0" borderId="1" xfId="0" applyNumberFormat="1" applyBorder="1"/>
    <xf numFmtId="178" fontId="0" fillId="0" borderId="0" xfId="0" applyNumberFormat="1"/>
    <xf numFmtId="1" fontId="0" fillId="3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pivotCacheDefinition" Target="pivotCache/pivotCacheDefinition6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4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pivotCacheDefinition" Target="pivotCache/pivotCacheDefinition7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8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2357744.0740740737</c:v>
                </c:pt>
                <c:pt idx="2">
                  <c:v>1958670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601515.92592592584</c:v>
                </c:pt>
                <c:pt idx="2">
                  <c:v>875590.00000000012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4155505.2570030689</c:v>
                </c:pt>
                <c:pt idx="2">
                  <c:v>443070.84862270928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7369960.2910637064</c:v>
                </c:pt>
                <c:pt idx="2">
                  <c:v>3529358.6806623335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-2123333.884788854</c:v>
                </c:pt>
                <c:pt idx="2">
                  <c:v>-3088495.2895071078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-344700.06956241012</c:v>
                </c:pt>
                <c:pt idx="2">
                  <c:v>-19500.172409126408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-126032.53694086988</c:v>
                </c:pt>
                <c:pt idx="2">
                  <c:v>-551037.53311620932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8931240.6195746418</c:v>
                </c:pt>
                <c:pt idx="2">
                  <c:v>313238.09705260006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243161.64195310054</c:v>
                </c:pt>
                <c:pt idx="2">
                  <c:v>487484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113048.17422078672</c:v>
                </c:pt>
                <c:pt idx="2">
                  <c:v>272007.40559841489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365230.68050764938</c:v>
                </c:pt>
                <c:pt idx="2">
                  <c:v>487484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58535.371458949026</c:v>
                </c:pt>
                <c:pt idx="2">
                  <c:v>126035.68080385611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17261.901103033066</c:v>
                </c:pt>
                <c:pt idx="2">
                  <c:v>14794.037636208201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50167.676826770279</c:v>
                </c:pt>
                <c:pt idx="2">
                  <c:v>42698.301890549148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832982.16801695561</c:v>
                </c:pt>
                <c:pt idx="2">
                  <c:v>97496.799999999988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108000.23540961105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41551.771304393085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214030.76587929804</c:v>
                </c:pt>
                <c:pt idx="2">
                  <c:v>292490.40000000002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30065.125187418707</c:v>
                </c:pt>
                <c:pt idx="2">
                  <c:v>26259.617305594744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174138.6393081928</c:v>
                </c:pt>
                <c:pt idx="2">
                  <c:v>8733.9999999999964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46702.542592572347</c:v>
                </c:pt>
                <c:pt idx="2">
                  <c:v>103185.75676537695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62867.380305343104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30.051427762336345</c:v>
                </c:pt>
                <c:pt idx="2">
                  <c:v>28.329415690596107</c:v>
                </c:pt>
                <c:pt idx="3">
                  <c:v>7.483154704207001</c:v>
                </c:pt>
                <c:pt idx="4">
                  <c:v>4.7038617898251704</c:v>
                </c:pt>
                <c:pt idx="5">
                  <c:v>3.1151113645169533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13.021072877168645</c:v>
                </c:pt>
                <c:pt idx="2">
                  <c:v>#N/A</c:v>
                </c:pt>
                <c:pt idx="3">
                  <c:v>1.420171986175</c:v>
                </c:pt>
                <c:pt idx="4">
                  <c:v>0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26.959344980881699</c:v>
                </c:pt>
                <c:pt idx="2">
                  <c:v>8.9168233956715746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0.67264123809073706</c:v>
                </c:pt>
                <c:pt idx="2">
                  <c:v>8.803169600360175E-2</c:v>
                </c:pt>
                <c:pt idx="3">
                  <c:v>5.0922829580050024</c:v>
                </c:pt>
                <c:pt idx="4">
                  <c:v>11.088836060689401</c:v>
                </c:pt>
                <c:pt idx="5">
                  <c:v>1.6129599877402425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10.774713450429996</c:v>
                </c:pt>
                <c:pt idx="2">
                  <c:v>9.6910796059277224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63.179698095321122</c:v>
                </c:pt>
                <c:pt idx="2">
                  <c:v>75.090056482812983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1423123.6689063776</c:v>
                </c:pt>
                <c:pt idx="2">
                  <c:v>1152111.3881136673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1038872.1779058403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2289301.0767938984</c:v>
                </c:pt>
                <c:pt idx="2">
                  <c:v>733305.13727055886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1590924.1512438636</c:v>
                </c:pt>
                <c:pt idx="2">
                  <c:v>240537.94155021981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1907059.7755079945</c:v>
                </c:pt>
                <c:pt idx="2">
                  <c:v>2189071.7243205421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328844.55006595154</c:v>
                </c:pt>
                <c:pt idx="5">
                  <c:v>125649.85975467187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1507536.473164652</c:v>
                </c:pt>
                <c:pt idx="2">
                  <c:v>591894.98801768455</c:v>
                </c:pt>
                <c:pt idx="15">
                  <c:v>823764.99285714305</c:v>
                </c:pt>
                <c:pt idx="16">
                  <c:v>190236.74542315846</c:v>
                </c:pt>
                <c:pt idx="17">
                  <c:v>24897.170130902599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5243.8354838709674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1747.9451612903224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11746140.28501403</c:v>
                </c:pt>
                <c:pt idx="5">
                  <c:v>2351900.9893273683</c:v>
                </c:pt>
                <c:pt idx="18">
                  <c:v>0</c:v>
                </c:pt>
                <c:pt idx="19">
                  <c:v>16009895.94584495</c:v>
                </c:pt>
                <c:pt idx="20">
                  <c:v>6792575.6108905366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607360.32556256372</c:v>
                </c:pt>
                <c:pt idx="5">
                  <c:v>91437.297709456223</c:v>
                </c:pt>
                <c:pt idx="9">
                  <c:v>1895494.5192748301</c:v>
                </c:pt>
                <c:pt idx="10">
                  <c:v>1764218.4658457276</c:v>
                </c:pt>
                <c:pt idx="11">
                  <c:v>862711.9262006575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2447330.882355039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2979931.8331903741</c:v>
                </c:pt>
                <c:pt idx="5">
                  <c:v>0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7815388.6642841548</c:v>
                </c:pt>
                <c:pt idx="2">
                  <c:v>662677.13341306173</c:v>
                </c:pt>
                <c:pt idx="15">
                  <c:v>9696490.333333334</c:v>
                </c:pt>
                <c:pt idx="16">
                  <c:v>2605129.5547613851</c:v>
                </c:pt>
                <c:pt idx="17">
                  <c:v>73630.792601451278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768253.03394150757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962027.98664553557</c:v>
                </c:pt>
                <c:pt idx="23">
                  <c:v>865274.96481497539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660847.44577433064</c:v>
                </c:pt>
                <c:pt idx="5">
                  <c:v>99489.713266720035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30966.227491022946</c:v>
                </c:pt>
                <c:pt idx="5">
                  <c:v>4661.92479631063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0">
                  <c:v>2668834</c:v>
                </c:pt>
                <c:pt idx="1">
                  <c:v>2747430.5145796794</c:v>
                </c:pt>
                <c:pt idx="2">
                  <c:v>2842137.0165491202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9013613.7096774187</c:v>
                </c:pt>
                <c:pt idx="2">
                  <c:v>0</c:v>
                </c:pt>
                <c:pt idx="15">
                  <c:v>14742130.666666664</c:v>
                </c:pt>
                <c:pt idx="16">
                  <c:v>3004537.9032258061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1169185.1597315338</c:v>
                </c:pt>
                <c:pt idx="11">
                  <c:v>1753629.766003873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2874839.9680931582</c:v>
                </c:pt>
                <c:pt idx="11">
                  <c:v>2954639.3356608618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3">
                  <c:v>0</c:v>
                </c:pt>
                <c:pt idx="4">
                  <c:v>5508729.3693827838</c:v>
                </c:pt>
                <c:pt idx="5">
                  <c:v>2336288.8054452171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2676396.5881159487</c:v>
                </c:pt>
                <c:pt idx="5">
                  <c:v>1135524.3188963511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0">
                  <c:v>0</c:v>
                </c:pt>
                <c:pt idx="1">
                  <c:v>5867453.3160588881</c:v>
                </c:pt>
                <c:pt idx="2">
                  <c:v>2987286.3954279986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210917.49793923233</c:v>
                </c:pt>
                <c:pt idx="5">
                  <c:v>43445.395141640969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ED-49C5-874E-A8A86214B0B8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307848.95572657138</c:v>
                </c:pt>
                <c:pt idx="11">
                  <c:v>276887.98874079209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ED-49C5-874E-A8A86214B0B8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792057.93807476689</c:v>
                </c:pt>
                <c:pt idx="14">
                  <c:v>859926.76116467617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ED-49C5-874E-A8A86214B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2099837.9038328696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15948.642449825478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1496936.4422776406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4-4B60-A9ED-787A209D60D9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11409.505771004668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B1-4DB2-BEC9-5A4B5F17A684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0-4FC5-9D18-A309D05330B9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17801.365903181948</c:v>
                </c:pt>
                <c:pt idx="2">
                  <c:v>112587.91762055759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90-4FC5-9D18-A309D05330B9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181033.58717250626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F-40E3-8E3B-883A1BD41078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2F-40E3-8E3B-883A1BD41078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420628.93071698514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70-444F-A271-C1E05330DF36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5421074.2654714445</c:v>
                </c:pt>
                <c:pt idx="1">
                  <c:v>2447330.882355039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70-444F-A271-C1E05330D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124178.61725785545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631461.05928391102</c:v>
                </c:pt>
                <c:pt idx="2">
                  <c:v>1185491.998086863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3476964.7441181806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312275.41229839239</c:v>
                </c:pt>
                <c:pt idx="2">
                  <c:v>40868.939648840125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92780.774884581508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938122.47170424869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2">
                  <c:v>25628541.750816099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876164.1573938689</c:v>
                </c:pt>
                <c:pt idx="2">
                  <c:v>1499984.2790306609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612258.98454027576</c:v>
                </c:pt>
                <c:pt idx="2">
                  <c:v>386055.55758656352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1964806.5573061737</c:v>
                </c:pt>
                <c:pt idx="2">
                  <c:v>1023260.5652748231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2547468.970403323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2238037.5658944622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578872.90781827224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2274008.9680147558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1837304.5406875086</c:v>
                </c:pt>
                <c:pt idx="2">
                  <c:v>1387245.8090624576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157887.36784693503</c:v>
                </c:pt>
                <c:pt idx="2">
                  <c:v>7693.1684467145769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72257.110477988099</c:v>
                </c:pt>
                <c:pt idx="2">
                  <c:v>606.87431088280846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862397.83544536354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4496969.982036991</c:v>
                </c:pt>
                <c:pt idx="2">
                  <c:v>4651984.7473605312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1955817.7720196291</c:v>
                </c:pt>
                <c:pt idx="2">
                  <c:v>331920.71060311096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1498.9002676989185</c:v>
                </c:pt>
                <c:pt idx="2">
                  <c:v>1555.3805178590992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1">
                  <c:v>499417.02887550322</c:v>
                </c:pt>
                <c:pt idx="2">
                  <c:v>1107353.4638436597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E-4A1F-8B5D-13888465EBDC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887159.44985439931</c:v>
                </c:pt>
                <c:pt idx="2">
                  <c:v>515416.99573239626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F-4574-A7B0-3FCD7BE23830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1276615.9272226524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F-4574-A7B0-3FCD7BE23830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270096.49538353545</c:v>
                </c:pt>
                <c:pt idx="2">
                  <c:v>389192.08726584667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9E-4098-8ED4-309A0019D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2357744.0740740737</c:v>
                </c:pt>
                <c:pt idx="2">
                  <c:v>1958670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601515.92592592584</c:v>
                </c:pt>
                <c:pt idx="2">
                  <c:v>875590.00000000012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4155505.2570030689</c:v>
                </c:pt>
                <c:pt idx="2">
                  <c:v>443070.84862270928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7369960.2910637064</c:v>
                </c:pt>
                <c:pt idx="2">
                  <c:v>3529358.6806623335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-2123333.884788854</c:v>
                </c:pt>
                <c:pt idx="2">
                  <c:v>-3088495.2895071078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-344700.06956241012</c:v>
                </c:pt>
                <c:pt idx="2">
                  <c:v>-19500.172409126408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-126032.53694086988</c:v>
                </c:pt>
                <c:pt idx="2">
                  <c:v>-551037.53311620932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8931240.6195746418</c:v>
                </c:pt>
                <c:pt idx="2">
                  <c:v>313238.09705260006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2099837.9038328696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15948.642449825478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1496936.4422776406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2-413B-A4EA-68F7D58899F4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11409.505771004668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39-4ED9-9C04-FB69A792C839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5-4695-ACE0-B2D28FA718DD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17801.365903181948</c:v>
                </c:pt>
                <c:pt idx="2">
                  <c:v>112587.91762055759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65-4695-ACE0-B2D28FA718DD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181033.58717250626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63-4EA7-A2E4-814B3D8DDA81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63-4EA7-A2E4-814B3D8DDA81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420628.93071698514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D3-494C-8A7E-97F5EE376ACA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5421074.2654714445</c:v>
                </c:pt>
                <c:pt idx="1">
                  <c:v>2447330.882355039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D3-494C-8A7E-97F5EE376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124178.61725785545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631461.05928391102</c:v>
                </c:pt>
                <c:pt idx="2">
                  <c:v>1185491.998086863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3476964.7441181806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312275.41229839239</c:v>
                </c:pt>
                <c:pt idx="2">
                  <c:v>40868.939648840125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92780.774884581508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938122.47170424869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2">
                  <c:v>25628541.750816099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876164.1573938689</c:v>
                </c:pt>
                <c:pt idx="2">
                  <c:v>1499984.2790306609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612258.98454027576</c:v>
                </c:pt>
                <c:pt idx="2">
                  <c:v>386055.55758656352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1964806.5573061737</c:v>
                </c:pt>
                <c:pt idx="2">
                  <c:v>1023260.5652748231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2547468.970403323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2238037.5658944622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578872.90781827224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2274008.9680147558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1837304.5406875086</c:v>
                </c:pt>
                <c:pt idx="2">
                  <c:v>1387245.8090624576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157887.36784693503</c:v>
                </c:pt>
                <c:pt idx="2">
                  <c:v>7693.1684467145769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72257.110477988099</c:v>
                </c:pt>
                <c:pt idx="2">
                  <c:v>606.87431088280846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862397.83544536354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4496969.982036991</c:v>
                </c:pt>
                <c:pt idx="2">
                  <c:v>4651984.7473605312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1955817.7720196291</c:v>
                </c:pt>
                <c:pt idx="2">
                  <c:v>331920.71060311096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1498.9002676989185</c:v>
                </c:pt>
                <c:pt idx="2">
                  <c:v>1555.3805178590992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1">
                  <c:v>499417.02887550322</c:v>
                </c:pt>
                <c:pt idx="2">
                  <c:v>1107353.4638436597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42-4723-985A-AC8A3CB9A53A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887159.44985439931</c:v>
                </c:pt>
                <c:pt idx="2">
                  <c:v>515416.99573239626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E2-48FA-9DF9-489966B1688E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1276615.9272226524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E2-48FA-9DF9-489966B1688E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270096.49538353545</c:v>
                </c:pt>
                <c:pt idx="2">
                  <c:v>389192.08726584667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4A-49A9-B557-A23FACFDE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4155505.2570030689</c:v>
                </c:pt>
                <c:pt idx="2">
                  <c:v>443070.84862270928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7369960.2910637064</c:v>
                </c:pt>
                <c:pt idx="2">
                  <c:v>3529358.6806623335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-2123333.884788854</c:v>
                </c:pt>
                <c:pt idx="2">
                  <c:v>-3088495.2895071078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-344700.06956241012</c:v>
                </c:pt>
                <c:pt idx="2">
                  <c:v>-19500.172409126408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-126032.53694086988</c:v>
                </c:pt>
                <c:pt idx="2">
                  <c:v>-551037.53311620932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8931240.6195746418</c:v>
                </c:pt>
                <c:pt idx="2">
                  <c:v>313238.09705260006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2099837.9038328696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15948.642449825478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1496936.4422776406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0-4CDC-AB54-42203DF4F9A0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11409.505771004668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6-4CC6-96E3-B86E3E6D8798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96-4CB4-B72D-9BDAD430A0A0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17801.365903181948</c:v>
                </c:pt>
                <c:pt idx="2">
                  <c:v>112587.91762055759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96-4CB4-B72D-9BDAD430A0A0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181033.58717250626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B1-4E2E-AA9E-9AC74A198152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B1-4E2E-AA9E-9AC74A198152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420628.93071698514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5A-40AA-A4C8-803240AC1BE4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5421074.2654714445</c:v>
                </c:pt>
                <c:pt idx="1">
                  <c:v>2447330.882355039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A-40AA-A4C8-803240AC1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124178.61725785545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631461.05928391102</c:v>
                </c:pt>
                <c:pt idx="2">
                  <c:v>1185491.998086863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3476964.7441181806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312275.41229839239</c:v>
                </c:pt>
                <c:pt idx="2">
                  <c:v>40868.939648840125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92780.774884581508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938122.47170424869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2">
                  <c:v>25628541.750816099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876164.1573938689</c:v>
                </c:pt>
                <c:pt idx="2">
                  <c:v>1499984.2790306609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612258.98454027576</c:v>
                </c:pt>
                <c:pt idx="2">
                  <c:v>386055.55758656352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1964806.5573061737</c:v>
                </c:pt>
                <c:pt idx="2">
                  <c:v>1023260.5652748231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2547468.970403323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2238037.5658944622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578872.90781827224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2274008.9680147558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1837304.5406875086</c:v>
                </c:pt>
                <c:pt idx="2">
                  <c:v>1387245.8090624576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157887.36784693503</c:v>
                </c:pt>
                <c:pt idx="2">
                  <c:v>7693.1684467145769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72257.110477988099</c:v>
                </c:pt>
                <c:pt idx="2">
                  <c:v>606.87431088280846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862397.83544536354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4496969.982036991</c:v>
                </c:pt>
                <c:pt idx="2">
                  <c:v>4651984.7473605312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1955817.7720196291</c:v>
                </c:pt>
                <c:pt idx="2">
                  <c:v>331920.71060311096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1498.9002676989185</c:v>
                </c:pt>
                <c:pt idx="2">
                  <c:v>1555.3805178590992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1">
                  <c:v>499417.02887550322</c:v>
                </c:pt>
                <c:pt idx="2">
                  <c:v>1107353.4638436597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4-4C91-9920-074EE99817E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887159.44985439931</c:v>
                </c:pt>
                <c:pt idx="2">
                  <c:v>515416.99573239626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5-4434-B200-F5218A391D0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1276615.9272226524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75-4434-B200-F5218A391D05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270096.49538353545</c:v>
                </c:pt>
                <c:pt idx="2">
                  <c:v>389192.08726584667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54-4C42-8329-6F5E7093D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2874839.9680931582</c:v>
                </c:pt>
                <c:pt idx="2">
                  <c:v>2954639.3356608618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792057.93807476689</c:v>
                </c:pt>
                <c:pt idx="2">
                  <c:v>859926.76116467617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631461.05928391102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1185491.998086863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Fødevarer</a:t>
            </a:r>
            <a:r>
              <a:rPr lang="en-US" baseline="0"/>
              <a:t> [ton]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CONCITO!$C$17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CONCITO!$B$18:$B$30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  <c:pt idx="12">
                  <c:v>Roer</c:v>
                </c:pt>
              </c:strCache>
            </c:strRef>
          </c:cat>
          <c:val>
            <c:numRef>
              <c:f>CONCITO!$C$18:$C$30</c:f>
              <c:numCache>
                <c:formatCode>#,##0</c:formatCode>
                <c:ptCount val="13"/>
                <c:pt idx="0">
                  <c:v>235000</c:v>
                </c:pt>
                <c:pt idx="1">
                  <c:v>212954.76453418657</c:v>
                </c:pt>
                <c:pt idx="2">
                  <c:v>1918344.9215345967</c:v>
                </c:pt>
                <c:pt idx="3">
                  <c:v>41728.949017214291</c:v>
                </c:pt>
                <c:pt idx="4">
                  <c:v>4087571.5535632987</c:v>
                </c:pt>
                <c:pt idx="5">
                  <c:v>280322.43675931642</c:v>
                </c:pt>
                <c:pt idx="6">
                  <c:v>-5308200.9474471733</c:v>
                </c:pt>
                <c:pt idx="7">
                  <c:v>2263176.157376945</c:v>
                </c:pt>
                <c:pt idx="8">
                  <c:v>3781951.1214967929</c:v>
                </c:pt>
                <c:pt idx="9">
                  <c:v>3383628.2</c:v>
                </c:pt>
                <c:pt idx="10">
                  <c:v>956.59999999999991</c:v>
                </c:pt>
                <c:pt idx="11">
                  <c:v>2006067.2488276002</c:v>
                </c:pt>
                <c:pt idx="12">
                  <c:v>1637775.5474174484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4D-4897-AC14-0BCC173D3FA7}"/>
            </c:ext>
          </c:extLst>
        </c:ser>
        <c:ser>
          <c:idx val="1"/>
          <c:order val="1"/>
          <c:tx>
            <c:strRef>
              <c:f>CONCITO!$D$17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CONCITO!$B$18:$B$30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  <c:pt idx="12">
                  <c:v>Roer</c:v>
                </c:pt>
              </c:strCache>
            </c:strRef>
          </c:cat>
          <c:val>
            <c:numRef>
              <c:f>CONCITO!$D$18:$D$30</c:f>
              <c:numCache>
                <c:formatCode>#,##0</c:formatCode>
                <c:ptCount val="13"/>
                <c:pt idx="0">
                  <c:v>42217.628788690155</c:v>
                </c:pt>
                <c:pt idx="1">
                  <c:v>1185491.998086863</c:v>
                </c:pt>
                <c:pt idx="2">
                  <c:v>66766.505156136613</c:v>
                </c:pt>
                <c:pt idx="3">
                  <c:v>1609127.400187155</c:v>
                </c:pt>
                <c:pt idx="4">
                  <c:v>25628541.750816096</c:v>
                </c:pt>
                <c:pt idx="5">
                  <c:v>2025526.4544641112</c:v>
                </c:pt>
                <c:pt idx="6">
                  <c:v>276887.98874079209</c:v>
                </c:pt>
                <c:pt idx="7">
                  <c:v>1263583.871628813</c:v>
                </c:pt>
                <c:pt idx="8">
                  <c:v>0</c:v>
                </c:pt>
                <c:pt idx="9">
                  <c:v>0</c:v>
                </c:pt>
                <c:pt idx="10">
                  <c:v>1262.5999999999999</c:v>
                </c:pt>
                <c:pt idx="11">
                  <c:v>0</c:v>
                </c:pt>
                <c:pt idx="12">
                  <c:v>1387245.8090624576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4D-4897-AC14-0BCC173D3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68671"/>
        <c:axId val="1360041215"/>
      </c:barChart>
      <c:catAx>
        <c:axId val="137156867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60041215"/>
        <c:crosses val="autoZero"/>
        <c:auto val="1"/>
        <c:lblAlgn val="ctr"/>
        <c:lblOffset val="100"/>
        <c:noMultiLvlLbl val="0"/>
      </c:catAx>
      <c:valAx>
        <c:axId val="1360041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68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Fødevarer [billion kcal]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CONCITO!$E$17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CONCITO!$B$18:$B$29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</c:strCache>
            </c:strRef>
          </c:cat>
          <c:val>
            <c:numRef>
              <c:f>CONCITO!$E$18:$E$30</c:f>
              <c:numCache>
                <c:formatCode>#,##0.000</c:formatCode>
                <c:ptCount val="13"/>
                <c:pt idx="0">
                  <c:v>0.32429999999999998</c:v>
                </c:pt>
                <c:pt idx="1">
                  <c:v>1.4789708396899257</c:v>
                </c:pt>
                <c:pt idx="2">
                  <c:v>3.654108115551467</c:v>
                </c:pt>
                <c:pt idx="3">
                  <c:v>2.1699053488951431E-2</c:v>
                </c:pt>
                <c:pt idx="4">
                  <c:v>0.69488716410576079</c:v>
                </c:pt>
                <c:pt idx="5">
                  <c:v>0.10932575033613341</c:v>
                </c:pt>
                <c:pt idx="6">
                  <c:v>-2.0741524691002806</c:v>
                </c:pt>
                <c:pt idx="7">
                  <c:v>1.765277402754017</c:v>
                </c:pt>
                <c:pt idx="8">
                  <c:v>6.9874764884350302</c:v>
                </c:pt>
                <c:pt idx="9">
                  <c:v>2.1316857659999999</c:v>
                </c:pt>
                <c:pt idx="10">
                  <c:v>7.6169499999999995E-4</c:v>
                </c:pt>
                <c:pt idx="11">
                  <c:v>0.78236622704276404</c:v>
                </c:pt>
                <c:pt idx="12">
                  <c:v>0.49133266422523447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8-48D7-947F-87AF01A018FD}"/>
            </c:ext>
          </c:extLst>
        </c:ser>
        <c:ser>
          <c:idx val="1"/>
          <c:order val="1"/>
          <c:tx>
            <c:strRef>
              <c:f>CONCITO!$F$17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CONCITO!$B$18:$B$29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</c:strCache>
            </c:strRef>
          </c:cat>
          <c:val>
            <c:numRef>
              <c:f>CONCITO!$F$18:$F$30</c:f>
              <c:numCache>
                <c:formatCode>#,##0.000</c:formatCode>
                <c:ptCount val="13"/>
                <c:pt idx="0">
                  <c:v>5.8260327728392416E-2</c:v>
                </c:pt>
                <c:pt idx="1">
                  <c:v>8.2332419267132622</c:v>
                </c:pt>
                <c:pt idx="2">
                  <c:v>0.12739738926111124</c:v>
                </c:pt>
                <c:pt idx="3">
                  <c:v>0.83674624809732057</c:v>
                </c:pt>
                <c:pt idx="4">
                  <c:v>4.3568520976387362</c:v>
                </c:pt>
                <c:pt idx="5">
                  <c:v>0.78995531724100343</c:v>
                </c:pt>
                <c:pt idx="6">
                  <c:v>2.4919918986671288</c:v>
                </c:pt>
                <c:pt idx="7">
                  <c:v>0.98559541987047417</c:v>
                </c:pt>
                <c:pt idx="8">
                  <c:v>0</c:v>
                </c:pt>
                <c:pt idx="9">
                  <c:v>0</c:v>
                </c:pt>
                <c:pt idx="10">
                  <c:v>8.8654299999999994E-4</c:v>
                </c:pt>
                <c:pt idx="11">
                  <c:v>0</c:v>
                </c:pt>
                <c:pt idx="12">
                  <c:v>0.41617374271873731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78-48D7-947F-87AF01A01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71539391"/>
        <c:axId val="1081987999"/>
      </c:barChart>
      <c:catAx>
        <c:axId val="137153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81987999"/>
        <c:crosses val="autoZero"/>
        <c:auto val="1"/>
        <c:lblAlgn val="ctr"/>
        <c:lblOffset val="100"/>
        <c:noMultiLvlLbl val="0"/>
      </c:catAx>
      <c:valAx>
        <c:axId val="108198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forbrug[kcal]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3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Biomassekategori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CONCITO!$C$3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CONCITO!$B$4:$B$12</c:f>
              <c:strCache>
                <c:ptCount val="9"/>
                <c:pt idx="0">
                  <c:v>Bionedbrydeligt affald</c:v>
                </c:pt>
                <c:pt idx="1">
                  <c:v>Husdyrgødning</c:v>
                </c:pt>
                <c:pt idx="2">
                  <c:v>Glycerin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Pyrolyseprodukter</c:v>
                </c:pt>
                <c:pt idx="8">
                  <c:v>Rapsolie</c:v>
                </c:pt>
              </c:strCache>
            </c:strRef>
          </c:cat>
          <c:val>
            <c:numRef>
              <c:f>CONCITO!$C$4:$C$12</c:f>
              <c:numCache>
                <c:formatCode>#,##0</c:formatCode>
                <c:ptCount val="9"/>
                <c:pt idx="0">
                  <c:v>4698263.1968560591</c:v>
                </c:pt>
                <c:pt idx="1">
                  <c:v>1352218.0071428572</c:v>
                </c:pt>
                <c:pt idx="2">
                  <c:v>-142742</c:v>
                </c:pt>
                <c:pt idx="3">
                  <c:v>6999835.1830202974</c:v>
                </c:pt>
                <c:pt idx="4">
                  <c:v>4402957.5587320747</c:v>
                </c:pt>
                <c:pt idx="5">
                  <c:v>956.59999999999991</c:v>
                </c:pt>
                <c:pt idx="6">
                  <c:v>3220159.2034965986</c:v>
                </c:pt>
                <c:pt idx="7">
                  <c:v>0</c:v>
                </c:pt>
                <c:pt idx="8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E-4618-B54A-496ADF74DB98}"/>
            </c:ext>
          </c:extLst>
        </c:ser>
        <c:ser>
          <c:idx val="1"/>
          <c:order val="1"/>
          <c:tx>
            <c:strRef>
              <c:f>CONCITO!$D$3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CONCITO!$B$4:$B$12</c:f>
              <c:strCache>
                <c:ptCount val="9"/>
                <c:pt idx="0">
                  <c:v>Bionedbrydeligt affald</c:v>
                </c:pt>
                <c:pt idx="1">
                  <c:v>Husdyrgødning</c:v>
                </c:pt>
                <c:pt idx="2">
                  <c:v>Glycerin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Pyrolyseprodukter</c:v>
                </c:pt>
                <c:pt idx="8">
                  <c:v>Rapsolie</c:v>
                </c:pt>
              </c:strCache>
            </c:strRef>
          </c:cat>
          <c:val>
            <c:numRef>
              <c:f>CONCITO!$D$4:$D$12</c:f>
              <c:numCache>
                <c:formatCode>#,##0</c:formatCode>
                <c:ptCount val="9"/>
                <c:pt idx="0">
                  <c:v>6722546.8306598049</c:v>
                </c:pt>
                <c:pt idx="1">
                  <c:v>40868.939648840227</c:v>
                </c:pt>
                <c:pt idx="2">
                  <c:v>0</c:v>
                </c:pt>
                <c:pt idx="3">
                  <c:v>0</c:v>
                </c:pt>
                <c:pt idx="4">
                  <c:v>1422482.8528186318</c:v>
                </c:pt>
                <c:pt idx="5">
                  <c:v>1262.5999999999999</c:v>
                </c:pt>
                <c:pt idx="6">
                  <c:v>4708269.101664735</c:v>
                </c:pt>
                <c:pt idx="7">
                  <c:v>0</c:v>
                </c:pt>
                <c:pt idx="8">
                  <c:v>276887.98874079209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CE-4618-B54A-496ADF74D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328844.55006595154</c:v>
                </c:pt>
                <c:pt idx="5">
                  <c:v>125649.85975467187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1507536.473164652</c:v>
                </c:pt>
                <c:pt idx="2">
                  <c:v>591894.98801768455</c:v>
                </c:pt>
                <c:pt idx="15">
                  <c:v>823764.99285714305</c:v>
                </c:pt>
                <c:pt idx="16">
                  <c:v>190236.74542315846</c:v>
                </c:pt>
                <c:pt idx="17">
                  <c:v>24897.170130902599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5243.8354838709674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1747.9451612903224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11746140.28501403</c:v>
                </c:pt>
                <c:pt idx="5">
                  <c:v>2351900.9893273683</c:v>
                </c:pt>
                <c:pt idx="18">
                  <c:v>0</c:v>
                </c:pt>
                <c:pt idx="19">
                  <c:v>16009895.94584495</c:v>
                </c:pt>
                <c:pt idx="20">
                  <c:v>6792575.6108905366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607360.32556256372</c:v>
                </c:pt>
                <c:pt idx="5">
                  <c:v>91437.297709456223</c:v>
                </c:pt>
                <c:pt idx="9">
                  <c:v>1895494.5192748301</c:v>
                </c:pt>
                <c:pt idx="10">
                  <c:v>1764218.4658457276</c:v>
                </c:pt>
                <c:pt idx="11">
                  <c:v>862711.9262006575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2447330.882355039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2979931.8331903741</c:v>
                </c:pt>
                <c:pt idx="5">
                  <c:v>0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7815388.6642841548</c:v>
                </c:pt>
                <c:pt idx="2">
                  <c:v>662677.13341306173</c:v>
                </c:pt>
                <c:pt idx="15">
                  <c:v>9696490.333333334</c:v>
                </c:pt>
                <c:pt idx="16">
                  <c:v>2605129.5547613851</c:v>
                </c:pt>
                <c:pt idx="17">
                  <c:v>73630.792601451278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768253.03394150757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962027.98664553557</c:v>
                </c:pt>
                <c:pt idx="23">
                  <c:v>865274.96481497539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660847.44577433064</c:v>
                </c:pt>
                <c:pt idx="5">
                  <c:v>99489.713266720035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30966.227491022946</c:v>
                </c:pt>
                <c:pt idx="5">
                  <c:v>4661.92479631063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0">
                  <c:v>2668834</c:v>
                </c:pt>
                <c:pt idx="1">
                  <c:v>2747430.5145796794</c:v>
                </c:pt>
                <c:pt idx="2">
                  <c:v>2842137.0165491202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9013613.7096774187</c:v>
                </c:pt>
                <c:pt idx="2">
                  <c:v>0</c:v>
                </c:pt>
                <c:pt idx="15">
                  <c:v>14742130.666666664</c:v>
                </c:pt>
                <c:pt idx="16">
                  <c:v>3004537.9032258061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1169185.1597315338</c:v>
                </c:pt>
                <c:pt idx="11">
                  <c:v>1753629.766003873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2874839.9680931582</c:v>
                </c:pt>
                <c:pt idx="11">
                  <c:v>2954639.3356608618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3">
                  <c:v>0</c:v>
                </c:pt>
                <c:pt idx="4">
                  <c:v>5508729.3693827838</c:v>
                </c:pt>
                <c:pt idx="5">
                  <c:v>2336288.8054452171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2676396.5881159487</c:v>
                </c:pt>
                <c:pt idx="5">
                  <c:v>1135524.3188963511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0">
                  <c:v>0</c:v>
                </c:pt>
                <c:pt idx="1">
                  <c:v>5867453.3160588881</c:v>
                </c:pt>
                <c:pt idx="2">
                  <c:v>2987286.3954279986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210917.49793923233</c:v>
                </c:pt>
                <c:pt idx="5">
                  <c:v>43445.395141640969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85-47A6-B7CE-F2A8474B2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307848.95572657138</c:v>
                </c:pt>
                <c:pt idx="11">
                  <c:v>276887.98874079209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85-47A6-B7CE-F2A8474B2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792057.93807476689</c:v>
                </c:pt>
                <c:pt idx="14">
                  <c:v>859926.76116467617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85-47A6-B7CE-F2A8474B2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2099837.9038328696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15948.642449825478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1496936.4422776406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6-4810-9F97-DD8B1E41E1EE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11409.505771004668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5F-437B-AA5B-0EE49189909E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42-48EB-8376-5985343C21BF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17801.365903181948</c:v>
                </c:pt>
                <c:pt idx="2">
                  <c:v>112587.91762055759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42-48EB-8376-5985343C21BF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181033.58717250626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1D-4602-AA15-4E8B0C547777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1D-4602-AA15-4E8B0C547777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420628.93071698514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48-470F-9BAD-A54F8A021D0C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5421074.2654714445</c:v>
                </c:pt>
                <c:pt idx="1">
                  <c:v>2447330.882355039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48-470F-9BAD-A54F8A021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124178.61725785545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631461.05928391102</c:v>
                </c:pt>
                <c:pt idx="2">
                  <c:v>1185491.998086863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3476964.7441181806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312275.41229839239</c:v>
                </c:pt>
                <c:pt idx="2">
                  <c:v>40868.939648840125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92780.774884581508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938122.47170424869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2">
                  <c:v>25628541.750816099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876164.1573938689</c:v>
                </c:pt>
                <c:pt idx="2">
                  <c:v>1499984.2790306609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612258.98454027576</c:v>
                </c:pt>
                <c:pt idx="2">
                  <c:v>386055.55758656352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1964806.5573061737</c:v>
                </c:pt>
                <c:pt idx="2">
                  <c:v>1023260.5652748231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2547468.970403323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2238037.5658944622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578872.90781827224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2274008.9680147558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1837304.5406875086</c:v>
                </c:pt>
                <c:pt idx="2">
                  <c:v>1387245.8090624576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157887.36784693503</c:v>
                </c:pt>
                <c:pt idx="2">
                  <c:v>7693.1684467145769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72257.110477988099</c:v>
                </c:pt>
                <c:pt idx="2">
                  <c:v>606.87431088280846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862397.83544536354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4496969.982036991</c:v>
                </c:pt>
                <c:pt idx="2">
                  <c:v>4651984.7473605312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1955817.7720196291</c:v>
                </c:pt>
                <c:pt idx="2">
                  <c:v>331920.71060311096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1498.9002676989185</c:v>
                </c:pt>
                <c:pt idx="2">
                  <c:v>1555.3805178590992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1">
                  <c:v>499417.02887550322</c:v>
                </c:pt>
                <c:pt idx="2">
                  <c:v>1107353.4638436597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9-4058-A180-963B7EC8596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887159.44985439931</c:v>
                </c:pt>
                <c:pt idx="2">
                  <c:v>515416.99573239626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46-43A9-9460-5AFD3F79DA38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1276615.9272226524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46-43A9-9460-5AFD3F79DA38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270096.49538353545</c:v>
                </c:pt>
                <c:pt idx="2">
                  <c:v>389192.08726584667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F-4801-9B42-9EBF0B303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30.051427762336345</c:v>
                </c:pt>
                <c:pt idx="2">
                  <c:v>28.329415690596107</c:v>
                </c:pt>
                <c:pt idx="3">
                  <c:v>7.483154704207001</c:v>
                </c:pt>
                <c:pt idx="4">
                  <c:v>4.7038617898251704</c:v>
                </c:pt>
                <c:pt idx="5">
                  <c:v>3.1151113645169533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13.021072877168645</c:v>
                </c:pt>
                <c:pt idx="2">
                  <c:v>#N/A</c:v>
                </c:pt>
                <c:pt idx="3">
                  <c:v>1.420171986175</c:v>
                </c:pt>
                <c:pt idx="4">
                  <c:v>0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26.959344980881699</c:v>
                </c:pt>
                <c:pt idx="2">
                  <c:v>8.9168233956715746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0.67264123809073706</c:v>
                </c:pt>
                <c:pt idx="2">
                  <c:v>8.803169600360175E-2</c:v>
                </c:pt>
                <c:pt idx="3">
                  <c:v>5.0922829580050024</c:v>
                </c:pt>
                <c:pt idx="4">
                  <c:v>11.088836060689401</c:v>
                </c:pt>
                <c:pt idx="5">
                  <c:v>1.6129599877402425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10.774713450429996</c:v>
                </c:pt>
                <c:pt idx="2">
                  <c:v>9.6910796059277224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63.179698095321122</c:v>
                </c:pt>
                <c:pt idx="2">
                  <c:v>75.090056482812983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1423123.6689063776</c:v>
                </c:pt>
                <c:pt idx="2">
                  <c:v>1152111.3881136673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1038872.1779058403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2289301.0767938984</c:v>
                </c:pt>
                <c:pt idx="2">
                  <c:v>733305.13727055886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1590924.1512438636</c:v>
                </c:pt>
                <c:pt idx="2">
                  <c:v>240537.94155021981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1907059.7755079945</c:v>
                </c:pt>
                <c:pt idx="2">
                  <c:v>2189071.7243205421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5745" y="179294"/>
          <a:ext cx="1200897" cy="38037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399676</xdr:colOff>
      <xdr:row>0</xdr:row>
      <xdr:rowOff>0</xdr:rowOff>
    </xdr:from>
    <xdr:to>
      <xdr:col>19</xdr:col>
      <xdr:colOff>278093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35</xdr:row>
      <xdr:rowOff>67235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27</xdr:row>
      <xdr:rowOff>57150</xdr:rowOff>
    </xdr:from>
    <xdr:to>
      <xdr:col>15</xdr:col>
      <xdr:colOff>0</xdr:colOff>
      <xdr:row>46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A8618B-1C74-2AB3-AEBD-D0A295DED6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485775</xdr:colOff>
      <xdr:row>27</xdr:row>
      <xdr:rowOff>76200</xdr:rowOff>
    </xdr:from>
    <xdr:to>
      <xdr:col>23</xdr:col>
      <xdr:colOff>180975</xdr:colOff>
      <xdr:row>46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E446B5-F1EC-8B8B-93F2-5733BC9E0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100011</xdr:colOff>
      <xdr:row>0</xdr:row>
      <xdr:rowOff>28575</xdr:rowOff>
    </xdr:from>
    <xdr:to>
      <xdr:col>16</xdr:col>
      <xdr:colOff>504824</xdr:colOff>
      <xdr:row>19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D2608D-C157-7836-93F0-61D3DC2312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sheetDataSet>
      <sheetData sheetId="0"/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0.12546743028681259</v>
          </cell>
          <cell r="I101">
            <v>0.12546743028681259</v>
          </cell>
          <cell r="J101">
            <v>0.12546743028681259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0.13801417331549384</v>
          </cell>
          <cell r="I108">
            <v>0.13801417331549384</v>
          </cell>
          <cell r="J108">
            <v>0.13801417331549384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3.1715240866672119</v>
          </cell>
          <cell r="I116">
            <v>3.1715240866672119</v>
          </cell>
          <cell r="J116">
            <v>3.1715240866672119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2.6521826227537644</v>
          </cell>
          <cell r="I124">
            <v>2.6521826227537644</v>
          </cell>
          <cell r="J124">
            <v>2.6521826227537644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7.99210246451366E-4</v>
          </cell>
          <cell r="I132">
            <v>7.99210246451366E-4</v>
          </cell>
          <cell r="J132">
            <v>7.99210246451366E-4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8.7913127109650257E-4</v>
          </cell>
          <cell r="I140">
            <v>8.7913127109650257E-4</v>
          </cell>
          <cell r="J140">
            <v>8.7913127109650257E-4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0.2</v>
          </cell>
          <cell r="I425">
            <v>0.2</v>
          </cell>
          <cell r="J425">
            <v>0.37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  <cell r="J5">
            <v>2.2736943674854606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  <cell r="M14">
            <v>566639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  <cell r="M15">
            <v>924793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</sheetData>
      <sheetData sheetId="12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/>
      <sheetData sheetId="15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  <cell r="C4">
            <v>0</v>
          </cell>
        </row>
        <row r="5">
          <cell r="A5" t="str">
            <v>Biogas</v>
          </cell>
          <cell r="B5" t="str">
            <v>-</v>
          </cell>
          <cell r="C5">
            <v>0</v>
          </cell>
        </row>
        <row r="6">
          <cell r="A6" t="str">
            <v>Biogasgylle</v>
          </cell>
          <cell r="B6" t="str">
            <v>-</v>
          </cell>
          <cell r="C6">
            <v>0</v>
          </cell>
        </row>
        <row r="7">
          <cell r="A7" t="str">
            <v>Brun saft</v>
          </cell>
          <cell r="B7" t="str">
            <v>-</v>
          </cell>
          <cell r="C7">
            <v>0</v>
          </cell>
        </row>
        <row r="8">
          <cell r="A8" t="str">
            <v>Dybstrøelse</v>
          </cell>
          <cell r="B8" t="str">
            <v>-</v>
          </cell>
          <cell r="C8">
            <v>0</v>
          </cell>
        </row>
        <row r="9">
          <cell r="A9" t="str">
            <v>Fiberfraktion</v>
          </cell>
          <cell r="B9" t="str">
            <v>-</v>
          </cell>
          <cell r="C9">
            <v>0</v>
          </cell>
        </row>
        <row r="10">
          <cell r="A10" t="str">
            <v>Fjerkrægylle</v>
          </cell>
          <cell r="B10" t="str">
            <v>-</v>
          </cell>
          <cell r="C10">
            <v>0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  <cell r="C14">
            <v>0</v>
          </cell>
        </row>
        <row r="15">
          <cell r="A15" t="str">
            <v>Græs</v>
          </cell>
          <cell r="C15">
            <v>17</v>
          </cell>
        </row>
        <row r="16">
          <cell r="A16" t="str">
            <v>Græsprotein</v>
          </cell>
          <cell r="B16" t="str">
            <v>-</v>
          </cell>
          <cell r="C16">
            <v>0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  <cell r="C18">
            <v>0</v>
          </cell>
        </row>
        <row r="19">
          <cell r="A19" t="str">
            <v>Have/parkaffald</v>
          </cell>
          <cell r="B19" t="str">
            <v>-</v>
          </cell>
          <cell r="C19">
            <v>0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  <cell r="C21">
            <v>0</v>
          </cell>
        </row>
        <row r="22">
          <cell r="A22" t="str">
            <v>Juletræer</v>
          </cell>
          <cell r="B22" t="str">
            <v>-</v>
          </cell>
          <cell r="C22">
            <v>0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232.41388774529983</v>
          </cell>
        </row>
        <row r="25">
          <cell r="A25" t="str">
            <v>Kunstgødning</v>
          </cell>
          <cell r="B25" t="str">
            <v>-</v>
          </cell>
          <cell r="C25">
            <v>0</v>
          </cell>
        </row>
        <row r="26">
          <cell r="A26" t="str">
            <v>Kvæggylle</v>
          </cell>
          <cell r="B26" t="str">
            <v>-</v>
          </cell>
          <cell r="C26">
            <v>0</v>
          </cell>
        </row>
        <row r="27">
          <cell r="A27" t="str">
            <v>Mælk til foder</v>
          </cell>
          <cell r="B27" t="str">
            <v>-</v>
          </cell>
          <cell r="C27">
            <v>0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  <cell r="C33">
            <v>0</v>
          </cell>
        </row>
        <row r="34">
          <cell r="A34" t="str">
            <v>Pyrolysegas</v>
          </cell>
          <cell r="B34" t="str">
            <v>-</v>
          </cell>
          <cell r="C34">
            <v>0</v>
          </cell>
        </row>
        <row r="35">
          <cell r="A35" t="str">
            <v>Pyrolyseolie</v>
          </cell>
          <cell r="B35" t="str">
            <v>-</v>
          </cell>
          <cell r="C35">
            <v>0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  <cell r="C37">
            <v>0</v>
          </cell>
        </row>
        <row r="38">
          <cell r="A38" t="str">
            <v>Rapskage</v>
          </cell>
          <cell r="C38">
            <v>0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  <cell r="C41">
            <v>0</v>
          </cell>
        </row>
        <row r="42">
          <cell r="A42" t="str">
            <v>Slagteriaffald til foder</v>
          </cell>
          <cell r="B42" t="str">
            <v>-</v>
          </cell>
          <cell r="C42">
            <v>0</v>
          </cell>
        </row>
        <row r="43">
          <cell r="A43" t="str">
            <v>Spildevandsslam</v>
          </cell>
          <cell r="B43" t="str">
            <v>-</v>
          </cell>
          <cell r="C43">
            <v>0</v>
          </cell>
        </row>
        <row r="44">
          <cell r="A44" t="str">
            <v>Svinegylle</v>
          </cell>
          <cell r="B44" t="str">
            <v>-</v>
          </cell>
          <cell r="C44">
            <v>0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  <cell r="C47">
            <v>0</v>
          </cell>
        </row>
        <row r="48">
          <cell r="A48" t="str">
            <v>Træ til energi</v>
          </cell>
          <cell r="B48" t="str">
            <v>-</v>
          </cell>
          <cell r="C48">
            <v>0</v>
          </cell>
        </row>
        <row r="49">
          <cell r="A49" t="str">
            <v>Træmaterialer</v>
          </cell>
          <cell r="B49" t="str">
            <v>-</v>
          </cell>
          <cell r="C49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7694791665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Blank="1" containsMixedTypes="1" containsNumber="1" minValue="0" maxValue="18349026.9898695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7694907404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769502315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0" maxValue="26114077.4036326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7695254627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14157868.534451202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0" maxValue="14157868.5344512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7695370373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80552475.07633466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MixedTypes="1" containsNumber="1" minValue="0" maxValue="7872859.1335150246"/>
    </cacheField>
    <cacheField name="Gødning" numFmtId="0">
      <sharedItems containsMixedTypes="1" containsNumber="1" minValue="0" maxValue="18349026.989869542"/>
    </cacheField>
    <cacheField name="Energi" numFmtId="0">
      <sharedItems containsSemiMixedTypes="0" containsString="0" containsNumber="1" minValue="0" maxValue="380552475.07633466"/>
    </cacheField>
    <cacheField name="Materialer og processer" numFmtId="0">
      <sharedItems containsSemiMixedTypes="0" containsString="0" containsNumber="1" minValue="0" maxValue="14277650.729439929"/>
    </cacheField>
    <cacheField name="Produktion minus forbrug [ton]" numFmtId="3">
      <sharedItems containsMixedTypes="1" containsNumber="1" minValue="-4828427.5390456235" maxValue="17957637.538951755"/>
    </cacheField>
    <cacheField name="Potentiale til energi [ton]" numFmtId="3">
      <sharedItems containsMixedTypes="1" containsNumber="1" minValue="0" maxValue="17957637.538951755"/>
    </cacheField>
    <cacheField name="Forbrug energi [ton/m3]" numFmtId="3">
      <sharedItems containsMixedTypes="1" containsNumber="1" minValue="0" maxValue="380552475.07633466"/>
    </cacheField>
    <cacheField name="Potentiale til energi [PJ]" numFmtId="0">
      <sharedItems containsMixedTypes="1" containsNumber="1" minValue="0" maxValue="33.03980836697886"/>
    </cacheField>
    <cacheField name="Forbrug/potentiale [PJ]" numFmtId="0">
      <sharedItems containsMixedTypes="1" containsNumber="1" minValue="0" maxValue="33.750841721162331"/>
    </cacheField>
    <cacheField name="Biogasproduktion [PJ]" numFmtId="0">
      <sharedItems containsMixedTypes="1" containsNumber="1" minValue="0" maxValue="3.6935557690036314"/>
    </cacheField>
    <cacheField name="Biomasser til energi eksl. biogas [PJ]" numFmtId="0">
      <sharedItems containsMixedTypes="1" containsNumber="1" minValue="0" maxValue="33.750841721162331"/>
    </cacheField>
    <cacheField name="Potentiale til energi [Ton TS]" numFmtId="0">
      <sharedItems containsMixedTypes="1" containsNumber="1" minValue="0" maxValue="5028138.5109064914"/>
    </cacheField>
    <cacheField name="Forbrug/potentiale [Ton TS]" numFmtId="0">
      <sharedItems containsMixedTypes="1" containsNumber="1" minValue="0" maxValue="5028138.5109064914"/>
    </cacheField>
    <cacheField name="Biogasproduktion [Ton TS]" numFmtId="0">
      <sharedItems containsMixedTypes="1" containsNumber="1" minValue="0" maxValue="554555.08493703138"/>
    </cacheField>
    <cacheField name="Biomasser til energi eksl. biogas [Ton TS]" numFmtId="0">
      <sharedItems containsMixedTypes="1" containsNumber="1" minValue="0" maxValue="5028138.5109064914"/>
    </cacheField>
    <cacheField name="Import at least one year" numFmtId="0">
      <sharedItems containsMixedTypes="1" containsNumber="1" containsInteger="1" minValue="0" maxValue="1" count="3">
        <n v="0"/>
        <n v="1"/>
        <e v="#DIV/0!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7695601851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80552475.07633466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MixedTypes="1" containsNumber="1" minValue="0" maxValue="7872859.1335150246"/>
    </cacheField>
    <cacheField name="Gødning" numFmtId="0">
      <sharedItems containsMixedTypes="1" containsNumber="1" minValue="0" maxValue="18349026.989869542"/>
    </cacheField>
    <cacheField name="Energi" numFmtId="0">
      <sharedItems containsSemiMixedTypes="0" containsString="0" containsNumber="1" minValue="0" maxValue="380552475.07633466"/>
    </cacheField>
    <cacheField name="Materialer og processer" numFmtId="0">
      <sharedItems containsSemiMixedTypes="0" containsString="0" containsNumber="1" minValue="0" maxValue="14277650.729439929"/>
    </cacheField>
    <cacheField name="Produktion minus forbrug [ton]" numFmtId="3">
      <sharedItems containsMixedTypes="1" containsNumber="1" minValue="-4828427.5390456235" maxValue="17957637.538951755"/>
    </cacheField>
    <cacheField name="Potentiale til energi [ton]" numFmtId="3">
      <sharedItems containsMixedTypes="1" containsNumber="1" minValue="0" maxValue="17957637.538951755"/>
    </cacheField>
    <cacheField name="Forbrug energi [ton/m3]" numFmtId="3">
      <sharedItems containsMixedTypes="1" containsNumber="1" minValue="0" maxValue="380552475.07633466"/>
    </cacheField>
    <cacheField name="Potentiale til energi [PJ]" numFmtId="0">
      <sharedItems containsMixedTypes="1" containsNumber="1" minValue="0" maxValue="33.03980836697886"/>
    </cacheField>
    <cacheField name="Forbrug/potentiale [PJ]" numFmtId="0">
      <sharedItems containsMixedTypes="1" containsNumber="1" minValue="0" maxValue="33.750841721162331"/>
    </cacheField>
    <cacheField name="Biogasproduktion [PJ]" numFmtId="0">
      <sharedItems containsMixedTypes="1" containsNumber="1" minValue="0" maxValue="3.6935557690036314"/>
    </cacheField>
    <cacheField name="Biomasser til energi eksl. biogas [PJ]" numFmtId="0">
      <sharedItems containsMixedTypes="1" containsNumber="1" minValue="0" maxValue="33.750841721162331"/>
    </cacheField>
    <cacheField name="Potentiale til energi [Ton TS]" numFmtId="0">
      <sharedItems containsMixedTypes="1" containsNumber="1" minValue="0" maxValue="5028138.5109064914"/>
    </cacheField>
    <cacheField name="Forbrug/potentiale [Ton TS]" numFmtId="0">
      <sharedItems containsMixedTypes="1" containsNumber="1" minValue="0" maxValue="5028138.5109064914"/>
    </cacheField>
    <cacheField name="Biogasproduktion [Ton TS]" numFmtId="0">
      <sharedItems containsMixedTypes="1" containsNumber="1" minValue="0" maxValue="554555.08493703138"/>
    </cacheField>
    <cacheField name="Biomasser til energi eksl. biogas [Ton TS]" numFmtId="0">
      <sharedItems containsMixedTypes="1" containsNumber="1" minValue="0" maxValue="5028138.5109064914"/>
    </cacheField>
    <cacheField name="Import at least one year" numFmtId="0">
      <sharedItems containsMixedTypes="1" containsNumber="1" containsInteger="1" minValue="0" maxValue="1"/>
    </cacheField>
    <cacheField name="Export at least one year" numFmtId="0">
      <sharedItems containsMixedTypes="1" containsNumber="1" containsInteger="1" minValue="0" maxValue="1" count="3">
        <n v="1"/>
        <n v="0"/>
        <e v="#DIV/0!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7695949074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80552475.07633466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MixedTypes="1" containsNumber="1" minValue="0" maxValue="7872859.1335150246"/>
    </cacheField>
    <cacheField name="Gødning" numFmtId="0">
      <sharedItems containsMixedTypes="1" containsNumber="1" minValue="0" maxValue="18349026.989869542"/>
    </cacheField>
    <cacheField name="Energi" numFmtId="0">
      <sharedItems containsSemiMixedTypes="0" containsString="0" containsNumber="1" minValue="0" maxValue="380552475.07633466"/>
    </cacheField>
    <cacheField name="Materialer og processer" numFmtId="0">
      <sharedItems containsSemiMixedTypes="0" containsString="0" containsNumber="1" minValue="0" maxValue="14277650.729439929"/>
    </cacheField>
    <cacheField name="Produktion minus forbrug [ton]" numFmtId="3">
      <sharedItems containsMixedTypes="1" containsNumber="1" minValue="-4828427.5390456235" maxValue="17957637.538951755"/>
    </cacheField>
    <cacheField name="Potentiale til energi [ton]" numFmtId="3">
      <sharedItems containsMixedTypes="1" containsNumber="1" minValue="0" maxValue="17957637.538951755"/>
    </cacheField>
    <cacheField name="Forbrug energi [ton/m3]" numFmtId="3">
      <sharedItems containsMixedTypes="1" containsNumber="1" minValue="0" maxValue="380552475.07633466"/>
    </cacheField>
    <cacheField name="Potentiale til energi [PJ]" numFmtId="0">
      <sharedItems containsMixedTypes="1" containsNumber="1" minValue="0" maxValue="33.03980836697886"/>
    </cacheField>
    <cacheField name="Forbrug/potentiale [PJ]" numFmtId="0">
      <sharedItems containsMixedTypes="1" containsNumber="1" minValue="0" maxValue="33.750841721162331"/>
    </cacheField>
    <cacheField name="Biogasproduktion [PJ]" numFmtId="0">
      <sharedItems containsMixedTypes="1" containsNumber="1" minValue="0" maxValue="3.6935557690036314"/>
    </cacheField>
    <cacheField name="Biomasser til energi eksl. biogas [PJ]" numFmtId="0">
      <sharedItems containsMixedTypes="1" containsNumber="1" minValue="0" maxValue="33.750841721162331"/>
    </cacheField>
    <cacheField name="Potentiale til energi [Ton TS]" numFmtId="0">
      <sharedItems containsMixedTypes="1" containsNumber="1" minValue="0" maxValue="5028138.5109064914"/>
    </cacheField>
    <cacheField name="Forbrug/potentiale [Ton TS]" numFmtId="0">
      <sharedItems containsMixedTypes="1" containsNumber="1" minValue="0" maxValue="5028138.5109064914"/>
    </cacheField>
    <cacheField name="Biogasproduktion [Ton TS]" numFmtId="0">
      <sharedItems containsMixedTypes="1" containsNumber="1" minValue="0" maxValue="554555.08493703138"/>
    </cacheField>
    <cacheField name="Biomasser til energi eksl. biogas [Ton TS]" numFmtId="0">
      <sharedItems containsMixedTypes="1" containsNumber="1" minValue="0" maxValue="5028138.51090649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7696296297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70873.911416363" maxValue="12925230.88589053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872859.1335150246"/>
  </r>
  <r>
    <x v="1"/>
    <s v="Vestdanmark"/>
    <x v="15"/>
    <x v="1"/>
    <n v="7296777.4333819924"/>
  </r>
  <r>
    <x v="1"/>
    <s v="Vestdanmark"/>
    <x v="16"/>
    <x v="1"/>
    <n v="4837.8006601561638"/>
  </r>
  <r>
    <x v="1"/>
    <s v="Vestdanmark"/>
    <x v="17"/>
    <x v="1"/>
    <n v="1481053.1985566379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329182.5428542641"/>
  </r>
  <r>
    <x v="1"/>
    <s v="Vestdanmark"/>
    <x v="21"/>
    <x v="1"/>
    <n v="5232604.2218734501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0"/>
  </r>
  <r>
    <x v="1"/>
    <s v="Vestdanmark"/>
    <x v="27"/>
    <x v="1"/>
    <n v="0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0"/>
  </r>
  <r>
    <x v="1"/>
    <s v="Vestdanmark"/>
    <x v="15"/>
    <x v="2"/>
    <n v="618703.40176480426"/>
  </r>
  <r>
    <x v="1"/>
    <s v="Vestdanmark"/>
    <x v="16"/>
    <x v="2"/>
    <n v="5056.5736535095893"/>
  </r>
  <r>
    <x v="1"/>
    <s v="Vestdanmark"/>
    <x v="17"/>
    <x v="2"/>
    <n v="1517880.3720548805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518251.34982790216"/>
  </r>
  <r>
    <x v="1"/>
    <s v="Vestdanmark"/>
    <x v="21"/>
    <x v="2"/>
    <n v="2664517.9279377516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e v="#DIV/0!"/>
  </r>
  <r>
    <x v="1"/>
    <s v="Vestdanmark"/>
    <x v="25"/>
    <x v="2"/>
    <n v="0"/>
  </r>
  <r>
    <x v="1"/>
    <s v="Vestdanmark"/>
    <x v="26"/>
    <x v="2"/>
    <n v="0"/>
  </r>
  <r>
    <x v="1"/>
    <s v="Vestdanmark"/>
    <x v="27"/>
    <x v="2"/>
    <n v="0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40754.5761623941"/>
  </r>
  <r>
    <x v="1"/>
    <s v="Østdanmark"/>
    <x v="15"/>
    <x v="1"/>
    <n v="518611.23090216261"/>
  </r>
  <r>
    <x v="1"/>
    <s v="Østdanmark"/>
    <x v="16"/>
    <x v="1"/>
    <n v="406.03482371480391"/>
  </r>
  <r>
    <x v="1"/>
    <s v="Østdanmark"/>
    <x v="17"/>
    <x v="1"/>
    <n v="1266377.3160230415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178353.93031038792"/>
  </r>
  <r>
    <x v="1"/>
    <s v="Østdanmark"/>
    <x v="21"/>
    <x v="1"/>
    <n v="634849.09418543812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0"/>
  </r>
  <r>
    <x v="1"/>
    <s v="Østdanmark"/>
    <x v="27"/>
    <x v="1"/>
    <n v="0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0"/>
  </r>
  <r>
    <x v="1"/>
    <s v="Østdanmark"/>
    <x v="15"/>
    <x v="2"/>
    <n v="43973.731648257439"/>
  </r>
  <r>
    <x v="1"/>
    <s v="Østdanmark"/>
    <x v="16"/>
    <x v="2"/>
    <n v="424.39636029513713"/>
  </r>
  <r>
    <x v="1"/>
    <s v="Østdanmark"/>
    <x v="17"/>
    <x v="2"/>
    <n v="1324256.6444942397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73643.638189782447"/>
  </r>
  <r>
    <x v="1"/>
    <s v="Østdanmark"/>
    <x v="21"/>
    <x v="2"/>
    <n v="322768.46749024681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e v="#DIV/0!"/>
  </r>
  <r>
    <x v="1"/>
    <s v="Østdanmark"/>
    <x v="25"/>
    <x v="2"/>
    <n v="0"/>
  </r>
  <r>
    <x v="1"/>
    <s v="Østdanmark"/>
    <x v="26"/>
    <x v="2"/>
    <n v="0"/>
  </r>
  <r>
    <x v="1"/>
    <s v="Østdanmark"/>
    <x v="27"/>
    <x v="2"/>
    <n v="0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2657507.9598111873"/>
  </r>
  <r>
    <x v="2"/>
    <s v="Vestdanmark"/>
    <x v="22"/>
    <x v="1"/>
    <n v="541644.90666485392"/>
  </r>
  <r>
    <x v="2"/>
    <s v="Vestdanmark"/>
    <x v="2"/>
    <x v="1"/>
    <n v="0"/>
  </r>
  <r>
    <x v="2"/>
    <s v="Vestdanmark"/>
    <x v="5"/>
    <x v="1"/>
    <n v="293264.09403304121"/>
  </r>
  <r>
    <x v="2"/>
    <s v="Vestdanmark"/>
    <x v="25"/>
    <x v="1"/>
    <n v="589344.8057454204"/>
  </r>
  <r>
    <x v="2"/>
    <s v="Vestdanmark"/>
    <x v="24"/>
    <x v="1"/>
    <n v="2557087.1196415746"/>
  </r>
  <r>
    <x v="2"/>
    <s v="Vestdanmark"/>
    <x v="28"/>
    <x v="1"/>
    <n v="188096.56093269461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0475226.633309843"/>
  </r>
  <r>
    <x v="2"/>
    <s v="Vestdanmark"/>
    <x v="29"/>
    <x v="1"/>
    <n v="685129.28051204176"/>
  </r>
  <r>
    <x v="2"/>
    <s v="Vestdanmark"/>
    <x v="30"/>
    <x v="1"/>
    <n v="4912693.6343060844"/>
  </r>
  <r>
    <x v="2"/>
    <s v="Vestdanmark"/>
    <x v="31"/>
    <x v="1"/>
    <n v="2386814.7443207805"/>
  </r>
  <r>
    <x v="2"/>
    <s v="Vestdanmark"/>
    <x v="32"/>
    <x v="1"/>
    <n v="27615.731046643767"/>
  </r>
  <r>
    <x v="2"/>
    <s v="Vestdanmark"/>
    <x v="33"/>
    <x v="1"/>
    <n v="2182533.5827186201"/>
  </r>
  <r>
    <x v="2"/>
    <s v="Vestdanmark"/>
    <x v="0"/>
    <x v="2"/>
    <n v="0"/>
  </r>
  <r>
    <x v="2"/>
    <s v="Vestdanmark"/>
    <x v="22"/>
    <x v="2"/>
    <n v="81557.737283545939"/>
  </r>
  <r>
    <x v="2"/>
    <s v="Vestdanmark"/>
    <x v="2"/>
    <x v="2"/>
    <n v="0"/>
  </r>
  <r>
    <x v="2"/>
    <s v="Vestdanmark"/>
    <x v="5"/>
    <x v="2"/>
    <n v="112073.72164637063"/>
  </r>
  <r>
    <x v="2"/>
    <s v="Vestdanmark"/>
    <x v="25"/>
    <x v="2"/>
    <n v="88740.110439454962"/>
  </r>
  <r>
    <x v="2"/>
    <s v="Vestdanmark"/>
    <x v="24"/>
    <x v="2"/>
    <n v="0"/>
  </r>
  <r>
    <x v="2"/>
    <s v="Vestdanmark"/>
    <x v="28"/>
    <x v="2"/>
    <n v="38751.234035816837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2097784.2500767186"/>
  </r>
  <r>
    <x v="2"/>
    <s v="Vestdanmark"/>
    <x v="29"/>
    <x v="2"/>
    <n v="0"/>
  </r>
  <r>
    <x v="2"/>
    <s v="Vestdanmark"/>
    <x v="30"/>
    <x v="2"/>
    <n v="2083858.9217546936"/>
  </r>
  <r>
    <x v="2"/>
    <s v="Vestdanmark"/>
    <x v="31"/>
    <x v="2"/>
    <n v="1012833.8916346655"/>
  </r>
  <r>
    <x v="2"/>
    <s v="Vestdanmark"/>
    <x v="32"/>
    <x v="2"/>
    <n v="4158.2160376315423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322423.8733791869"/>
  </r>
  <r>
    <x v="2"/>
    <s v="Østdanmark"/>
    <x v="22"/>
    <x v="1"/>
    <n v="65715.418897709809"/>
  </r>
  <r>
    <x v="2"/>
    <s v="Østdanmark"/>
    <x v="2"/>
    <x v="1"/>
    <n v="0"/>
  </r>
  <r>
    <x v="2"/>
    <s v="Østdanmark"/>
    <x v="5"/>
    <x v="1"/>
    <n v="35580.456032910348"/>
  </r>
  <r>
    <x v="2"/>
    <s v="Østdanmark"/>
    <x v="25"/>
    <x v="1"/>
    <n v="71502.640028910202"/>
  </r>
  <r>
    <x v="2"/>
    <s v="Østdanmark"/>
    <x v="24"/>
    <x v="1"/>
    <n v="310240.24994508084"/>
  </r>
  <r>
    <x v="2"/>
    <s v="Østdanmark"/>
    <x v="28"/>
    <x v="1"/>
    <n v="22820.937006537704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70913.6517041866"/>
  </r>
  <r>
    <x v="2"/>
    <s v="Østdanmark"/>
    <x v="29"/>
    <x v="1"/>
    <n v="83123.75342946584"/>
  </r>
  <r>
    <x v="2"/>
    <s v="Østdanmark"/>
    <x v="30"/>
    <x v="1"/>
    <n v="596035.73507669987"/>
  </r>
  <r>
    <x v="2"/>
    <s v="Østdanmark"/>
    <x v="31"/>
    <x v="1"/>
    <n v="289581.84379516833"/>
  </r>
  <r>
    <x v="2"/>
    <s v="Østdanmark"/>
    <x v="32"/>
    <x v="1"/>
    <n v="3350.4964443791791"/>
  </r>
  <r>
    <x v="2"/>
    <s v="Østdanmark"/>
    <x v="33"/>
    <x v="1"/>
    <n v="264797.29963641899"/>
  </r>
  <r>
    <x v="2"/>
    <s v="Østdanmark"/>
    <x v="0"/>
    <x v="2"/>
    <n v="0"/>
  </r>
  <r>
    <x v="2"/>
    <s v="Østdanmark"/>
    <x v="22"/>
    <x v="2"/>
    <n v="9879.5604259102856"/>
  </r>
  <r>
    <x v="2"/>
    <s v="Østdanmark"/>
    <x v="2"/>
    <x v="2"/>
    <n v="0"/>
  </r>
  <r>
    <x v="2"/>
    <s v="Østdanmark"/>
    <x v="5"/>
    <x v="2"/>
    <n v="13576.138108301233"/>
  </r>
  <r>
    <x v="2"/>
    <s v="Østdanmark"/>
    <x v="25"/>
    <x v="2"/>
    <n v="10749.602827265073"/>
  </r>
  <r>
    <x v="2"/>
    <s v="Østdanmark"/>
    <x v="24"/>
    <x v="2"/>
    <n v="0"/>
  </r>
  <r>
    <x v="2"/>
    <s v="Østdanmark"/>
    <x v="28"/>
    <x v="2"/>
    <n v="4694.1611058241288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254116.73925064973"/>
  </r>
  <r>
    <x v="2"/>
    <s v="Østdanmark"/>
    <x v="29"/>
    <x v="2"/>
    <n v="0"/>
  </r>
  <r>
    <x v="2"/>
    <s v="Østdanmark"/>
    <x v="30"/>
    <x v="2"/>
    <n v="252429.88369052325"/>
  </r>
  <r>
    <x v="2"/>
    <s v="Østdanmark"/>
    <x v="31"/>
    <x v="2"/>
    <n v="122690.4272616855"/>
  </r>
  <r>
    <x v="2"/>
    <s v="Østdanmark"/>
    <x v="32"/>
    <x v="2"/>
    <n v="503.70875867908762"/>
  </r>
  <r>
    <x v="2"/>
    <s v="Østdanmark"/>
    <x v="33"/>
    <x v="2"/>
    <n v="0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213336.3801391786"/>
  </r>
  <r>
    <x v="3"/>
    <s v="Vestdanmark"/>
    <x v="34"/>
    <x v="1"/>
    <n v="235602.02928792752"/>
  </r>
  <r>
    <x v="3"/>
    <s v="Vestdanmark"/>
    <x v="35"/>
    <x v="1"/>
    <n v="896780.35875026754"/>
  </r>
  <r>
    <x v="3"/>
    <s v="Vestdanmark"/>
    <x v="36"/>
    <x v="1"/>
    <n v="2225869.1010711943"/>
  </r>
  <r>
    <x v="3"/>
    <s v="Vestdanmark"/>
    <x v="26"/>
    <x v="1"/>
    <n v="526734.10986839118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377.28282504401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550882.085706549"/>
  </r>
  <r>
    <x v="3"/>
    <s v="Østdanmark"/>
    <x v="34"/>
    <x v="1"/>
    <n v="72246.926438643844"/>
  </r>
  <r>
    <x v="3"/>
    <s v="Østdanmark"/>
    <x v="35"/>
    <x v="1"/>
    <n v="272404.80098126631"/>
  </r>
  <r>
    <x v="3"/>
    <s v="Østdanmark"/>
    <x v="36"/>
    <x v="1"/>
    <n v="648970.86702196393"/>
  </r>
  <r>
    <x v="3"/>
    <s v="Østdanmark"/>
    <x v="26"/>
    <x v="1"/>
    <n v="456074.89013160887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80.65524972283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624132.67276765837"/>
  </r>
  <r>
    <x v="3"/>
    <s v="Vestdanmark"/>
    <x v="34"/>
    <x v="2"/>
    <n v="207773.55150751706"/>
  </r>
  <r>
    <x v="3"/>
    <s v="Vestdanmark"/>
    <x v="35"/>
    <x v="2"/>
    <n v="1315903.5397993135"/>
  </r>
  <r>
    <x v="3"/>
    <s v="Vestdanmark"/>
    <x v="36"/>
    <x v="2"/>
    <n v="2312878.2492368715"/>
  </r>
  <r>
    <x v="3"/>
    <s v="Vestdanmark"/>
    <x v="26"/>
    <x v="2"/>
    <n v="524881.97503939818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76235.95848651009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238579.25343299913"/>
  </r>
  <r>
    <x v="3"/>
    <s v="Østdanmark"/>
    <x v="34"/>
    <x v="2"/>
    <n v="69114.43723327505"/>
  </r>
  <r>
    <x v="3"/>
    <s v="Østdanmark"/>
    <x v="35"/>
    <x v="2"/>
    <n v="437726.22620455944"/>
  </r>
  <r>
    <x v="3"/>
    <s v="Østdanmark"/>
    <x v="36"/>
    <x v="2"/>
    <n v="641761.08642399055"/>
  </r>
  <r>
    <x v="3"/>
    <s v="Østdanmark"/>
    <x v="26"/>
    <x v="2"/>
    <n v="457927.02496060182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3690.80267816613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2624286.3778383415"/>
  </r>
  <r>
    <x v="5"/>
    <s v="Vestdanmark"/>
    <x v="15"/>
    <x v="1"/>
    <n v="2432259.1444606641"/>
  </r>
  <r>
    <x v="5"/>
    <s v="Vestdanmark"/>
    <x v="16"/>
    <x v="1"/>
    <n v="1612.6002200520545"/>
  </r>
  <r>
    <x v="5"/>
    <s v="Vestdanmark"/>
    <x v="20"/>
    <x v="1"/>
    <n v="167730.1780268476"/>
  </r>
  <r>
    <x v="5"/>
    <s v="Vestdanmark"/>
    <x v="38"/>
    <x v="1"/>
    <n v="18349026.989869542"/>
  </r>
  <r>
    <x v="5"/>
    <s v="Vestdanmark"/>
    <x v="39"/>
    <x v="1"/>
    <n v="1027550.6043709198"/>
  </r>
  <r>
    <x v="5"/>
    <s v="Vestdanmark"/>
    <x v="14"/>
    <x v="2"/>
    <n v="0"/>
  </r>
  <r>
    <x v="5"/>
    <s v="Vestdanmark"/>
    <x v="15"/>
    <x v="2"/>
    <n v="68744.822418311567"/>
  </r>
  <r>
    <x v="5"/>
    <s v="Vestdanmark"/>
    <x v="16"/>
    <x v="2"/>
    <n v="561.84151705662089"/>
  </r>
  <r>
    <x v="5"/>
    <s v="Vestdanmark"/>
    <x v="20"/>
    <x v="2"/>
    <n v="21799.461540380005"/>
  </r>
  <r>
    <x v="5"/>
    <s v="Vestdanmark"/>
    <x v="38"/>
    <x v="2"/>
    <e v="#DIV/0!"/>
  </r>
  <r>
    <x v="5"/>
    <s v="Vestdanmark"/>
    <x v="39"/>
    <x v="2"/>
    <e v="#DIV/0!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380251.52538746473"/>
  </r>
  <r>
    <x v="5"/>
    <s v="Østdanmark"/>
    <x v="15"/>
    <x v="1"/>
    <n v="172870.41030072086"/>
  </r>
  <r>
    <x v="5"/>
    <s v="Østdanmark"/>
    <x v="16"/>
    <x v="1"/>
    <n v="135.34494123826798"/>
  </r>
  <r>
    <x v="5"/>
    <s v="Østdanmark"/>
    <x v="20"/>
    <x v="1"/>
    <n v="22506.567396310857"/>
  </r>
  <r>
    <x v="5"/>
    <s v="Østdanmark"/>
    <x v="38"/>
    <x v="1"/>
    <n v="2955271.7916417704"/>
  </r>
  <r>
    <x v="5"/>
    <s v="Østdanmark"/>
    <x v="39"/>
    <x v="1"/>
    <n v="469385.8379067207"/>
  </r>
  <r>
    <x v="5"/>
    <s v="Østdanmark"/>
    <x v="14"/>
    <x v="2"/>
    <n v="0"/>
  </r>
  <r>
    <x v="5"/>
    <s v="Østdanmark"/>
    <x v="15"/>
    <x v="2"/>
    <n v="4885.9701831397142"/>
  </r>
  <r>
    <x v="5"/>
    <s v="Østdanmark"/>
    <x v="16"/>
    <x v="2"/>
    <n v="47.155151143904114"/>
  </r>
  <r>
    <x v="5"/>
    <s v="Østdanmark"/>
    <x v="20"/>
    <x v="2"/>
    <n v="3097.7085905225945"/>
  </r>
  <r>
    <x v="5"/>
    <s v="Østdanmark"/>
    <x v="38"/>
    <x v="2"/>
    <e v="#DIV/0!"/>
  </r>
  <r>
    <x v="5"/>
    <s v="Østdanmark"/>
    <x v="39"/>
    <x v="2"/>
    <e v="#DIV/0!"/>
  </r>
  <r>
    <x v="6"/>
    <s v="Vestdanmark"/>
    <x v="23"/>
    <x v="0"/>
    <n v="0"/>
  </r>
  <r>
    <x v="6"/>
    <s v="Vestdanmark"/>
    <x v="23"/>
    <x v="1"/>
    <n v="14277650.729439929"/>
  </r>
  <r>
    <x v="6"/>
    <s v="Vestdanmark"/>
    <x v="23"/>
    <x v="2"/>
    <n v="6058655.6146041919"/>
  </r>
  <r>
    <x v="6"/>
    <s v="Østdanmark"/>
    <x v="23"/>
    <x v="0"/>
    <n v="0"/>
  </r>
  <r>
    <x v="6"/>
    <s v="Østdanmark"/>
    <x v="23"/>
    <x v="1"/>
    <n v="1732245.2164050208"/>
  </r>
  <r>
    <x v="6"/>
    <s v="Østdanmark"/>
    <x v="23"/>
    <x v="2"/>
    <n v="733919.99628634495"/>
  </r>
  <r>
    <x v="7"/>
    <s v="Vestdanmark"/>
    <x v="40"/>
    <x v="0"/>
    <n v="485762.00237315823"/>
  </r>
  <r>
    <x v="7"/>
    <s v="Vestdanmark"/>
    <x v="40"/>
    <x v="1"/>
    <n v="736256.34152477351"/>
  </r>
  <r>
    <x v="7"/>
    <s v="Vestdanmark"/>
    <x v="40"/>
    <x v="2"/>
    <n v="649292.34846099082"/>
  </r>
  <r>
    <x v="7"/>
    <s v="Østdanmark"/>
    <x v="40"/>
    <x v="0"/>
    <n v="192563.22613808865"/>
  </r>
  <r>
    <x v="7"/>
    <s v="Østdanmark"/>
    <x v="40"/>
    <x v="1"/>
    <n v="225771.64512076203"/>
  </r>
  <r>
    <x v="7"/>
    <s v="Østdanmark"/>
    <x v="40"/>
    <x v="2"/>
    <n v="215982.61635398451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00342.5314320424"/>
  </r>
  <r>
    <x v="0"/>
    <x v="2"/>
    <x v="1"/>
    <s v="JB1-10"/>
    <n v="543583.04014158307"/>
  </r>
  <r>
    <x v="0"/>
    <x v="3"/>
    <x v="1"/>
    <s v="JB1-10"/>
    <n v="362850.67167361401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66595.901673525368"/>
  </r>
  <r>
    <x v="0"/>
    <x v="2"/>
    <x v="1"/>
    <s v="OC6"/>
    <n v="0"/>
  </r>
  <r>
    <x v="0"/>
    <x v="3"/>
    <x v="1"/>
    <s v="OC6"/>
    <n v="74044.098326474632"/>
  </r>
  <r>
    <x v="0"/>
    <x v="4"/>
    <x v="1"/>
    <s v="OC6"/>
    <n v="0"/>
  </r>
  <r>
    <x v="0"/>
    <x v="0"/>
    <x v="1"/>
    <s v="OC12"/>
    <n v="0"/>
  </r>
  <r>
    <x v="0"/>
    <x v="1"/>
    <x v="1"/>
    <s v="OC12"/>
    <n v="50308.863648834013"/>
  </r>
  <r>
    <x v="0"/>
    <x v="2"/>
    <x v="1"/>
    <s v="OC12"/>
    <n v="0"/>
  </r>
  <r>
    <x v="0"/>
    <x v="3"/>
    <x v="1"/>
    <s v="OC12"/>
    <n v="61682.247462277082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463209.4724471318"/>
  </r>
  <r>
    <x v="0"/>
    <x v="2"/>
    <x v="2"/>
    <s v="JB1-10"/>
    <n v="652101.55866010161"/>
  </r>
  <r>
    <x v="0"/>
    <x v="3"/>
    <x v="2"/>
    <s v="JB1-10"/>
    <n v="491465.21214000636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7582.4059259259229"/>
  </r>
  <r>
    <x v="0"/>
    <x v="2"/>
    <x v="2"/>
    <s v="OC6"/>
    <n v="0"/>
  </r>
  <r>
    <x v="0"/>
    <x v="3"/>
    <x v="2"/>
    <s v="OC6"/>
    <n v="133057.59407407406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1991.11111111109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22741.61671610549"/>
  </r>
  <r>
    <x v="1"/>
    <x v="2"/>
    <x v="1"/>
    <s v="JB1-10"/>
    <n v="143826.95985841687"/>
  </r>
  <r>
    <x v="1"/>
    <x v="3"/>
    <x v="1"/>
    <s v="JB1-10"/>
    <n v="82325.18017823789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0114.39462277092"/>
  </r>
  <r>
    <x v="1"/>
    <x v="2"/>
    <x v="1"/>
    <s v="OC6"/>
    <n v="0"/>
  </r>
  <r>
    <x v="1"/>
    <x v="3"/>
    <x v="1"/>
    <s v="OC6"/>
    <n v="11245.605377229082"/>
  </r>
  <r>
    <x v="1"/>
    <x v="4"/>
    <x v="1"/>
    <s v="OC6"/>
    <n v="0"/>
  </r>
  <r>
    <x v="1"/>
    <x v="0"/>
    <x v="1"/>
    <s v="OC12"/>
    <n v="0"/>
  </r>
  <r>
    <x v="1"/>
    <x v="1"/>
    <x v="1"/>
    <s v="OC12"/>
    <n v="7640.7659807956097"/>
  </r>
  <r>
    <x v="1"/>
    <x v="2"/>
    <x v="1"/>
    <s v="OC12"/>
    <n v="0"/>
  </r>
  <r>
    <x v="1"/>
    <x v="3"/>
    <x v="1"/>
    <s v="OC12"/>
    <n v="9368.12290809327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486726.52755286818"/>
  </r>
  <r>
    <x v="1"/>
    <x v="2"/>
    <x v="2"/>
    <s v="JB1-10"/>
    <n v="160308.44133989836"/>
  </r>
  <r>
    <x v="1"/>
    <x v="3"/>
    <x v="2"/>
    <s v="JB1-10"/>
    <n v="101858.78785999372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151.5940740740734"/>
  </r>
  <r>
    <x v="1"/>
    <x v="2"/>
    <x v="2"/>
    <s v="OC6"/>
    <n v="0"/>
  </r>
  <r>
    <x v="1"/>
    <x v="3"/>
    <x v="2"/>
    <s v="OC6"/>
    <n v="20208.405925925927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7008.888888888891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4663363.7758037988"/>
  </r>
  <r>
    <x v="1"/>
    <x v="0"/>
    <x v="1"/>
    <n v="735809.0653745383"/>
  </r>
  <r>
    <x v="2"/>
    <x v="0"/>
    <x v="1"/>
    <n v="736256.34152477351"/>
  </r>
  <r>
    <x v="3"/>
    <x v="0"/>
    <x v="1"/>
    <n v="20061837.661928307"/>
  </r>
  <r>
    <x v="4"/>
    <x v="0"/>
    <x v="1"/>
    <n v="1055655.6204498296"/>
  </r>
  <r>
    <x v="5"/>
    <x v="0"/>
    <x v="1"/>
    <n v="1695915.6587194109"/>
  </r>
  <r>
    <x v="6"/>
    <x v="0"/>
    <x v="1"/>
    <n v="1903494.0653747609"/>
  </r>
  <r>
    <x v="7"/>
    <x v="0"/>
    <x v="1"/>
    <n v="3948930.9849556261"/>
  </r>
  <r>
    <x v="8"/>
    <x v="0"/>
    <x v="1"/>
    <n v="750025.29549583921"/>
  </r>
  <r>
    <x v="9"/>
    <x v="0"/>
    <x v="1"/>
    <n v="982115.03636884945"/>
  </r>
  <r>
    <x v="10"/>
    <x v="0"/>
    <x v="1"/>
    <n v="710419.72735456063"/>
  </r>
  <r>
    <x v="11"/>
    <x v="0"/>
    <x v="1"/>
    <n v="681865.66095142043"/>
  </r>
  <r>
    <x v="12"/>
    <x v="0"/>
    <x v="1"/>
    <n v="896780.35875026754"/>
  </r>
  <r>
    <x v="0"/>
    <x v="0"/>
    <x v="2"/>
    <n v="420045.64366621693"/>
  </r>
  <r>
    <x v="1"/>
    <x v="0"/>
    <x v="2"/>
    <n v="983865.71975473268"/>
  </r>
  <r>
    <x v="2"/>
    <x v="0"/>
    <x v="2"/>
    <n v="649292.34846099082"/>
  </r>
  <r>
    <x v="3"/>
    <x v="0"/>
    <x v="2"/>
    <n v="26114077.403632663"/>
  </r>
  <r>
    <x v="4"/>
    <x v="0"/>
    <x v="2"/>
    <n v="1519931.6771751184"/>
  </r>
  <r>
    <x v="5"/>
    <x v="0"/>
    <x v="2"/>
    <n v="948178.75571234117"/>
  </r>
  <r>
    <x v="6"/>
    <x v="0"/>
    <x v="2"/>
    <n v="1115629.1792631589"/>
  </r>
  <r>
    <x v="7"/>
    <x v="0"/>
    <x v="2"/>
    <n v="0"/>
  </r>
  <r>
    <x v="8"/>
    <x v="0"/>
    <x v="2"/>
    <n v="1207470.6320248828"/>
  </r>
  <r>
    <x v="9"/>
    <x v="0"/>
    <x v="2"/>
    <n v="0"/>
  </r>
  <r>
    <x v="10"/>
    <x v="0"/>
    <x v="2"/>
    <n v="0"/>
  </r>
  <r>
    <x v="11"/>
    <x v="0"/>
    <x v="2"/>
    <n v="386762.96576702269"/>
  </r>
  <r>
    <x v="12"/>
    <x v="0"/>
    <x v="2"/>
    <n v="1315903.539799313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416204.9102783564"/>
  </r>
  <r>
    <x v="1"/>
    <x v="1"/>
    <x v="1"/>
    <n v="224496.54397532428"/>
  </r>
  <r>
    <x v="2"/>
    <x v="1"/>
    <x v="1"/>
    <n v="225771.64512076203"/>
  </r>
  <r>
    <x v="3"/>
    <x v="1"/>
    <x v="1"/>
    <n v="5594360.665097801"/>
  </r>
  <r>
    <x v="4"/>
    <x v="1"/>
    <x v="1"/>
    <n v="324551.69572937489"/>
  </r>
  <r>
    <x v="5"/>
    <x v="1"/>
    <x v="1"/>
    <n v="499382.99632277054"/>
  </r>
  <r>
    <x v="6"/>
    <x v="1"/>
    <x v="1"/>
    <n v="594657.92108707852"/>
  </r>
  <r>
    <x v="7"/>
    <x v="1"/>
    <x v="1"/>
    <n v="1156433.9505254913"/>
  </r>
  <r>
    <x v="8"/>
    <x v="1"/>
    <x v="1"/>
    <n v="230638.97041088896"/>
  </r>
  <r>
    <x v="9"/>
    <x v="1"/>
    <x v="1"/>
    <n v="294500.89085380302"/>
  </r>
  <r>
    <x v="10"/>
    <x v="1"/>
    <x v="1"/>
    <n v="227702.74434968803"/>
  </r>
  <r>
    <x v="11"/>
    <x v="1"/>
    <x v="1"/>
    <n v="205293.78890297885"/>
  </r>
  <r>
    <x v="12"/>
    <x v="1"/>
    <x v="1"/>
    <n v="272404.80098126631"/>
  </r>
  <r>
    <x v="0"/>
    <x v="1"/>
    <x v="2"/>
    <n v="139725.28295175743"/>
  </r>
  <r>
    <x v="1"/>
    <x v="1"/>
    <x v="2"/>
    <n v="327276.13808680209"/>
  </r>
  <r>
    <x v="2"/>
    <x v="1"/>
    <x v="2"/>
    <n v="215982.61635398451"/>
  </r>
  <r>
    <x v="3"/>
    <x v="1"/>
    <x v="2"/>
    <n v="8658940.9474013411"/>
  </r>
  <r>
    <x v="4"/>
    <x v="1"/>
    <x v="2"/>
    <n v="505594.77728899289"/>
  </r>
  <r>
    <x v="5"/>
    <x v="1"/>
    <x v="2"/>
    <n v="315405.11591647175"/>
  </r>
  <r>
    <x v="6"/>
    <x v="1"/>
    <x v="2"/>
    <n v="371106.34306601883"/>
  </r>
  <r>
    <x v="7"/>
    <x v="1"/>
    <x v="2"/>
    <n v="0"/>
  </r>
  <r>
    <x v="8"/>
    <x v="1"/>
    <x v="2"/>
    <n v="401656.76816227223"/>
  </r>
  <r>
    <x v="9"/>
    <x v="1"/>
    <x v="2"/>
    <n v="0"/>
  </r>
  <r>
    <x v="10"/>
    <x v="1"/>
    <x v="2"/>
    <n v="0"/>
  </r>
  <r>
    <x v="11"/>
    <x v="1"/>
    <x v="2"/>
    <n v="128654.0299653736"/>
  </r>
  <r>
    <x v="12"/>
    <x v="1"/>
    <x v="2"/>
    <n v="437726.2262045594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549570.00189249648"/>
    <n v="3852485.7132664006"/>
    <n v="1350328.4938290967"/>
    <n v="1350328.4938290967"/>
  </r>
  <r>
    <x v="0"/>
    <x v="1"/>
    <x v="1"/>
    <s v="Konventionel"/>
    <x v="0"/>
    <s v="Halm"/>
    <n v="163865.56173743002"/>
    <n v="632521.06830647995"/>
    <n v="201653.45648562003"/>
    <n v="201653.45648562003"/>
  </r>
  <r>
    <x v="0"/>
    <x v="2"/>
    <x v="1"/>
    <s v="Konventionel"/>
    <x v="0"/>
    <s v="Halm"/>
    <n v="143784.0142759982"/>
    <n v="632649.66281439213"/>
    <n v="362862.00504546956"/>
    <n v="362862.00504546956"/>
  </r>
  <r>
    <x v="0"/>
    <x v="3"/>
    <x v="1"/>
    <s v="Konventionel"/>
    <x v="0"/>
    <s v="Græs"/>
    <n v="232128.24388948342"/>
    <n v="11518203.461796168"/>
    <n v="0"/>
    <n v="11518203.461796168"/>
  </r>
  <r>
    <x v="0"/>
    <x v="4"/>
    <x v="1"/>
    <s v="Konventionel"/>
    <x v="0"/>
    <s v="Grøntsager"/>
    <n v="39640.409978651463"/>
    <n v="822538.50705701788"/>
    <n v="0"/>
    <n v="822538.50705701788"/>
  </r>
  <r>
    <x v="0"/>
    <x v="5"/>
    <x v="1"/>
    <s v="Konventionel"/>
    <x v="0"/>
    <s v="Kartofler"/>
    <n v="33011.927807710199"/>
    <n v="1402046.2672618506"/>
    <n v="0"/>
    <n v="1402046.2672618506"/>
  </r>
  <r>
    <x v="0"/>
    <x v="6"/>
    <x v="1"/>
    <s v="Konventionel"/>
    <x v="0"/>
    <s v="Roer"/>
    <n v="20302.460574954777"/>
    <n v="1649650.6771649821"/>
    <n v="0"/>
    <n v="1649650.6771649821"/>
  </r>
  <r>
    <x v="0"/>
    <x v="7"/>
    <x v="1"/>
    <s v="Konventionel"/>
    <x v="0"/>
    <s v="Majs"/>
    <n v="70768.074420551435"/>
    <n v="3149886.9924587444"/>
    <n v="0"/>
    <n v="3149886.9924587444"/>
  </r>
  <r>
    <x v="0"/>
    <x v="8"/>
    <x v="1"/>
    <s v="Konventionel"/>
    <x v="0"/>
    <s v="Frugt"/>
    <n v="76597.510260677154"/>
    <n v="650312.86211314914"/>
    <n v="0"/>
    <n v="650312.86211314914"/>
  </r>
  <r>
    <x v="0"/>
    <x v="9"/>
    <x v="1"/>
    <s v="Konventionel"/>
    <x v="0"/>
    <s v="Øvrige"/>
    <n v="27203.247984048536"/>
    <n v="810546.44017189322"/>
    <n v="0"/>
    <n v="810546.44017189322"/>
  </r>
  <r>
    <x v="0"/>
    <x v="10"/>
    <x v="1"/>
    <s v="Konventionel"/>
    <x v="0"/>
    <s v="Halm"/>
    <n v="39289.80368337129"/>
    <n v="561406.53409953392"/>
    <n v="100155.67351354605"/>
    <n v="100155.67351354605"/>
  </r>
  <r>
    <x v="0"/>
    <x v="11"/>
    <x v="1"/>
    <s v="Konventionel"/>
    <x v="0"/>
    <s v="Juletræer"/>
    <n v="11437.918624561291"/>
    <n v="571895.93122806458"/>
    <n v="0"/>
    <n v="571895.93122806458"/>
  </r>
  <r>
    <x v="0"/>
    <x v="12"/>
    <x v="1"/>
    <s v="Konventionel"/>
    <x v="0"/>
    <s v="Pil &amp; poppel"/>
    <n v="31145.785633214087"/>
    <n v="759653.30812717287"/>
    <n v="0"/>
    <n v="759653.30812717287"/>
  </r>
  <r>
    <x v="0"/>
    <x v="13"/>
    <x v="1"/>
    <s v="Konventionel"/>
    <x v="0"/>
    <s v="Græs"/>
    <n v="68835.987693799732"/>
    <n v="949248.27029749833"/>
    <n v="0"/>
    <n v="949248.27029749833"/>
  </r>
  <r>
    <x v="0"/>
    <x v="0"/>
    <x v="2"/>
    <s v="Konventionel"/>
    <x v="0"/>
    <s v="Korn"/>
    <n v="0"/>
    <n v="0"/>
    <n v="0"/>
    <n v="0"/>
  </r>
  <r>
    <x v="0"/>
    <x v="1"/>
    <x v="2"/>
    <s v="Konventionel"/>
    <x v="0"/>
    <s v="Bælgsæd"/>
    <n v="0"/>
    <n v="0"/>
    <n v="0"/>
    <n v="0"/>
  </r>
  <r>
    <x v="0"/>
    <x v="2"/>
    <x v="2"/>
    <s v="Konventionel"/>
    <x v="0"/>
    <s v="Raps"/>
    <n v="0"/>
    <n v="0"/>
    <n v="0"/>
    <n v="0"/>
  </r>
  <r>
    <x v="0"/>
    <x v="3"/>
    <x v="2"/>
    <s v="Konventionel"/>
    <x v="0"/>
    <s v="Græs"/>
    <n v="0"/>
    <n v="0"/>
    <n v="0"/>
    <n v="0"/>
  </r>
  <r>
    <x v="0"/>
    <x v="4"/>
    <x v="2"/>
    <s v="Konventionel"/>
    <x v="0"/>
    <s v="Grøntsager"/>
    <n v="0"/>
    <n v="0"/>
    <n v="0"/>
    <n v="0"/>
  </r>
  <r>
    <x v="0"/>
    <x v="5"/>
    <x v="2"/>
    <s v="Konventionel"/>
    <x v="0"/>
    <s v="Kartofler"/>
    <n v="0"/>
    <n v="0"/>
    <n v="0"/>
    <n v="0"/>
  </r>
  <r>
    <x v="0"/>
    <x v="6"/>
    <x v="2"/>
    <s v="Konventionel"/>
    <x v="0"/>
    <s v="Roer"/>
    <n v="0"/>
    <n v="0"/>
    <n v="0"/>
    <n v="0"/>
  </r>
  <r>
    <x v="0"/>
    <x v="7"/>
    <x v="2"/>
    <s v="Konventionel"/>
    <x v="0"/>
    <s v="Majs"/>
    <n v="0"/>
    <n v="0"/>
    <n v="0"/>
    <n v="0"/>
  </r>
  <r>
    <x v="0"/>
    <x v="8"/>
    <x v="2"/>
    <s v="Konventionel"/>
    <x v="0"/>
    <s v="Frugt"/>
    <n v="0"/>
    <n v="0"/>
    <n v="0"/>
    <n v="0"/>
  </r>
  <r>
    <x v="0"/>
    <x v="9"/>
    <x v="2"/>
    <s v="Konventionel"/>
    <x v="0"/>
    <s v="Øvrige"/>
    <n v="0"/>
    <n v="0"/>
    <n v="0"/>
    <n v="0"/>
  </r>
  <r>
    <x v="0"/>
    <x v="10"/>
    <x v="2"/>
    <s v="Konventionel"/>
    <x v="0"/>
    <s v="Frø"/>
    <n v="0"/>
    <n v="0"/>
    <n v="0"/>
    <n v="0"/>
  </r>
  <r>
    <x v="0"/>
    <x v="11"/>
    <x v="2"/>
    <s v="Konventionel"/>
    <x v="0"/>
    <s v="Juletræer"/>
    <n v="0"/>
    <n v="0"/>
    <n v="0"/>
    <n v="0"/>
  </r>
  <r>
    <x v="0"/>
    <x v="12"/>
    <x v="2"/>
    <s v="Konventionel"/>
    <x v="0"/>
    <s v="Pil &amp; poppel"/>
    <n v="0"/>
    <n v="0"/>
    <n v="0"/>
    <n v="0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70268.852646918647"/>
    <n v="330031.72022678284"/>
    <n v="115678.88082102813"/>
    <n v="115678.88082102813"/>
  </r>
  <r>
    <x v="0"/>
    <x v="1"/>
    <x v="1"/>
    <s v="Økologisk"/>
    <x v="0"/>
    <s v="Halm"/>
    <n v="20952.098862711297"/>
    <n v="46098.807917737402"/>
    <n v="14696.718294882417"/>
    <n v="14696.718294882417"/>
  </r>
  <r>
    <x v="0"/>
    <x v="2"/>
    <x v="1"/>
    <s v="Økologisk"/>
    <x v="0"/>
    <s v="Halm"/>
    <n v="18384.441795130875"/>
    <n v="44490.349144216721"/>
    <n v="25517.846992640829"/>
    <n v="25517.846992640829"/>
  </r>
  <r>
    <x v="0"/>
    <x v="3"/>
    <x v="1"/>
    <s v="Økologisk"/>
    <x v="0"/>
    <s v="Græs"/>
    <n v="29680.26877174573"/>
    <n v="1148733.2504341381"/>
    <n v="0"/>
    <n v="1148733.2504341381"/>
  </r>
  <r>
    <x v="0"/>
    <x v="4"/>
    <x v="1"/>
    <s v="Økologisk"/>
    <x v="0"/>
    <s v="Grøntsager"/>
    <n v="5068.4828467005436"/>
    <n v="59947.480869350678"/>
    <n v="0"/>
    <n v="59947.480869350678"/>
  </r>
  <r>
    <x v="0"/>
    <x v="5"/>
    <x v="1"/>
    <s v="Økologisk"/>
    <x v="0"/>
    <s v="Kartofler"/>
    <n v="4220.9550789209043"/>
    <n v="102182.62253197838"/>
    <n v="0"/>
    <n v="102182.62253197838"/>
  </r>
  <r>
    <x v="0"/>
    <x v="6"/>
    <x v="1"/>
    <s v="Økologisk"/>
    <x v="0"/>
    <s v="Roer"/>
    <n v="2595.9033528006162"/>
    <n v="120228.29516430649"/>
    <n v="0"/>
    <n v="120228.29516430649"/>
  </r>
  <r>
    <x v="0"/>
    <x v="7"/>
    <x v="1"/>
    <s v="Økologisk"/>
    <x v="0"/>
    <s v="Majs"/>
    <n v="9048.5131583594866"/>
    <n v="334281.93616322207"/>
    <n v="0"/>
    <n v="334281.93616322207"/>
  </r>
  <r>
    <x v="0"/>
    <x v="8"/>
    <x v="1"/>
    <s v="Økologisk"/>
    <x v="0"/>
    <s v="Frugt"/>
    <n v="9793.8736522981453"/>
    <n v="47395.492765566421"/>
    <n v="0"/>
    <n v="47395.492765566421"/>
  </r>
  <r>
    <x v="0"/>
    <x v="9"/>
    <x v="1"/>
    <s v="Økologisk"/>
    <x v="0"/>
    <s v="Øvrige"/>
    <n v="3478.2484806778398"/>
    <n v="59073.486285495703"/>
    <n v="0"/>
    <n v="59073.486285495703"/>
  </r>
  <r>
    <x v="0"/>
    <x v="10"/>
    <x v="1"/>
    <s v="Økologisk"/>
    <x v="0"/>
    <s v="Halm"/>
    <n v="5023.6537948685918"/>
    <n v="40915.905059904195"/>
    <n v="7299.4519653461457"/>
    <n v="7299.4519653461457"/>
  </r>
  <r>
    <x v="0"/>
    <x v="11"/>
    <x v="1"/>
    <s v="Økologisk"/>
    <x v="0"/>
    <s v="Juletræer"/>
    <n v="1462.4695955911445"/>
    <n v="41680.383474347618"/>
    <n v="0"/>
    <n v="41680.383474347618"/>
  </r>
  <r>
    <x v="0"/>
    <x v="12"/>
    <x v="1"/>
    <s v="Økologisk"/>
    <x v="0"/>
    <s v="Pil &amp; poppel"/>
    <n v="3982.3473146209913"/>
    <n v="55364.340715462567"/>
    <n v="0"/>
    <n v="55364.340715462567"/>
  </r>
  <r>
    <x v="0"/>
    <x v="13"/>
    <x v="1"/>
    <s v="Økologisk"/>
    <x v="0"/>
    <s v="Græs"/>
    <n v="8801.4736237494071"/>
    <n v="121372.32127150433"/>
    <n v="0"/>
    <n v="121372.32127150433"/>
  </r>
  <r>
    <x v="0"/>
    <x v="0"/>
    <x v="2"/>
    <s v="Økologisk"/>
    <x v="0"/>
    <s v="Halm"/>
    <n v="73160.473622356585"/>
    <n v="343612.79646212218"/>
    <n v="137101.84797854407"/>
    <n v="137101.84797854407"/>
  </r>
  <r>
    <x v="0"/>
    <x v="1"/>
    <x v="2"/>
    <s v="Økologisk"/>
    <x v="0"/>
    <s v="Halm"/>
    <n v="365802.36811178294"/>
    <n v="804838.3703195448"/>
    <n v="292088.81867644796"/>
    <n v="292088.81867644796"/>
  </r>
  <r>
    <x v="0"/>
    <x v="2"/>
    <x v="2"/>
    <s v="Økologisk"/>
    <x v="0"/>
    <s v="Halm"/>
    <n v="219481.42086706977"/>
    <n v="531145.03849830886"/>
    <n v="346790.28977475752"/>
    <n v="346790.28977475752"/>
  </r>
  <r>
    <x v="0"/>
    <x v="3"/>
    <x v="2"/>
    <s v="Økologisk"/>
    <x v="0"/>
    <s v="Græs"/>
    <n v="365802.36811178294"/>
    <n v="14157868.534451202"/>
    <n v="0"/>
    <n v="14157868.534451202"/>
  </r>
  <r>
    <x v="0"/>
    <x v="4"/>
    <x v="2"/>
    <s v="Økologisk"/>
    <x v="0"/>
    <s v="Grøntsager"/>
    <n v="94575.720443401937"/>
    <n v="1118594.3335443365"/>
    <n v="0"/>
    <n v="1118594.3335443365"/>
  </r>
  <r>
    <x v="0"/>
    <x v="5"/>
    <x v="2"/>
    <s v="Økologisk"/>
    <x v="0"/>
    <s v="Kartofler"/>
    <n v="32040.313007021148"/>
    <n v="775645.12026028824"/>
    <n v="0"/>
    <n v="775645.12026028824"/>
  </r>
  <r>
    <x v="0"/>
    <x v="6"/>
    <x v="2"/>
    <s v="Økologisk"/>
    <x v="0"/>
    <s v="Roer"/>
    <n v="19704.9137942901"/>
    <n v="912625.72980277194"/>
    <n v="0"/>
    <n v="912625.72980277194"/>
  </r>
  <r>
    <x v="0"/>
    <x v="7"/>
    <x v="2"/>
    <s v="Økologisk"/>
    <x v="0"/>
    <s v="Majs"/>
    <n v="0"/>
    <n v="0"/>
    <n v="0"/>
    <n v="0"/>
  </r>
  <r>
    <x v="0"/>
    <x v="8"/>
    <x v="2"/>
    <s v="Økologisk"/>
    <x v="0"/>
    <s v="Frugt"/>
    <n v="204111.21823863432"/>
    <n v="987755.41842222307"/>
    <n v="0"/>
    <n v="987755.41842222307"/>
  </r>
  <r>
    <x v="0"/>
    <x v="9"/>
    <x v="2"/>
    <s v="Økologisk"/>
    <x v="0"/>
    <s v="Øvrige"/>
    <n v="0"/>
    <n v="0"/>
    <n v="0"/>
    <n v="0"/>
  </r>
  <r>
    <x v="0"/>
    <x v="10"/>
    <x v="2"/>
    <s v="Økologisk"/>
    <x v="0"/>
    <s v="Frø"/>
    <n v="0"/>
    <n v="0"/>
    <n v="0"/>
    <n v="0"/>
  </r>
  <r>
    <x v="0"/>
    <x v="11"/>
    <x v="2"/>
    <s v="Økologisk"/>
    <x v="0"/>
    <s v="Juletræer"/>
    <n v="11101.275121357427"/>
    <n v="316386.3409586866"/>
    <n v="0"/>
    <n v="316386.3409586866"/>
  </r>
  <r>
    <x v="0"/>
    <x v="12"/>
    <x v="2"/>
    <s v="Økologisk"/>
    <x v="0"/>
    <s v="Pil &amp; poppel"/>
    <n v="77429.401129434642"/>
    <n v="1076457.5278970182"/>
    <n v="0"/>
    <n v="1076457.5278970182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1146.675971614259"/>
    <n v="93765.838273219139"/>
    <n v="32865.711281443299"/>
    <n v="32865.711281443299"/>
  </r>
  <r>
    <x v="0"/>
    <x v="1"/>
    <x v="1"/>
    <s v="Konventionel"/>
    <x v="1"/>
    <s v="Halm"/>
    <n v="955.53991373678116"/>
    <n v="4426.0608804287704"/>
    <n v="1411.0683736494675"/>
    <n v="1411.0683736494675"/>
  </r>
  <r>
    <x v="0"/>
    <x v="2"/>
    <x v="1"/>
    <s v="Konventionel"/>
    <x v="1"/>
    <s v="Halm"/>
    <n v="1023.175894073177"/>
    <n v="5402.368720706374"/>
    <n v="3098.5780301689088"/>
    <n v="3098.5780301689088"/>
  </r>
  <r>
    <x v="0"/>
    <x v="3"/>
    <x v="1"/>
    <s v="Konventionel"/>
    <x v="1"/>
    <s v="Græs"/>
    <n v="9442.2283096878091"/>
    <n v="562228.04247205087"/>
    <n v="0"/>
    <n v="562228.04247205087"/>
  </r>
  <r>
    <x v="0"/>
    <x v="4"/>
    <x v="1"/>
    <s v="Konventionel"/>
    <x v="1"/>
    <s v="Grøntsager"/>
    <n v="44.161656964352275"/>
    <n v="1099.6252584123717"/>
    <n v="0"/>
    <n v="1099.6252584123717"/>
  </r>
  <r>
    <x v="0"/>
    <x v="5"/>
    <x v="1"/>
    <s v="Konventionel"/>
    <x v="1"/>
    <s v="Kartofler"/>
    <n v="697.1981006225534"/>
    <n v="35532.756531411018"/>
    <n v="0"/>
    <n v="35532.756531411018"/>
  </r>
  <r>
    <x v="0"/>
    <x v="6"/>
    <x v="1"/>
    <s v="Konventionel"/>
    <x v="1"/>
    <s v="Roer"/>
    <n v="18.291214869045849"/>
    <n v="1783.4753506940704"/>
    <n v="0"/>
    <n v="1783.4753506940704"/>
  </r>
  <r>
    <x v="0"/>
    <x v="7"/>
    <x v="1"/>
    <s v="Konventionel"/>
    <x v="1"/>
    <s v="Majs"/>
    <n v="2361.1209681497958"/>
    <n v="126112.19315081689"/>
    <n v="0"/>
    <n v="126112.19315081689"/>
  </r>
  <r>
    <x v="0"/>
    <x v="8"/>
    <x v="1"/>
    <s v="Konventionel"/>
    <x v="1"/>
    <s v="Frugt"/>
    <n v="40.223725441831391"/>
    <n v="409.79931480137822"/>
    <n v="0"/>
    <n v="409.79931480137822"/>
  </r>
  <r>
    <x v="0"/>
    <x v="9"/>
    <x v="1"/>
    <s v="Konventionel"/>
    <x v="1"/>
    <s v="Øvrige"/>
    <n v="711.39284184725705"/>
    <n v="25435.945113370781"/>
    <n v="0"/>
    <n v="25435.945113370781"/>
  </r>
  <r>
    <x v="0"/>
    <x v="10"/>
    <x v="1"/>
    <s v="Konventionel"/>
    <x v="1"/>
    <s v="Halm"/>
    <n v="1755.9273228354043"/>
    <n v="30108.241223742698"/>
    <n v="5371.3503404604662"/>
    <n v="5371.3503404604662"/>
  </r>
  <r>
    <x v="0"/>
    <x v="11"/>
    <x v="1"/>
    <s v="Konventionel"/>
    <x v="1"/>
    <s v="Juletræer"/>
    <n v="201.74386646472948"/>
    <n v="12104.631987883768"/>
    <n v="0"/>
    <n v="12104.631987883768"/>
  </r>
  <r>
    <x v="0"/>
    <x v="12"/>
    <x v="1"/>
    <s v="Konventionel"/>
    <x v="1"/>
    <s v="Pil &amp; poppel"/>
    <n v="331.33782011929418"/>
    <n v="9697.692296174464"/>
    <n v="0"/>
    <n v="9697.692296174464"/>
  </r>
  <r>
    <x v="0"/>
    <x v="13"/>
    <x v="1"/>
    <s v="Konventionel"/>
    <x v="1"/>
    <s v="Græs"/>
    <n v="30317.151475612973"/>
    <n v="501688.22261844354"/>
    <n v="0"/>
    <n v="501688.22261844354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1425.2308689613089"/>
    <n v="8032.6581867006962"/>
    <n v="2815.5139403475987"/>
    <n v="2815.5139403475987"/>
  </r>
  <r>
    <x v="0"/>
    <x v="1"/>
    <x v="1"/>
    <s v="Økologisk"/>
    <x v="1"/>
    <s v="Halm"/>
    <n v="122.17678032898468"/>
    <n v="322.5760224957985"/>
    <n v="102.84016323728595"/>
    <n v="102.84016323728595"/>
  </r>
  <r>
    <x v="0"/>
    <x v="2"/>
    <x v="1"/>
    <s v="Økologisk"/>
    <x v="1"/>
    <s v="Halm"/>
    <n v="130.82481919486474"/>
    <n v="379.91527494188728"/>
    <n v="217.90388348513"/>
    <n v="217.90388348513"/>
  </r>
  <r>
    <x v="0"/>
    <x v="3"/>
    <x v="1"/>
    <s v="Økologisk"/>
    <x v="1"/>
    <s v="Græs"/>
    <n v="1207.2976098899321"/>
    <n v="56072.116528963175"/>
    <n v="0"/>
    <n v="56072.116528963175"/>
  </r>
  <r>
    <x v="0"/>
    <x v="4"/>
    <x v="1"/>
    <s v="Økologisk"/>
    <x v="1"/>
    <s v="Grøntsager"/>
    <n v="5.6465763327432592"/>
    <n v="80.141857890625076"/>
    <n v="0"/>
    <n v="80.141857890625076"/>
  </r>
  <r>
    <x v="0"/>
    <x v="5"/>
    <x v="1"/>
    <s v="Økologisk"/>
    <x v="1"/>
    <s v="Kartofler"/>
    <n v="89.144804901380255"/>
    <n v="2589.6650723665152"/>
    <n v="0"/>
    <n v="2589.6650723665152"/>
  </r>
  <r>
    <x v="0"/>
    <x v="6"/>
    <x v="1"/>
    <s v="Økologisk"/>
    <x v="1"/>
    <s v="Roer"/>
    <n v="2.3387424312463354"/>
    <n v="129.98157964570527"/>
    <n v="0"/>
    <n v="129.98157964570527"/>
  </r>
  <r>
    <x v="0"/>
    <x v="7"/>
    <x v="1"/>
    <s v="Økologisk"/>
    <x v="1"/>
    <s v="Majs"/>
    <n v="301.89650239483569"/>
    <n v="13383.66366830776"/>
    <n v="0"/>
    <n v="13383.66366830776"/>
  </r>
  <r>
    <x v="0"/>
    <x v="8"/>
    <x v="1"/>
    <s v="Økologisk"/>
    <x v="1"/>
    <s v="Frugt"/>
    <n v="5.1430664451278778"/>
    <n v="29.866609737488808"/>
    <n v="0"/>
    <n v="29.866609737488808"/>
  </r>
  <r>
    <x v="0"/>
    <x v="9"/>
    <x v="1"/>
    <s v="Økologisk"/>
    <x v="1"/>
    <s v="Øvrige"/>
    <n v="90.959766009237356"/>
    <n v="1853.7987218778912"/>
    <n v="0"/>
    <n v="1853.7987218778912"/>
  </r>
  <r>
    <x v="0"/>
    <x v="10"/>
    <x v="1"/>
    <s v="Økologisk"/>
    <x v="1"/>
    <s v="Halm"/>
    <n v="224.51552647001208"/>
    <n v="2194.3206297149018"/>
    <n v="391.46972331960779"/>
    <n v="391.46972331960779"/>
  </r>
  <r>
    <x v="0"/>
    <x v="11"/>
    <x v="1"/>
    <s v="Økologisk"/>
    <x v="1"/>
    <s v="Juletræer"/>
    <n v="25.79527626364656"/>
    <n v="882.19844821671234"/>
    <n v="0"/>
    <n v="882.19844821671234"/>
  </r>
  <r>
    <x v="0"/>
    <x v="12"/>
    <x v="1"/>
    <s v="Økologisk"/>
    <x v="1"/>
    <s v="Pil &amp; poppel"/>
    <n v="42.365355419942198"/>
    <n v="706.77812456684057"/>
    <n v="0"/>
    <n v="706.77812456684057"/>
  </r>
  <r>
    <x v="0"/>
    <x v="13"/>
    <x v="1"/>
    <s v="Økologisk"/>
    <x v="1"/>
    <s v="Græs"/>
    <n v="3876.3968964428427"/>
    <n v="64146.615842336163"/>
    <n v="0"/>
    <n v="64146.615842336163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7582.4059259259229"/>
    <n v="125473.65326222217"/>
    <n v="0"/>
    <n v="125473.65326222217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5468.2738439636605"/>
    <n v="53665.639504659368"/>
    <n v="18810.255911698143"/>
    <n v="18810.255911698143"/>
  </r>
  <r>
    <x v="0"/>
    <x v="1"/>
    <x v="1"/>
    <s v="Konventionel"/>
    <x v="2"/>
    <s v="Halm"/>
    <n v="314.85895525594401"/>
    <n v="1701.4977942031217"/>
    <n v="542.45293729483592"/>
    <n v="542.45293729483592"/>
  </r>
  <r>
    <x v="0"/>
    <x v="2"/>
    <x v="1"/>
    <s v="Konventionel"/>
    <x v="2"/>
    <s v="Halm"/>
    <n v="407.7280895234743"/>
    <n v="2511.6050314646018"/>
    <n v="1440.5540556921364"/>
    <n v="1440.5540556921364"/>
  </r>
  <r>
    <x v="0"/>
    <x v="3"/>
    <x v="1"/>
    <s v="Konventionel"/>
    <x v="2"/>
    <s v="Græs"/>
    <n v="9403.4968308872321"/>
    <n v="653242.1178480743"/>
    <n v="0"/>
    <n v="653242.1178480743"/>
  </r>
  <r>
    <x v="0"/>
    <x v="4"/>
    <x v="1"/>
    <s v="Konventionel"/>
    <x v="2"/>
    <s v="Grøntsager"/>
    <n v="10.929801981174222"/>
    <n v="317.51074755311117"/>
    <n v="0"/>
    <n v="317.51074755311117"/>
  </r>
  <r>
    <x v="0"/>
    <x v="5"/>
    <x v="1"/>
    <s v="Konventionel"/>
    <x v="2"/>
    <s v="Kartofler"/>
    <n v="578.51762396536299"/>
    <n v="34398.22938940717"/>
    <n v="0"/>
    <n v="34398.22938940717"/>
  </r>
  <r>
    <x v="0"/>
    <x v="6"/>
    <x v="1"/>
    <s v="Konventionel"/>
    <x v="2"/>
    <s v="Roer"/>
    <n v="6.2561258552502439"/>
    <n v="711.66699728918286"/>
    <n v="0"/>
    <n v="711.66699728918286"/>
  </r>
  <r>
    <x v="0"/>
    <x v="7"/>
    <x v="1"/>
    <s v="Konventionel"/>
    <x v="2"/>
    <s v="Majs"/>
    <n v="778.01049498528334"/>
    <n v="48480.945984512946"/>
    <n v="0"/>
    <n v="48480.945984512946"/>
  </r>
  <r>
    <x v="0"/>
    <x v="8"/>
    <x v="1"/>
    <s v="Konventionel"/>
    <x v="2"/>
    <s v="Frugt"/>
    <n v="22.295416568120192"/>
    <n v="265.00332132867663"/>
    <n v="0"/>
    <n v="265.00332132867663"/>
  </r>
  <r>
    <x v="0"/>
    <x v="9"/>
    <x v="1"/>
    <s v="Konventionel"/>
    <x v="2"/>
    <s v="Øvrige"/>
    <n v="394.31453895289167"/>
    <n v="16448.563217935643"/>
    <n v="0"/>
    <n v="16448.563217935643"/>
  </r>
  <r>
    <x v="0"/>
    <x v="10"/>
    <x v="1"/>
    <s v="Konventionel"/>
    <x v="2"/>
    <s v="Halm"/>
    <n v="1254.5770292800325"/>
    <n v="25097.067076818235"/>
    <n v="4477.3501974377168"/>
    <n v="4477.3501974377168"/>
  </r>
  <r>
    <x v="0"/>
    <x v="11"/>
    <x v="1"/>
    <s v="Konventionel"/>
    <x v="2"/>
    <s v="Juletræer"/>
    <n v="111.82364371989816"/>
    <n v="7827.6550603928699"/>
    <n v="0"/>
    <n v="7827.6550603928699"/>
  </r>
  <r>
    <x v="0"/>
    <x v="12"/>
    <x v="1"/>
    <s v="Konventionel"/>
    <x v="2"/>
    <s v="Pil &amp; poppel"/>
    <n v="263.96237747912357"/>
    <n v="9013.3494748969024"/>
    <n v="0"/>
    <n v="9013.3494748969024"/>
  </r>
  <r>
    <x v="0"/>
    <x v="13"/>
    <x v="1"/>
    <s v="Konventionel"/>
    <x v="2"/>
    <s v="Græs"/>
    <n v="25590.487920823747"/>
    <n v="494049.95979942329"/>
    <n v="0"/>
    <n v="494049.95979942329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699.18177420762208"/>
    <n v="4597.3858544893137"/>
    <n v="1611.4222293066468"/>
    <n v="1611.4222293066468"/>
  </r>
  <r>
    <x v="0"/>
    <x v="1"/>
    <x v="1"/>
    <s v="Økologisk"/>
    <x v="2"/>
    <s v="Halm"/>
    <n v="40.258342804836346"/>
    <n v="124.00696817488129"/>
    <n v="39.534546774417556"/>
    <n v="39.534546774417556"/>
  </r>
  <r>
    <x v="0"/>
    <x v="2"/>
    <x v="1"/>
    <s v="Økologisk"/>
    <x v="2"/>
    <s v="Halm"/>
    <n v="52.132730942507166"/>
    <n v="176.62569243321428"/>
    <n v="101.30528263264657"/>
    <n v="101.30528263264657"/>
  </r>
  <r>
    <x v="0"/>
    <x v="3"/>
    <x v="1"/>
    <s v="Økologisk"/>
    <x v="2"/>
    <s v="Græs"/>
    <n v="1202.3453443600399"/>
    <n v="65149.130577962533"/>
    <n v="0"/>
    <n v="65149.130577962533"/>
  </r>
  <r>
    <x v="0"/>
    <x v="4"/>
    <x v="1"/>
    <s v="Økologisk"/>
    <x v="2"/>
    <s v="Grøntsager"/>
    <n v="1.3975010321348786"/>
    <n v="23.140520840605387"/>
    <n v="0"/>
    <n v="23.140520840605387"/>
  </r>
  <r>
    <x v="0"/>
    <x v="5"/>
    <x v="1"/>
    <s v="Økologisk"/>
    <x v="2"/>
    <s v="Kartofler"/>
    <n v="73.97013944007017"/>
    <n v="2506.9795280940934"/>
    <n v="0"/>
    <n v="2506.9795280940934"/>
  </r>
  <r>
    <x v="0"/>
    <x v="6"/>
    <x v="1"/>
    <s v="Økologisk"/>
    <x v="2"/>
    <s v="Roer"/>
    <n v="0.79991772540225237"/>
    <n v="51.867047365338948"/>
    <n v="0"/>
    <n v="51.867047365338948"/>
  </r>
  <r>
    <x v="0"/>
    <x v="7"/>
    <x v="1"/>
    <s v="Økologisk"/>
    <x v="2"/>
    <s v="Majs"/>
    <n v="99.477600017497522"/>
    <n v="5145.0431490169831"/>
    <n v="0"/>
    <n v="5145.0431490169831"/>
  </r>
  <r>
    <x v="0"/>
    <x v="8"/>
    <x v="1"/>
    <s v="Økologisk"/>
    <x v="2"/>
    <s v="Frugt"/>
    <n v="2.8507257239876962"/>
    <n v="19.313723794531121"/>
    <n v="0"/>
    <n v="19.313723794531121"/>
  </r>
  <r>
    <x v="0"/>
    <x v="9"/>
    <x v="1"/>
    <s v="Økologisk"/>
    <x v="2"/>
    <s v="Øvrige"/>
    <n v="50.417654054630312"/>
    <n v="1198.7887744775815"/>
    <n v="0"/>
    <n v="1198.7887744775815"/>
  </r>
  <r>
    <x v="0"/>
    <x v="10"/>
    <x v="1"/>
    <s v="Økologisk"/>
    <x v="2"/>
    <s v="Halm"/>
    <n v="160.41211874940078"/>
    <n v="1829.1009302985503"/>
    <n v="326.31404244722529"/>
    <n v="326.31404244722529"/>
  </r>
  <r>
    <x v="0"/>
    <x v="11"/>
    <x v="1"/>
    <s v="Økologisk"/>
    <x v="2"/>
    <s v="Juletræer"/>
    <n v="14.297940418756939"/>
    <n v="570.48782270840184"/>
    <n v="0"/>
    <n v="570.48782270840184"/>
  </r>
  <r>
    <x v="0"/>
    <x v="12"/>
    <x v="1"/>
    <s v="Økologisk"/>
    <x v="2"/>
    <s v="Pil &amp; poppel"/>
    <n v="33.750629298429502"/>
    <n v="656.90249219870088"/>
    <n v="0"/>
    <n v="656.90249219870088"/>
  </r>
  <r>
    <x v="0"/>
    <x v="13"/>
    <x v="1"/>
    <s v="Økologisk"/>
    <x v="2"/>
    <s v="Græs"/>
    <n v="3272.0385368175012"/>
    <n v="63169.975991798681"/>
    <n v="0"/>
    <n v="63169.975991798681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68956.022670329"/>
    <n v="1184381.7189190062"/>
    <n v="415135.70760801574"/>
    <n v="415135.70760801574"/>
  </r>
  <r>
    <x v="1"/>
    <x v="1"/>
    <x v="1"/>
    <s v="Konventionel"/>
    <x v="0"/>
    <s v="Halm"/>
    <n v="50377.701600261658"/>
    <n v="194457.92817701004"/>
    <n v="61994.952141145608"/>
    <n v="61994.952141145608"/>
  </r>
  <r>
    <x v="1"/>
    <x v="2"/>
    <x v="1"/>
    <s v="Konventionel"/>
    <x v="0"/>
    <s v="Halm"/>
    <n v="44203.968724622173"/>
    <n v="194497.46238833759"/>
    <n v="111555.79987907718"/>
    <n v="111555.79987907718"/>
  </r>
  <r>
    <x v="1"/>
    <x v="3"/>
    <x v="1"/>
    <s v="Konventionel"/>
    <x v="0"/>
    <s v="Græs"/>
    <n v="71363.91124326158"/>
    <n v="3541077.2758906395"/>
    <n v="0"/>
    <n v="3541077.2758906395"/>
  </r>
  <r>
    <x v="1"/>
    <x v="4"/>
    <x v="1"/>
    <s v="Konventionel"/>
    <x v="0"/>
    <s v="Grøntsager"/>
    <n v="12186.775085886682"/>
    <n v="252875.58303214866"/>
    <n v="0"/>
    <n v="252875.58303214866"/>
  </r>
  <r>
    <x v="1"/>
    <x v="5"/>
    <x v="1"/>
    <s v="Konventionel"/>
    <x v="0"/>
    <s v="Kartofler"/>
    <n v="10148.960103105841"/>
    <n v="431035.46427317767"/>
    <n v="0"/>
    <n v="431035.46427317767"/>
  </r>
  <r>
    <x v="1"/>
    <x v="6"/>
    <x v="1"/>
    <s v="Konventionel"/>
    <x v="0"/>
    <s v="Roer"/>
    <n v="6241.6488843154139"/>
    <n v="507157.26158527029"/>
    <n v="0"/>
    <n v="507157.26158527029"/>
  </r>
  <r>
    <x v="1"/>
    <x v="7"/>
    <x v="1"/>
    <s v="Konventionel"/>
    <x v="0"/>
    <s v="Majs"/>
    <n v="21756.450215550725"/>
    <n v="968379.59909416293"/>
    <n v="0"/>
    <n v="968379.59909416293"/>
  </r>
  <r>
    <x v="1"/>
    <x v="8"/>
    <x v="1"/>
    <s v="Konventionel"/>
    <x v="0"/>
    <s v="Frugt"/>
    <n v="23548.611888436528"/>
    <n v="199927.71493282614"/>
    <n v="0"/>
    <n v="199927.71493282614"/>
  </r>
  <r>
    <x v="1"/>
    <x v="9"/>
    <x v="1"/>
    <s v="Konventionel"/>
    <x v="0"/>
    <s v="Øvrige"/>
    <n v="8363.1795172083603"/>
    <n v="249188.82444356114"/>
    <n v="0"/>
    <n v="249188.82444356114"/>
  </r>
  <r>
    <x v="1"/>
    <x v="10"/>
    <x v="1"/>
    <s v="Konventionel"/>
    <x v="0"/>
    <s v="Halm"/>
    <n v="12078.987097150528"/>
    <n v="172594.96474690456"/>
    <n v="30791.171618619235"/>
    <n v="30791.171618619235"/>
  </r>
  <r>
    <x v="1"/>
    <x v="11"/>
    <x v="1"/>
    <s v="Konventionel"/>
    <x v="0"/>
    <s v="Juletræer"/>
    <n v="3516.3950575504314"/>
    <n v="175819.75287752156"/>
    <n v="0"/>
    <n v="175819.75287752156"/>
  </r>
  <r>
    <x v="1"/>
    <x v="12"/>
    <x v="1"/>
    <s v="Konventionel"/>
    <x v="0"/>
    <s v="Pil &amp; poppel"/>
    <n v="9575.2461841246914"/>
    <n v="233542.58985669981"/>
    <n v="0"/>
    <n v="233542.58985669981"/>
  </r>
  <r>
    <x v="1"/>
    <x v="13"/>
    <x v="1"/>
    <s v="Konventionel"/>
    <x v="0"/>
    <s v="Græs"/>
    <n v="21162.462756843044"/>
    <n v="291830.36141686561"/>
    <n v="0"/>
    <n v="291830.36141686561"/>
  </r>
  <r>
    <x v="1"/>
    <x v="0"/>
    <x v="2"/>
    <s v="Konventionel"/>
    <x v="0"/>
    <s v="Korn"/>
    <n v="0"/>
    <n v="0"/>
    <n v="0"/>
    <n v="0"/>
  </r>
  <r>
    <x v="1"/>
    <x v="1"/>
    <x v="2"/>
    <s v="Konventionel"/>
    <x v="0"/>
    <s v="Bælgsæd"/>
    <n v="0"/>
    <n v="0"/>
    <n v="0"/>
    <n v="0"/>
  </r>
  <r>
    <x v="1"/>
    <x v="2"/>
    <x v="2"/>
    <s v="Konventionel"/>
    <x v="0"/>
    <s v="Raps"/>
    <n v="0"/>
    <n v="0"/>
    <n v="0"/>
    <n v="0"/>
  </r>
  <r>
    <x v="1"/>
    <x v="3"/>
    <x v="2"/>
    <s v="Konventionel"/>
    <x v="0"/>
    <s v="Græs"/>
    <n v="0"/>
    <n v="0"/>
    <n v="0"/>
    <n v="0"/>
  </r>
  <r>
    <x v="1"/>
    <x v="4"/>
    <x v="2"/>
    <s v="Konventionel"/>
    <x v="0"/>
    <s v="Grøntsager"/>
    <n v="0"/>
    <n v="0"/>
    <n v="0"/>
    <n v="0"/>
  </r>
  <r>
    <x v="1"/>
    <x v="5"/>
    <x v="2"/>
    <s v="Konventionel"/>
    <x v="0"/>
    <s v="Kartofler"/>
    <n v="0"/>
    <n v="0"/>
    <n v="0"/>
    <n v="0"/>
  </r>
  <r>
    <x v="1"/>
    <x v="6"/>
    <x v="2"/>
    <s v="Konventionel"/>
    <x v="0"/>
    <s v="Roer"/>
    <n v="0"/>
    <n v="0"/>
    <n v="0"/>
    <n v="0"/>
  </r>
  <r>
    <x v="1"/>
    <x v="7"/>
    <x v="2"/>
    <s v="Konventionel"/>
    <x v="0"/>
    <s v="Majs"/>
    <n v="0"/>
    <n v="0"/>
    <n v="0"/>
    <n v="0"/>
  </r>
  <r>
    <x v="1"/>
    <x v="8"/>
    <x v="2"/>
    <s v="Konventionel"/>
    <x v="0"/>
    <s v="Frugt"/>
    <n v="0"/>
    <n v="0"/>
    <n v="0"/>
    <n v="0"/>
  </r>
  <r>
    <x v="1"/>
    <x v="9"/>
    <x v="2"/>
    <s v="Konventionel"/>
    <x v="0"/>
    <s v="Øvrige"/>
    <n v="0"/>
    <n v="0"/>
    <n v="0"/>
    <n v="0"/>
  </r>
  <r>
    <x v="1"/>
    <x v="10"/>
    <x v="2"/>
    <s v="Konventionel"/>
    <x v="0"/>
    <s v="Frø"/>
    <n v="0"/>
    <n v="0"/>
    <n v="0"/>
    <n v="0"/>
  </r>
  <r>
    <x v="1"/>
    <x v="11"/>
    <x v="2"/>
    <s v="Konventionel"/>
    <x v="0"/>
    <s v="Juletræer"/>
    <n v="0"/>
    <n v="0"/>
    <n v="0"/>
    <n v="0"/>
  </r>
  <r>
    <x v="1"/>
    <x v="12"/>
    <x v="2"/>
    <s v="Konventionel"/>
    <x v="0"/>
    <s v="Pil &amp; poppel"/>
    <n v="0"/>
    <n v="0"/>
    <n v="0"/>
    <n v="0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1602.972905994222"/>
    <n v="101462.68284758307"/>
    <n v="35563.519739381845"/>
    <n v="35563.519739381845"/>
  </r>
  <r>
    <x v="1"/>
    <x v="1"/>
    <x v="1"/>
    <s v="Økologisk"/>
    <x v="0"/>
    <s v="Halm"/>
    <n v="6441.3692127462491"/>
    <n v="14172.300541884299"/>
    <n v="4518.2580214691588"/>
    <n v="4518.2580214691588"/>
  </r>
  <r>
    <x v="1"/>
    <x v="2"/>
    <x v="1"/>
    <s v="Økologisk"/>
    <x v="0"/>
    <s v="Halm"/>
    <n v="5651.9863784833815"/>
    <n v="13677.807035929785"/>
    <n v="7845.0314248228915"/>
    <n v="7845.0314248228915"/>
  </r>
  <r>
    <x v="1"/>
    <x v="3"/>
    <x v="1"/>
    <s v="Økologisk"/>
    <x v="0"/>
    <s v="Græs"/>
    <n v="9124.6977567772465"/>
    <n v="353158.6520992039"/>
    <n v="0"/>
    <n v="353158.6520992039"/>
  </r>
  <r>
    <x v="1"/>
    <x v="4"/>
    <x v="1"/>
    <s v="Økologisk"/>
    <x v="0"/>
    <s v="Grøntsager"/>
    <n v="1558.2195167174077"/>
    <n v="18429.841333975139"/>
    <n v="0"/>
    <n v="18429.841333975139"/>
  </r>
  <r>
    <x v="1"/>
    <x v="5"/>
    <x v="1"/>
    <s v="Økologisk"/>
    <x v="0"/>
    <s v="Kartofler"/>
    <n v="1297.6614071888587"/>
    <n v="31414.32288803086"/>
    <n v="0"/>
    <n v="31414.32288803086"/>
  </r>
  <r>
    <x v="1"/>
    <x v="6"/>
    <x v="1"/>
    <s v="Økologisk"/>
    <x v="0"/>
    <s v="Roer"/>
    <n v="798.06667797628256"/>
    <n v="36962.160404397655"/>
    <n v="0"/>
    <n v="36962.160404397655"/>
  </r>
  <r>
    <x v="1"/>
    <x v="7"/>
    <x v="1"/>
    <s v="Økologisk"/>
    <x v="0"/>
    <s v="Majs"/>
    <n v="2781.8126700001544"/>
    <n v="102769.3400116167"/>
    <n v="0"/>
    <n v="102769.3400116167"/>
  </r>
  <r>
    <x v="1"/>
    <x v="8"/>
    <x v="1"/>
    <s v="Økologisk"/>
    <x v="0"/>
    <s v="Frugt"/>
    <n v="3010.9611753366994"/>
    <n v="14570.944415806889"/>
    <n v="0"/>
    <n v="14570.944415806889"/>
  </r>
  <r>
    <x v="1"/>
    <x v="9"/>
    <x v="1"/>
    <s v="Økologisk"/>
    <x v="0"/>
    <s v="Øvrige"/>
    <n v="1069.3287972974172"/>
    <n v="18161.146448491865"/>
    <n v="0"/>
    <n v="18161.146448491865"/>
  </r>
  <r>
    <x v="1"/>
    <x v="10"/>
    <x v="1"/>
    <s v="Økologisk"/>
    <x v="0"/>
    <s v="Halm"/>
    <n v="1544.4375812559992"/>
    <n v="12578.904523668813"/>
    <n v="2244.0933229453253"/>
    <n v="2244.0933229453253"/>
  </r>
  <r>
    <x v="1"/>
    <x v="11"/>
    <x v="1"/>
    <s v="Økologisk"/>
    <x v="0"/>
    <s v="Juletræer"/>
    <n v="449.61159687842485"/>
    <n v="12813.930511035109"/>
    <n v="0"/>
    <n v="12813.930511035109"/>
  </r>
  <r>
    <x v="1"/>
    <x v="12"/>
    <x v="1"/>
    <s v="Økologisk"/>
    <x v="0"/>
    <s v="Pil &amp; poppel"/>
    <n v="1224.3054767422425"/>
    <n v="17020.832237636056"/>
    <n v="0"/>
    <n v="17020.832237636056"/>
  </r>
  <r>
    <x v="1"/>
    <x v="13"/>
    <x v="1"/>
    <s v="Økologisk"/>
    <x v="0"/>
    <s v="Græs"/>
    <n v="2705.8645340642111"/>
    <n v="37313.871924745472"/>
    <n v="0"/>
    <n v="37313.871924745472"/>
  </r>
  <r>
    <x v="1"/>
    <x v="0"/>
    <x v="2"/>
    <s v="Økologisk"/>
    <x v="0"/>
    <s v="Halm"/>
    <n v="24336.326377643411"/>
    <n v="114300.42409787781"/>
    <n v="45605.983042246247"/>
    <n v="45605.983042246247"/>
  </r>
  <r>
    <x v="1"/>
    <x v="1"/>
    <x v="2"/>
    <s v="Økologisk"/>
    <x v="0"/>
    <s v="Halm"/>
    <n v="121681.63188821705"/>
    <n v="267723.92648045515"/>
    <n v="97161.328660373096"/>
    <n v="97161.328660373096"/>
  </r>
  <r>
    <x v="1"/>
    <x v="2"/>
    <x v="2"/>
    <s v="Økologisk"/>
    <x v="0"/>
    <s v="Halm"/>
    <n v="73008.979132930224"/>
    <n v="176681.72950169115"/>
    <n v="115357.39530774491"/>
    <n v="115357.39530774491"/>
  </r>
  <r>
    <x v="1"/>
    <x v="3"/>
    <x v="2"/>
    <s v="Økologisk"/>
    <x v="0"/>
    <s v="Græs"/>
    <n v="121681.63188821705"/>
    <n v="4709517.2079487974"/>
    <n v="0"/>
    <n v="4709517.2079487974"/>
  </r>
  <r>
    <x v="1"/>
    <x v="4"/>
    <x v="2"/>
    <s v="Økologisk"/>
    <x v="0"/>
    <s v="Grøntsager"/>
    <n v="31459.960360454177"/>
    <n v="372092.68116327177"/>
    <n v="0"/>
    <n v="372092.68116327177"/>
  </r>
  <r>
    <x v="1"/>
    <x v="5"/>
    <x v="2"/>
    <s v="Økologisk"/>
    <x v="0"/>
    <s v="Kartofler"/>
    <n v="10657.988883528"/>
    <n v="258012.99342754055"/>
    <n v="0"/>
    <n v="258012.99342754055"/>
  </r>
  <r>
    <x v="1"/>
    <x v="6"/>
    <x v="2"/>
    <s v="Økologisk"/>
    <x v="0"/>
    <s v="Roer"/>
    <n v="6554.7035113046459"/>
    <n v="303578.64734118234"/>
    <n v="0"/>
    <n v="303578.64734118234"/>
  </r>
  <r>
    <x v="1"/>
    <x v="7"/>
    <x v="2"/>
    <s v="Økologisk"/>
    <x v="0"/>
    <s v="Majs"/>
    <n v="0"/>
    <n v="0"/>
    <n v="0"/>
    <n v="0"/>
  </r>
  <r>
    <x v="1"/>
    <x v="8"/>
    <x v="2"/>
    <s v="Økologisk"/>
    <x v="0"/>
    <s v="Frugt"/>
    <n v="67896.187359780568"/>
    <n v="328570.01949018613"/>
    <n v="0"/>
    <n v="328570.01949018613"/>
  </r>
  <r>
    <x v="1"/>
    <x v="9"/>
    <x v="2"/>
    <s v="Økologisk"/>
    <x v="0"/>
    <s v="Øvrige"/>
    <n v="0"/>
    <n v="0"/>
    <n v="0"/>
    <n v="0"/>
  </r>
  <r>
    <x v="1"/>
    <x v="10"/>
    <x v="2"/>
    <s v="Økologisk"/>
    <x v="0"/>
    <s v="Frø"/>
    <n v="0"/>
    <n v="0"/>
    <n v="0"/>
    <n v="0"/>
  </r>
  <r>
    <x v="1"/>
    <x v="11"/>
    <x v="2"/>
    <s v="Økologisk"/>
    <x v="0"/>
    <s v="Juletræer"/>
    <n v="3692.7625148507746"/>
    <n v="105243.73167324706"/>
    <n v="0"/>
    <n v="105243.73167324706"/>
  </r>
  <r>
    <x v="1"/>
    <x v="12"/>
    <x v="2"/>
    <s v="Økologisk"/>
    <x v="0"/>
    <s v="Pil &amp; poppel"/>
    <n v="25756.355635942306"/>
    <n v="358076.16371919797"/>
    <n v="0"/>
    <n v="358076.16371919797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2220.9508631088374"/>
    <n v="18682.638660471541"/>
    <n v="6548.4212533933114"/>
    <n v="6548.4212533933114"/>
  </r>
  <r>
    <x v="1"/>
    <x v="1"/>
    <x v="1"/>
    <s v="Konventionel"/>
    <x v="1"/>
    <s v="Halm"/>
    <n v="60.058061487912198"/>
    <n v="278.18894081200932"/>
    <n v="88.68915879910864"/>
    <n v="88.68915879910864"/>
  </r>
  <r>
    <x v="1"/>
    <x v="2"/>
    <x v="1"/>
    <s v="Konventionel"/>
    <x v="1"/>
    <s v="Halm"/>
    <n v="242.5838922199716"/>
    <n v="1280.8429509214502"/>
    <n v="734.63919865562025"/>
    <n v="734.63919865562025"/>
  </r>
  <r>
    <x v="1"/>
    <x v="3"/>
    <x v="1"/>
    <s v="Konventionel"/>
    <x v="1"/>
    <s v="Græs"/>
    <n v="713.29828663252204"/>
    <n v="42472.633179246885"/>
    <n v="0"/>
    <n v="42472.633179246885"/>
  </r>
  <r>
    <x v="1"/>
    <x v="4"/>
    <x v="1"/>
    <s v="Konventionel"/>
    <x v="1"/>
    <s v="Grøntsager"/>
    <n v="13.509097068318159"/>
    <n v="336.37651700112218"/>
    <n v="0"/>
    <n v="336.37651700112218"/>
  </r>
  <r>
    <x v="1"/>
    <x v="5"/>
    <x v="1"/>
    <s v="Konventionel"/>
    <x v="1"/>
    <s v="Kartofler"/>
    <n v="22.96670140121164"/>
    <n v="1170.4997596668306"/>
    <n v="0"/>
    <n v="1170.4997596668306"/>
  </r>
  <r>
    <x v="1"/>
    <x v="6"/>
    <x v="1"/>
    <s v="Konventionel"/>
    <x v="1"/>
    <s v="Roer"/>
    <n v="64.164131761142045"/>
    <n v="6256.2901487938616"/>
    <n v="0"/>
    <n v="6256.2901487938616"/>
  </r>
  <r>
    <x v="1"/>
    <x v="7"/>
    <x v="1"/>
    <s v="Konventionel"/>
    <x v="1"/>
    <s v="Majs"/>
    <n v="68.408866076590428"/>
    <n v="3653.8543548828479"/>
    <n v="0"/>
    <n v="3653.8543548828479"/>
  </r>
  <r>
    <x v="1"/>
    <x v="8"/>
    <x v="1"/>
    <s v="Konventionel"/>
    <x v="1"/>
    <s v="Frugt"/>
    <n v="14.757198662082352"/>
    <n v="150.346339969295"/>
    <n v="0"/>
    <n v="150.346339969295"/>
  </r>
  <r>
    <x v="1"/>
    <x v="9"/>
    <x v="1"/>
    <s v="Konventionel"/>
    <x v="1"/>
    <s v="Øvrige"/>
    <n v="105.37355586127558"/>
    <n v="3767.6454212391372"/>
    <n v="0"/>
    <n v="3767.6454212391372"/>
  </r>
  <r>
    <x v="1"/>
    <x v="10"/>
    <x v="1"/>
    <s v="Konventionel"/>
    <x v="1"/>
    <s v="Halm"/>
    <n v="765.0070185544738"/>
    <n v="13117.294521792321"/>
    <n v="2340.1428157812179"/>
    <n v="2340.1428157812179"/>
  </r>
  <r>
    <x v="1"/>
    <x v="11"/>
    <x v="1"/>
    <s v="Konventionel"/>
    <x v="1"/>
    <s v="Juletræer"/>
    <n v="23.124446325632409"/>
    <n v="1387.4667795379446"/>
    <n v="0"/>
    <n v="1387.4667795379446"/>
  </r>
  <r>
    <x v="1"/>
    <x v="12"/>
    <x v="1"/>
    <s v="Konventionel"/>
    <x v="1"/>
    <s v="Pil &amp; poppel"/>
    <n v="49.078711850168098"/>
    <n v="1436.4501029317491"/>
    <n v="0"/>
    <n v="1436.4501029317491"/>
  </r>
  <r>
    <x v="1"/>
    <x v="13"/>
    <x v="1"/>
    <s v="Konventionel"/>
    <x v="1"/>
    <s v="Græs"/>
    <n v="4604.4820500504356"/>
    <n v="76194.96896423462"/>
    <n v="0"/>
    <n v="76194.96896423462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283.97414050698114"/>
    <n v="1600.4896148629659"/>
    <n v="560.98500861009506"/>
    <n v="560.98500861009506"/>
  </r>
  <r>
    <x v="1"/>
    <x v="1"/>
    <x v="1"/>
    <s v="Økologisk"/>
    <x v="1"/>
    <s v="Halm"/>
    <n v="7.6791146867932829"/>
    <n v="20.274705760659099"/>
    <n v="6.4637601824273254"/>
    <n v="6.4637601824273254"/>
  </r>
  <r>
    <x v="1"/>
    <x v="2"/>
    <x v="1"/>
    <s v="Økologisk"/>
    <x v="1"/>
    <s v="Halm"/>
    <n v="31.017143800100705"/>
    <n v="90.073785595492467"/>
    <n v="51.662644215784752"/>
    <n v="51.662644215784752"/>
  </r>
  <r>
    <x v="1"/>
    <x v="3"/>
    <x v="1"/>
    <s v="Økologisk"/>
    <x v="1"/>
    <s v="Græs"/>
    <n v="91.203399064865479"/>
    <n v="4235.8798512563135"/>
    <n v="0"/>
    <n v="4235.8798512563135"/>
  </r>
  <r>
    <x v="1"/>
    <x v="4"/>
    <x v="1"/>
    <s v="Økologisk"/>
    <x v="1"/>
    <s v="Grøntsager"/>
    <n v="1.7272936077618362"/>
    <n v="24.515478174963739"/>
    <n v="0"/>
    <n v="24.515478174963739"/>
  </r>
  <r>
    <x v="1"/>
    <x v="5"/>
    <x v="1"/>
    <s v="Økologisk"/>
    <x v="1"/>
    <s v="Kartofler"/>
    <n v="2.9365572192625082"/>
    <n v="85.307266891691981"/>
    <n v="0"/>
    <n v="85.307266891691981"/>
  </r>
  <r>
    <x v="1"/>
    <x v="6"/>
    <x v="1"/>
    <s v="Økologisk"/>
    <x v="1"/>
    <s v="Roer"/>
    <n v="8.204123049684096"/>
    <n v="455.96507736740989"/>
    <n v="0"/>
    <n v="455.96507736740989"/>
  </r>
  <r>
    <x v="1"/>
    <x v="7"/>
    <x v="1"/>
    <s v="Økologisk"/>
    <x v="1"/>
    <s v="Majs"/>
    <n v="8.7468612069896832"/>
    <n v="387.76550115381838"/>
    <n v="0"/>
    <n v="387.76550115381838"/>
  </r>
  <r>
    <x v="1"/>
    <x v="8"/>
    <x v="1"/>
    <s v="Økologisk"/>
    <x v="1"/>
    <s v="Frugt"/>
    <n v="1.886877767520535"/>
    <n v="10.95740109643455"/>
    <n v="0"/>
    <n v="10.95740109643455"/>
  </r>
  <r>
    <x v="1"/>
    <x v="9"/>
    <x v="1"/>
    <s v="Økologisk"/>
    <x v="1"/>
    <s v="Øvrige"/>
    <n v="13.473222417889986"/>
    <n v="274.59000384108862"/>
    <n v="0"/>
    <n v="274.59000384108862"/>
  </r>
  <r>
    <x v="1"/>
    <x v="10"/>
    <x v="1"/>
    <s v="Økologisk"/>
    <x v="1"/>
    <s v="Halm"/>
    <n v="97.814955830100658"/>
    <n v="956.00237029179482"/>
    <n v="170.55209631768457"/>
    <n v="170.55209631768457"/>
  </r>
  <r>
    <x v="1"/>
    <x v="11"/>
    <x v="1"/>
    <s v="Økologisk"/>
    <x v="1"/>
    <s v="Juletræer"/>
    <n v="2.9567267241695294"/>
    <n v="101.12005396659789"/>
    <n v="0"/>
    <n v="101.12005396659789"/>
  </r>
  <r>
    <x v="1"/>
    <x v="12"/>
    <x v="1"/>
    <s v="Økologisk"/>
    <x v="1"/>
    <s v="Pil &amp; poppel"/>
    <n v="6.2752784162601669"/>
    <n v="104.69001065175496"/>
    <n v="0"/>
    <n v="104.69001065175496"/>
  </r>
  <r>
    <x v="1"/>
    <x v="13"/>
    <x v="1"/>
    <s v="Økologisk"/>
    <x v="1"/>
    <s v="Græs"/>
    <n v="588.73604741196766"/>
    <n v="9742.4041125732401"/>
    <n v="0"/>
    <n v="9742.4041125732401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1151.5940740740734"/>
    <n v="19056.578737777771"/>
    <n v="0"/>
    <n v="19056.578737777771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188.1161134445545"/>
    <n v="11660.171537344855"/>
    <n v="4086.9877377071557"/>
    <n v="4086.9877377071557"/>
  </r>
  <r>
    <x v="1"/>
    <x v="1"/>
    <x v="1"/>
    <s v="Konventionel"/>
    <x v="2"/>
    <s v="Halm"/>
    <n v="21.580106548382705"/>
    <n v="116.61889578746013"/>
    <n v="37.179162253110889"/>
    <n v="37.179162253110889"/>
  </r>
  <r>
    <x v="1"/>
    <x v="2"/>
    <x v="1"/>
    <s v="Konventionel"/>
    <x v="2"/>
    <s v="Halm"/>
    <n v="105.41377093164485"/>
    <n v="649.34882893893234"/>
    <n v="372.43996463147784"/>
    <n v="372.43996463147784"/>
  </r>
  <r>
    <x v="1"/>
    <x v="3"/>
    <x v="1"/>
    <s v="Konventionel"/>
    <x v="2"/>
    <s v="Græs"/>
    <n v="774.64214781175053"/>
    <n v="53812.840724186681"/>
    <n v="0"/>
    <n v="53812.840724186681"/>
  </r>
  <r>
    <x v="1"/>
    <x v="4"/>
    <x v="1"/>
    <s v="Konventionel"/>
    <x v="2"/>
    <s v="Grøntsager"/>
    <n v="3.6459298897636652"/>
    <n v="105.91426329763448"/>
    <n v="0"/>
    <n v="105.91426329763448"/>
  </r>
  <r>
    <x v="1"/>
    <x v="5"/>
    <x v="1"/>
    <s v="Konventionel"/>
    <x v="2"/>
    <s v="Kartofler"/>
    <n v="20.781365440527122"/>
    <n v="1235.6445954897126"/>
    <n v="0"/>
    <n v="1235.6445954897126"/>
  </r>
  <r>
    <x v="1"/>
    <x v="6"/>
    <x v="1"/>
    <s v="Konventionel"/>
    <x v="2"/>
    <s v="Roer"/>
    <n v="23.931521146893385"/>
    <n v="2722.3355458680985"/>
    <n v="0"/>
    <n v="2722.3355458680985"/>
  </r>
  <r>
    <x v="1"/>
    <x v="7"/>
    <x v="1"/>
    <s v="Konventionel"/>
    <x v="2"/>
    <s v="Majs"/>
    <n v="24.580723756526687"/>
    <n v="1531.7232201642039"/>
    <n v="0"/>
    <n v="1531.7232201642039"/>
  </r>
  <r>
    <x v="1"/>
    <x v="8"/>
    <x v="1"/>
    <s v="Konventionel"/>
    <x v="2"/>
    <s v="Frugt"/>
    <n v="8.9197417432206052"/>
    <n v="106.02005035992011"/>
    <n v="0"/>
    <n v="106.02005035992011"/>
  </r>
  <r>
    <x v="1"/>
    <x v="9"/>
    <x v="1"/>
    <s v="Konventionel"/>
    <x v="2"/>
    <s v="Øvrige"/>
    <n v="63.691282225699887"/>
    <n v="2656.8385860252656"/>
    <n v="0"/>
    <n v="2656.8385860252656"/>
  </r>
  <r>
    <x v="1"/>
    <x v="10"/>
    <x v="1"/>
    <s v="Konventionel"/>
    <x v="2"/>
    <s v="Halm"/>
    <n v="596.03432554762389"/>
    <n v="11923.312079880207"/>
    <n v="2127.1347576814619"/>
    <n v="2127.1347576814619"/>
  </r>
  <r>
    <x v="1"/>
    <x v="11"/>
    <x v="1"/>
    <s v="Konventionel"/>
    <x v="2"/>
    <s v="Juletræer"/>
    <n v="13.977184552620391"/>
    <n v="978.40291868342729"/>
    <n v="0"/>
    <n v="978.40291868342729"/>
  </r>
  <r>
    <x v="1"/>
    <x v="12"/>
    <x v="1"/>
    <s v="Konventionel"/>
    <x v="2"/>
    <s v="Pil &amp; poppel"/>
    <n v="42.636272874021806"/>
    <n v="1455.8727322836714"/>
    <n v="0"/>
    <n v="1455.8727322836714"/>
  </r>
  <r>
    <x v="1"/>
    <x v="13"/>
    <x v="1"/>
    <s v="Konventionel"/>
    <x v="2"/>
    <s v="Græs"/>
    <n v="3886.6099401933679"/>
    <n v="75034.891505373162"/>
    <n v="0"/>
    <n v="75034.891505373162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151.9143254099892"/>
    <n v="998.89441701433486"/>
    <n v="350.12085547168078"/>
    <n v="350.12085547168078"/>
  </r>
  <r>
    <x v="1"/>
    <x v="1"/>
    <x v="1"/>
    <s v="Økologisk"/>
    <x v="2"/>
    <s v="Halm"/>
    <n v="2.7592651016816951"/>
    <n v="8.4993091074080915"/>
    <n v="2.7096568717266765"/>
    <n v="2.7096568717266765"/>
  </r>
  <r>
    <x v="1"/>
    <x v="2"/>
    <x v="1"/>
    <s v="Økologisk"/>
    <x v="2"/>
    <s v="Halm"/>
    <n v="13.478364377684429"/>
    <n v="45.66469851159485"/>
    <n v="26.191405821669594"/>
    <n v="26.191405821669594"/>
  </r>
  <r>
    <x v="1"/>
    <x v="3"/>
    <x v="1"/>
    <s v="Økologisk"/>
    <x v="2"/>
    <s v="Græs"/>
    <n v="99.046918047256085"/>
    <n v="5366.8612162672925"/>
    <n v="0"/>
    <n v="5366.8612162672925"/>
  </r>
  <r>
    <x v="1"/>
    <x v="4"/>
    <x v="1"/>
    <s v="Økologisk"/>
    <x v="2"/>
    <s v="Grøntsager"/>
    <n v="0.46617411667770531"/>
    <n v="7.7191441110077825"/>
    <n v="0"/>
    <n v="7.7191441110077825"/>
  </r>
  <r>
    <x v="1"/>
    <x v="5"/>
    <x v="1"/>
    <s v="Økologisk"/>
    <x v="2"/>
    <s v="Kartofler"/>
    <n v="2.6571368541105698"/>
    <n v="90.055091784658956"/>
    <n v="0"/>
    <n v="90.055091784658956"/>
  </r>
  <r>
    <x v="1"/>
    <x v="6"/>
    <x v="1"/>
    <s v="Økologisk"/>
    <x v="2"/>
    <s v="Roer"/>
    <n v="3.0599205329562755"/>
    <n v="198.40670881146775"/>
    <n v="0"/>
    <n v="198.40670881146775"/>
  </r>
  <r>
    <x v="1"/>
    <x v="7"/>
    <x v="1"/>
    <s v="Økologisk"/>
    <x v="2"/>
    <s v="Majs"/>
    <n v="3.1429285617009759"/>
    <n v="162.55421382688274"/>
    <n v="0"/>
    <n v="162.55421382688274"/>
  </r>
  <r>
    <x v="1"/>
    <x v="8"/>
    <x v="1"/>
    <s v="Økologisk"/>
    <x v="2"/>
    <s v="Frugt"/>
    <n v="1.1404916863084984"/>
    <n v="7.7268539845738022"/>
    <n v="0"/>
    <n v="7.7268539845738022"/>
  </r>
  <r>
    <x v="1"/>
    <x v="9"/>
    <x v="1"/>
    <s v="Økologisk"/>
    <x v="2"/>
    <s v="Øvrige"/>
    <n v="8.1436637920540775"/>
    <n v="193.63322074556899"/>
    <n v="0"/>
    <n v="193.63322074556899"/>
  </r>
  <r>
    <x v="1"/>
    <x v="10"/>
    <x v="1"/>
    <s v="Økologisk"/>
    <x v="2"/>
    <s v="Halm"/>
    <n v="76.209851429635265"/>
    <n v="868.98366055264671"/>
    <n v="155.0278425856128"/>
    <n v="155.0278425856128"/>
  </r>
  <r>
    <x v="1"/>
    <x v="11"/>
    <x v="1"/>
    <s v="Økologisk"/>
    <x v="2"/>
    <s v="Juletræer"/>
    <n v="1.7871439823220083"/>
    <n v="71.307044894648115"/>
    <n v="0"/>
    <n v="71.307044894648115"/>
  </r>
  <r>
    <x v="1"/>
    <x v="12"/>
    <x v="1"/>
    <s v="Økologisk"/>
    <x v="2"/>
    <s v="Pil &amp; poppel"/>
    <n v="5.4515384130892075"/>
    <n v="106.10555252793138"/>
    <n v="0"/>
    <n v="106.10555252793138"/>
  </r>
  <r>
    <x v="1"/>
    <x v="13"/>
    <x v="1"/>
    <s v="Økologisk"/>
    <x v="2"/>
    <s v="Græs"/>
    <n v="496.9478323835454"/>
    <n v="9594.0748519967292"/>
    <n v="0"/>
    <n v="9594.0748519967292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170645.52593143433"/>
    <n v="0"/>
    <n v="0"/>
    <n v="32579.784552999867"/>
    <n v="0"/>
    <n v="0"/>
    <n v="0"/>
    <n v="0"/>
    <n v="138065.74137843447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735809.0653745383"/>
    <n v="293264.09403304121"/>
    <n v="0"/>
    <n v="0"/>
    <n v="0"/>
    <n v="0"/>
    <n v="0"/>
    <n v="0"/>
    <n v="442544.97134149709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380552475.07633466"/>
    <n v="0"/>
    <n v="0"/>
    <n v="0"/>
    <n v="0"/>
    <n v="0"/>
    <n v="380552475.07633466"/>
    <n v="0"/>
    <n v="0"/>
    <n v="0"/>
    <n v="380552475.07633466"/>
    <n v="0"/>
    <n v="0"/>
    <n v="0"/>
    <n v="0"/>
    <n v="0"/>
    <n v="0"/>
    <n v="0"/>
    <n v="0"/>
    <x v="0"/>
  </r>
  <r>
    <x v="4"/>
    <s v=""/>
    <n v="0"/>
    <n v="0"/>
    <x v="1"/>
    <s v="Vestdanmark"/>
    <n v="21343677.064342611"/>
    <n v="0"/>
    <n v="0"/>
    <n v="0"/>
    <n v="0"/>
    <n v="18349026.989869542"/>
    <n v="0"/>
    <n v="0"/>
    <n v="2994650.0744730681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6976805.6291645998"/>
    <n v="0"/>
    <n v="0"/>
    <n v="0"/>
    <n v="5232604.2218734501"/>
    <n v="0"/>
    <n v="0"/>
    <n v="0"/>
    <n v="1744201.4072911497"/>
    <n v="1744201.4072911497"/>
    <n v="5232604.2218734501"/>
    <n v="0.99075188277540405"/>
    <n v="3.9630075311016162"/>
    <n v="2.9722556483262124"/>
    <n v="0.99075188277540382"/>
    <n v="74587.960760024376"/>
    <n v="298351.84304009756"/>
    <n v="223763.88228007319"/>
    <n v="74587.960760024376"/>
    <x v="0"/>
  </r>
  <r>
    <x v="6"/>
    <s v="Husdyrgødning"/>
    <n v="1"/>
    <n v="0"/>
    <x v="1"/>
    <s v="Vestdanmark"/>
    <n v="1772243.3904723523"/>
    <n v="0"/>
    <n v="0"/>
    <n v="0"/>
    <n v="1329182.5428542641"/>
    <n v="167730.1780268476"/>
    <n v="0"/>
    <n v="0"/>
    <n v="275330.66959124058"/>
    <n v="275330.66959124058"/>
    <n v="1329182.5428542641"/>
    <n v="0.59306226229953218"/>
    <n v="3.4561214596076173"/>
    <n v="2.8630591973080852"/>
    <n v="0.59306226229953207"/>
    <n v="82599.200877372175"/>
    <n v="481353.96373365138"/>
    <n v="398754.76285627921"/>
    <n v="82599.200877372175"/>
    <x v="0"/>
  </r>
  <r>
    <x v="7"/>
    <s v=""/>
    <n v="0"/>
    <n v="0"/>
    <x v="1"/>
    <s v="Vestdanmark"/>
    <n v="4914030.3559545483"/>
    <n v="4912693.6343060844"/>
    <n v="0"/>
    <n v="0"/>
    <n v="0"/>
    <n v="0"/>
    <n v="0"/>
    <n v="0"/>
    <n v="1336.7216484639794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6450.400880208218"/>
    <n v="0"/>
    <n v="0"/>
    <n v="0"/>
    <n v="4837.8006601561638"/>
    <n v="1612.6002200520545"/>
    <n v="0"/>
    <n v="0"/>
    <n v="0"/>
    <n v="0"/>
    <n v="4837.8006601561638"/>
    <n v="0"/>
    <n v="2.2751692724648424E-3"/>
    <n v="2.2751692724648424E-3"/>
    <n v="0"/>
    <n v="0"/>
    <n v="304.78144158983832"/>
    <n v="304.78144158983832"/>
    <n v="0"/>
    <x v="0"/>
  </r>
  <r>
    <x v="9"/>
    <s v=""/>
    <n v="0"/>
    <n v="1"/>
    <x v="1"/>
    <s v="Vestdanmark"/>
    <n v="146352.36036688712"/>
    <n v="0"/>
    <n v="0"/>
    <n v="35294.766599083188"/>
    <n v="0"/>
    <n v="0"/>
    <n v="0"/>
    <n v="0"/>
    <n v="111057.59376780393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710419.72735456063"/>
    <n v="0"/>
    <n v="0"/>
    <n v="0"/>
    <n v="0"/>
    <n v="0"/>
    <n v="0"/>
    <n v="0"/>
    <n v="710419.72735456063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750025.29549583921"/>
    <n v="0"/>
    <n v="0"/>
    <n v="257923.29437791562"/>
    <n v="0"/>
    <n v="0"/>
    <n v="0"/>
    <n v="0"/>
    <n v="492102.00111792359"/>
    <n v="0"/>
    <n v="0"/>
    <n v="0"/>
    <n v="0"/>
    <n v="0"/>
    <n v="0"/>
    <n v="0"/>
    <n v="0"/>
    <n v="0"/>
    <n v="0"/>
    <x v="0"/>
  </r>
  <r>
    <x v="12"/>
    <s v="Glycerin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Vestdanmark"/>
    <n v="20061837.661928307"/>
    <n v="10475226.633309843"/>
    <n v="0"/>
    <n v="0"/>
    <n v="0"/>
    <n v="0"/>
    <n v="0"/>
    <n v="14277650.729439929"/>
    <n v="-4691039.700821463"/>
    <n v="0"/>
    <n v="0"/>
    <n v="0"/>
    <n v="0"/>
    <n v="0"/>
    <n v="0"/>
    <n v="0"/>
    <n v="0"/>
    <n v="0"/>
    <n v="0"/>
    <x v="1"/>
  </r>
  <r>
    <x v="14"/>
    <s v=""/>
    <n v="0"/>
    <n v="0"/>
    <x v="1"/>
    <s v="Vestdanmark"/>
    <n v="2386814.7443207805"/>
    <n v="2386814.7443207805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1055655.6204498296"/>
    <n v="0"/>
    <n v="0"/>
    <n v="270140.71358529059"/>
    <n v="0"/>
    <n v="0"/>
    <n v="0"/>
    <n v="0"/>
    <n v="785514.90686453902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251816.1518870248"/>
    <n v="541644.90666485392"/>
    <n v="496834.86508299207"/>
    <n v="0"/>
    <n v="0"/>
    <n v="0"/>
    <n v="1213336.3801391786"/>
    <n v="0"/>
    <n v="0"/>
    <n v="0"/>
    <n v="1213336.3801391786"/>
    <n v="0"/>
    <n v="12.540809849344866"/>
    <n v="0"/>
    <n v="12.540809849344866"/>
    <n v="0"/>
    <n v="1031335.9231183018"/>
    <n v="0"/>
    <n v="1031335.9231183018"/>
    <x v="0"/>
  </r>
  <r>
    <x v="17"/>
    <s v="Bionedbrydeligt affald"/>
    <n v="1"/>
    <n v="0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x v="0"/>
  </r>
  <r>
    <x v="18"/>
    <s v=""/>
    <n v="0"/>
    <n v="1"/>
    <x v="1"/>
    <s v="Vestdanmark"/>
    <n v="0"/>
    <n v="2182533.5827186201"/>
    <n v="0"/>
    <n v="0"/>
    <n v="0"/>
    <n v="0"/>
    <n v="0"/>
    <n v="0"/>
    <n v="-2182533.5827186201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421188.13344095187"/>
    <n v="0"/>
    <n v="0"/>
    <n v="0"/>
    <n v="0"/>
    <n v="0"/>
    <n v="0"/>
    <n v="0"/>
    <n v="421188.13344095187"/>
    <n v="421188.13344095187"/>
    <n v="0"/>
    <n v="1.8250629366569919"/>
    <n v="1.8250629366569919"/>
    <n v="0"/>
    <n v="1.8250629366569919"/>
    <n v="176899.01604519979"/>
    <n v="176899.01604519979"/>
    <n v="0"/>
    <n v="176899.01604519979"/>
    <x v="0"/>
  </r>
  <r>
    <x v="20"/>
    <s v=""/>
    <n v="0"/>
    <n v="0"/>
    <x v="1"/>
    <s v="Vestdanmark"/>
    <n v="681865.66095142043"/>
    <n v="0"/>
    <n v="0"/>
    <n v="0"/>
    <n v="0"/>
    <n v="0"/>
    <n v="0"/>
    <n v="0"/>
    <n v="681865.66095142043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695915.6587194109"/>
    <n v="0"/>
    <n v="0"/>
    <n v="123531.68309679118"/>
    <n v="0"/>
    <n v="0"/>
    <n v="0"/>
    <n v="0"/>
    <n v="1572383.9756226197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4663363.7758037988"/>
    <n v="2657507.9598111873"/>
    <n v="0"/>
    <n v="295933.04302308214"/>
    <n v="0"/>
    <n v="0"/>
    <n v="0"/>
    <n v="0"/>
    <n v="1709922.7729695295"/>
    <n v="1709922.7729695295"/>
    <n v="0"/>
    <n v="5.8562461082324235"/>
    <n v="5.8562461082324235"/>
    <n v="0"/>
    <n v="5.8562461082324235"/>
    <n v="530076.05962055409"/>
    <n v="530076.05962055409"/>
    <n v="0"/>
    <n v="530076.05962055409"/>
    <x v="0"/>
  </r>
  <r>
    <x v="23"/>
    <s v=""/>
    <n v="0"/>
    <n v="0"/>
    <x v="1"/>
    <s v="Vestdanmark"/>
    <n v="0"/>
    <n v="0"/>
    <n v="0"/>
    <n v="0"/>
    <n v="0"/>
    <n v="1027550.6043709198"/>
    <n v="0"/>
    <n v="0"/>
    <n v="-1027550.6043709198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9729036.5778426565"/>
    <n v="0"/>
    <n v="0"/>
    <n v="0"/>
    <n v="7296777.4333819924"/>
    <n v="2432259.1444606641"/>
    <n v="0"/>
    <n v="0"/>
    <n v="0"/>
    <n v="0"/>
    <n v="7296777.4333819924"/>
    <n v="0"/>
    <n v="3.6935557690036314"/>
    <n v="3.6935557690036314"/>
    <n v="0"/>
    <n v="0"/>
    <n v="554555.08493703138"/>
    <n v="554555.08493703138"/>
    <n v="0"/>
    <x v="0"/>
  </r>
  <r>
    <x v="25"/>
    <s v=""/>
    <n v="0"/>
    <n v="0"/>
    <x v="1"/>
    <s v="Vestdanmark"/>
    <n v="706621.13097372942"/>
    <n v="685129.28051204176"/>
    <n v="0"/>
    <n v="0"/>
    <n v="0"/>
    <n v="0"/>
    <n v="0"/>
    <n v="0"/>
    <n v="21491.85046168766"/>
    <n v="0"/>
    <n v="0"/>
    <n v="0"/>
    <n v="0"/>
    <n v="0"/>
    <n v="0"/>
    <n v="0"/>
    <n v="0"/>
    <n v="0"/>
    <n v="0"/>
    <x v="1"/>
  </r>
  <r>
    <x v="26"/>
    <s v="Græs og urter"/>
    <n v="1"/>
    <n v="1"/>
    <x v="1"/>
    <s v="Vestdanmark"/>
    <n v="3948930.9849556261"/>
    <n v="2557087.1196415746"/>
    <n v="0"/>
    <n v="0"/>
    <n v="0"/>
    <n v="0"/>
    <n v="0"/>
    <n v="0"/>
    <n v="1391843.8653140515"/>
    <n v="1391843.8653140515"/>
    <n v="0"/>
    <n v="4.9967194764774456"/>
    <n v="4.9967194764774456"/>
    <n v="0"/>
    <n v="4.9967194764774456"/>
    <n v="417553.15959421545"/>
    <n v="417553.15959421545"/>
    <n v="0"/>
    <n v="417553.15959421545"/>
    <x v="0"/>
  </r>
  <r>
    <x v="27"/>
    <s v=""/>
    <n v="0"/>
    <n v="1"/>
    <x v="1"/>
    <s v="Vestdanmark"/>
    <n v="1363412.0539430196"/>
    <n v="0"/>
    <n v="0"/>
    <n v="472406.87601849809"/>
    <n v="0"/>
    <n v="0"/>
    <n v="0"/>
    <n v="0"/>
    <n v="891005.1779245215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87951.528514645848"/>
    <n v="0"/>
    <n v="0"/>
    <n v="60028.253038902265"/>
    <n v="0"/>
    <n v="0"/>
    <n v="0"/>
    <n v="0"/>
    <n v="27923.275475743583"/>
    <n v="0"/>
    <n v="0"/>
    <n v="0"/>
    <n v="0"/>
    <n v="0"/>
    <n v="0"/>
    <n v="0"/>
    <n v="0"/>
    <n v="0"/>
    <n v="0"/>
    <x v="1"/>
  </r>
  <r>
    <x v="30"/>
    <s v=""/>
    <n v="0"/>
    <n v="1"/>
    <x v="1"/>
    <s v="Vestdanmark"/>
    <n v="982115.03636884945"/>
    <n v="0"/>
    <n v="0"/>
    <n v="0"/>
    <n v="0"/>
    <n v="0"/>
    <n v="0"/>
    <n v="0"/>
    <n v="982115.03636884945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896780.35875026754"/>
    <n v="0"/>
    <n v="0"/>
    <n v="0"/>
    <n v="0"/>
    <n v="0"/>
    <n v="896780.35875026754"/>
    <n v="0"/>
    <n v="0"/>
    <n v="0"/>
    <n v="896780.35875026754"/>
    <n v="0"/>
    <n v="16.500758601004918"/>
    <n v="0"/>
    <n v="16.500758601004918"/>
    <n v="0"/>
    <n v="372163.84888136107"/>
    <n v="0"/>
    <n v="372163.84888136107"/>
    <x v="0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2123110.9588889731"/>
    <n v="0"/>
    <n v="0"/>
    <n v="0"/>
    <n v="0"/>
    <n v="0"/>
    <n v="0"/>
    <n v="0"/>
    <n v="2123110.9588889731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736256.34152477351"/>
    <n v="0"/>
    <n v="0"/>
    <n v="0"/>
    <n v="0"/>
    <n v="0"/>
    <n v="0"/>
    <n v="736256.34152477351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368128.17076238676"/>
    <n v="188096.56093269461"/>
    <n v="0"/>
    <n v="0"/>
    <n v="0"/>
    <n v="0"/>
    <n v="0"/>
    <n v="0"/>
    <n v="180031.60982969214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235602.02928792752"/>
    <n v="0"/>
    <n v="0"/>
    <n v="0"/>
    <n v="0"/>
    <n v="0"/>
    <n v="235602.02928792752"/>
    <n v="0"/>
    <n v="0"/>
    <n v="0"/>
    <n v="235602.02928792752"/>
    <n v="0"/>
    <n v="8.2460710250774625"/>
    <n v="0"/>
    <n v="8.2460710250774625"/>
    <n v="0"/>
    <n v="0"/>
    <n v="0"/>
    <n v="0"/>
    <x v="0"/>
  </r>
  <r>
    <x v="38"/>
    <s v="Græs og urter"/>
    <n v="1"/>
    <n v="1"/>
    <x v="1"/>
    <s v="Vestdanmark"/>
    <n v="1903494.0653747609"/>
    <n v="589344.8057454204"/>
    <n v="0"/>
    <n v="0"/>
    <n v="0"/>
    <n v="0"/>
    <n v="0"/>
    <n v="0"/>
    <n v="1314149.2596293404"/>
    <n v="1314149.2596293404"/>
    <n v="0"/>
    <n v="3.5666536566044149"/>
    <n v="3.5666536566044149"/>
    <n v="0"/>
    <n v="3.5666536566044149"/>
    <n v="262829.85192586808"/>
    <n v="262829.85192586808"/>
    <n v="0"/>
    <n v="262829.85192586808"/>
    <x v="0"/>
  </r>
  <r>
    <x v="39"/>
    <s v=""/>
    <n v="0"/>
    <n v="0"/>
    <x v="1"/>
    <s v="Vestdanmark"/>
    <n v="141637.01837439084"/>
    <n v="0"/>
    <n v="0"/>
    <n v="0"/>
    <n v="0"/>
    <n v="0"/>
    <n v="0"/>
    <n v="0"/>
    <n v="141637.01837439084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90522.550539010685"/>
    <n v="27615.731046643767"/>
    <n v="0"/>
    <n v="0"/>
    <n v="0"/>
    <n v="0"/>
    <n v="0"/>
    <n v="0"/>
    <n v="62906.819492366922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05227.9830927276"/>
    <n v="0"/>
    <n v="0"/>
    <n v="0"/>
    <n v="1481053.1985566379"/>
    <n v="0"/>
    <n v="0"/>
    <n v="0"/>
    <n v="2424174.7845360897"/>
    <n v="2424174.7845360897"/>
    <n v="1481053.1985566379"/>
    <n v="1.2096874592313542"/>
    <n v="1.9487478158431022"/>
    <n v="0.73906035661174796"/>
    <n v="1.2096874592313542"/>
    <n v="145450.48707216539"/>
    <n v="234313.67898556366"/>
    <n v="88863.191913398274"/>
    <n v="145450.48707216539"/>
    <x v="0"/>
  </r>
  <r>
    <x v="42"/>
    <s v="Husdyrgødning"/>
    <n v="1"/>
    <n v="0"/>
    <x v="1"/>
    <s v="Vestdanmark"/>
    <n v="10497145.511353366"/>
    <n v="0"/>
    <n v="0"/>
    <n v="0"/>
    <n v="7872859.1335150246"/>
    <n v="2624286.3778383415"/>
    <n v="0"/>
    <n v="0"/>
    <n v="0"/>
    <n v="0"/>
    <n v="7872859.1335150246"/>
    <n v="0"/>
    <n v="3.3916277147182732"/>
    <n v="3.3916277147182732"/>
    <n v="0"/>
    <n v="0"/>
    <n v="393642.95667575125"/>
    <n v="393642.95667575125"/>
    <n v="0"/>
    <x v="0"/>
  </r>
  <r>
    <x v="43"/>
    <s v=""/>
    <n v="0"/>
    <n v="1"/>
    <x v="1"/>
    <s v="Vestdanmark"/>
    <n v="951875.76678713446"/>
    <n v="0"/>
    <n v="0"/>
    <n v="121875.54404868034"/>
    <n v="0"/>
    <n v="0"/>
    <n v="0"/>
    <n v="0"/>
    <n v="830000.22273845412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25869.1010711943"/>
    <n v="0"/>
    <n v="0"/>
    <n v="0"/>
    <n v="0"/>
    <n v="0"/>
    <n v="2225869.1010711943"/>
    <n v="0"/>
    <n v="0"/>
    <n v="0"/>
    <n v="2225869.1010711943"/>
    <n v="0"/>
    <n v="32.260787180482176"/>
    <n v="0"/>
    <n v="32.260787180482176"/>
    <n v="0"/>
    <n v="1100877.7595714615"/>
    <n v="0"/>
    <n v="1100877.7595714615"/>
    <x v="0"/>
  </r>
  <r>
    <x v="47"/>
    <s v=""/>
    <n v="0"/>
    <n v="0"/>
    <x v="1"/>
    <s v="Vestdanmark"/>
    <n v="613377.28282504401"/>
    <n v="0"/>
    <n v="0"/>
    <n v="0"/>
    <n v="0"/>
    <n v="0"/>
    <n v="0"/>
    <n v="613377.28282504401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  <x v="1"/>
  </r>
  <r>
    <x v="1"/>
    <s v=""/>
    <n v="0"/>
    <n v="1"/>
    <x v="2"/>
    <s v="Vestdanmark"/>
    <n v="983865.71975473268"/>
    <n v="112073.72164637063"/>
    <n v="0"/>
    <n v="0"/>
    <n v="0"/>
    <n v="0"/>
    <n v="0"/>
    <n v="0"/>
    <n v="871791.99810836208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103142787.98027463"/>
    <n v="0"/>
    <n v="0"/>
    <n v="0"/>
    <n v="0"/>
    <n v="0"/>
    <n v="103142787.98027463"/>
    <n v="0"/>
    <n v="0"/>
    <n v="0"/>
    <n v="103142787.98027463"/>
    <n v="0"/>
    <n v="0"/>
    <n v="0"/>
    <n v="0"/>
    <n v="0"/>
    <n v="0"/>
    <n v="0"/>
    <n v="0"/>
    <x v="0"/>
  </r>
  <r>
    <x v="4"/>
    <s v=""/>
    <n v="0"/>
    <n v="0"/>
    <x v="2"/>
    <s v="Vestdanmark"/>
    <n v="0"/>
    <n v="0"/>
    <n v="0"/>
    <n v="0"/>
    <n v="0"/>
    <e v="#DIV/0!"/>
    <n v="0"/>
    <n v="0"/>
    <e v="#DIV/0!"/>
    <n v="0"/>
    <n v="0"/>
    <n v="0"/>
    <n v="0"/>
    <n v="0"/>
    <n v="0"/>
    <n v="0"/>
    <n v="0"/>
    <n v="0"/>
    <n v="0"/>
    <x v="2"/>
  </r>
  <r>
    <x v="5"/>
    <s v="Bionedbrydeligt affald"/>
    <n v="1"/>
    <n v="0"/>
    <x v="2"/>
    <s v="Vestdanmark"/>
    <n v="2960575.4754863908"/>
    <n v="0"/>
    <n v="0"/>
    <n v="0"/>
    <n v="2664517.9279377516"/>
    <n v="0"/>
    <n v="0"/>
    <n v="0"/>
    <n v="296057.54754863912"/>
    <n v="296057.54754863912"/>
    <n v="2664517.9279377516"/>
    <n v="0.16816840728229082"/>
    <n v="1.6816840728229081"/>
    <n v="1.5135156655406172"/>
    <n v="0.16816840728229088"/>
    <n v="12660.42364543332"/>
    <n v="126604.23645433319"/>
    <n v="113943.81280889986"/>
    <n v="12660.42364543333"/>
    <x v="0"/>
  </r>
  <r>
    <x v="6"/>
    <s v="Husdyrgødning"/>
    <n v="1"/>
    <n v="0"/>
    <x v="2"/>
    <s v="Vestdanmark"/>
    <n v="575834.83314211352"/>
    <n v="0"/>
    <n v="0"/>
    <n v="0"/>
    <n v="518251.34982790216"/>
    <n v="21799.461540380005"/>
    <n v="0"/>
    <n v="0"/>
    <n v="35784.021773831337"/>
    <n v="35784.021773831337"/>
    <n v="518251.34982790216"/>
    <n v="7.7078782900832699E-2"/>
    <n v="1.1933921904301341"/>
    <n v="1.1163134075293013"/>
    <n v="7.707878290083281E-2"/>
    <n v="10735.206532149401"/>
    <n v="166210.61148052005"/>
    <n v="155475.40494837065"/>
    <n v="10735.206532149401"/>
    <x v="0"/>
  </r>
  <r>
    <x v="7"/>
    <s v=""/>
    <n v="0"/>
    <n v="0"/>
    <x v="2"/>
    <s v="Vestdanmark"/>
    <n v="2085246.2474831352"/>
    <n v="2083858.9217546936"/>
    <n v="0"/>
    <n v="0"/>
    <n v="0"/>
    <n v="0"/>
    <n v="0"/>
    <n v="0"/>
    <n v="1387.3257284415886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  <x v="0"/>
  </r>
  <r>
    <x v="9"/>
    <s v="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  <x v="1"/>
  </r>
  <r>
    <x v="10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207470.6320248828"/>
    <n v="0"/>
    <n v="0"/>
    <n v="267978.92035102146"/>
    <n v="0"/>
    <n v="0"/>
    <n v="0"/>
    <n v="0"/>
    <n v="939491.71167386137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Vestdanmark"/>
    <n v="26114077.403632663"/>
    <n v="2097784.2500767186"/>
    <n v="0"/>
    <n v="0"/>
    <n v="0"/>
    <n v="0"/>
    <n v="0"/>
    <n v="6058655.6146041919"/>
    <n v="17957637.538951755"/>
    <n v="17957637.538951755"/>
    <n v="0"/>
    <n v="33.03980836697886"/>
    <n v="33.03980836697886"/>
    <n v="0"/>
    <n v="33.03980836697886"/>
    <n v="5028138.5109064914"/>
    <n v="5028138.5109064914"/>
    <n v="0"/>
    <n v="5028138.5109064914"/>
    <x v="0"/>
  </r>
  <r>
    <x v="14"/>
    <s v=""/>
    <n v="0"/>
    <n v="0"/>
    <x v="2"/>
    <s v="Vestdanmark"/>
    <n v="1012833.8916346655"/>
    <n v="1012833.8916346655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1519931.6771751184"/>
    <n v="0"/>
    <n v="0"/>
    <n v="280672.65868343826"/>
    <n v="0"/>
    <n v="0"/>
    <n v="0"/>
    <n v="0"/>
    <n v="1239259.01849168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775980.95642974949"/>
    <n v="81557.737283545939"/>
    <n v="70290.546378545216"/>
    <n v="0"/>
    <n v="0"/>
    <n v="0"/>
    <n v="624132.67276765837"/>
    <n v="0"/>
    <n v="0"/>
    <n v="0"/>
    <n v="624132.67276765837"/>
    <n v="0"/>
    <n v="6.4509144356528374"/>
    <n v="0"/>
    <n v="6.4509144356528374"/>
    <n v="0"/>
    <n v="530512.77185250958"/>
    <n v="0"/>
    <n v="530512.77185250958"/>
    <x v="0"/>
  </r>
  <r>
    <x v="17"/>
    <s v="Bionedbrydeligt affald"/>
    <n v="1"/>
    <n v="0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x v="0"/>
  </r>
  <r>
    <x v="18"/>
    <s v=""/>
    <n v="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n v="0"/>
    <x v="2"/>
    <s v="Vestdanmark"/>
    <n v="217306.9698136746"/>
    <n v="0"/>
    <n v="0"/>
    <n v="0"/>
    <n v="0"/>
    <n v="0"/>
    <n v="0"/>
    <n v="0"/>
    <n v="217306.9698136746"/>
    <n v="217306.9698136746"/>
    <n v="0"/>
    <n v="0.94161935010872788"/>
    <n v="0.94161935010872788"/>
    <n v="0"/>
    <n v="0.94161935010872788"/>
    <n v="91268.927321743322"/>
    <n v="91268.927321743322"/>
    <n v="0"/>
    <n v="91268.927321743322"/>
    <x v="0"/>
  </r>
  <r>
    <x v="20"/>
    <s v=""/>
    <n v="0"/>
    <n v="0"/>
    <x v="2"/>
    <s v="Vestdanmark"/>
    <n v="386762.96576702269"/>
    <n v="0"/>
    <n v="0"/>
    <n v="0"/>
    <n v="0"/>
    <n v="0"/>
    <n v="0"/>
    <n v="0"/>
    <n v="386762.96576702269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948178.75571234117"/>
    <n v="0"/>
    <n v="0"/>
    <n v="128347.79869443661"/>
    <n v="0"/>
    <n v="0"/>
    <n v="0"/>
    <n v="0"/>
    <n v="819830.95701790461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420045.64366621693"/>
    <n v="0"/>
    <n v="0"/>
    <n v="307470.55071854044"/>
    <n v="0"/>
    <n v="0"/>
    <n v="0"/>
    <n v="0"/>
    <n v="112575.09294767649"/>
    <n v="0"/>
    <n v="0"/>
    <n v="0"/>
    <n v="0"/>
    <n v="0"/>
    <n v="0"/>
    <n v="0"/>
    <n v="0"/>
    <n v="0"/>
    <n v="0"/>
    <x v="1"/>
  </r>
  <r>
    <x v="23"/>
    <s v=""/>
    <n v="0"/>
    <n v="0"/>
    <x v="2"/>
    <s v="Vestdanmark"/>
    <n v="0"/>
    <n v="0"/>
    <n v="0"/>
    <n v="0"/>
    <n v="0"/>
    <e v="#DIV/0!"/>
    <n v="0"/>
    <n v="0"/>
    <e v="#DIV/0!"/>
    <n v="0"/>
    <n v="0"/>
    <n v="0"/>
    <n v="0"/>
    <n v="0"/>
    <n v="0"/>
    <n v="0"/>
    <n v="0"/>
    <n v="0"/>
    <n v="0"/>
    <x v="2"/>
  </r>
  <r>
    <x v="24"/>
    <s v="Husdyrgødning"/>
    <n v="1"/>
    <n v="0"/>
    <x v="2"/>
    <s v="Vestdanmark"/>
    <n v="687448.22418311588"/>
    <n v="0"/>
    <n v="0"/>
    <n v="0"/>
    <n v="618703.40176480426"/>
    <n v="68744.822418311567"/>
    <n v="0"/>
    <n v="0"/>
    <n v="0"/>
    <n v="0"/>
    <n v="618703.40176480426"/>
    <n v="0"/>
    <n v="0.3131814749393263"/>
    <n v="0.3131814749393263"/>
    <n v="0"/>
    <n v="0"/>
    <n v="47021.458534125122"/>
    <n v="47021.458534125122"/>
    <n v="0"/>
    <x v="0"/>
  </r>
  <r>
    <x v="25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0"/>
    <n v="0"/>
    <n v="0"/>
    <n v="0"/>
    <e v="#DIV/0!"/>
    <n v="0"/>
    <n v="0"/>
    <n v="0"/>
    <e v="#DIV/0!"/>
    <e v="#DIV/0!"/>
    <e v="#DIV/0!"/>
    <e v="#DIV/0!"/>
    <e v="#DIV/0!"/>
    <e v="#DIV/0!"/>
    <e v="#DIV/0!"/>
    <e v="#DIV/0!"/>
    <e v="#DIV/0!"/>
    <e v="#DIV/0!"/>
    <e v="#DIV/0!"/>
    <x v="2"/>
  </r>
  <r>
    <x v="27"/>
    <s v=""/>
    <n v="0"/>
    <n v="1"/>
    <x v="2"/>
    <s v="Vestdanmark"/>
    <n v="0"/>
    <n v="0"/>
    <n v="0"/>
    <n v="490824.54885344987"/>
    <n v="0"/>
    <n v="0"/>
    <n v="0"/>
    <n v="0"/>
    <n v="-490824.54885344987"/>
    <n v="0"/>
    <n v="0"/>
    <n v="0"/>
    <n v="0"/>
    <n v="0"/>
    <n v="0"/>
    <n v="0"/>
    <n v="0"/>
    <n v="0"/>
    <n v="0"/>
    <x v="1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3915.1017916004403"/>
    <n v="0"/>
    <n v="0"/>
    <n v="62368.567673274578"/>
    <n v="0"/>
    <n v="0"/>
    <n v="0"/>
    <n v="0"/>
    <n v="-58453.465881674136"/>
    <n v="0"/>
    <n v="0"/>
    <n v="0"/>
    <n v="0"/>
    <n v="0"/>
    <n v="0"/>
    <n v="0"/>
    <n v="0"/>
    <n v="0"/>
    <n v="0"/>
    <x v="1"/>
  </r>
  <r>
    <x v="30"/>
    <s v=""/>
    <n v="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315903.5397993135"/>
    <n v="0"/>
    <n v="0"/>
    <n v="0"/>
    <n v="0"/>
    <n v="0"/>
    <n v="1315903.5397993135"/>
    <n v="0"/>
    <n v="0"/>
    <n v="0"/>
    <n v="1315903.5397993135"/>
    <n v="0"/>
    <n v="24.212625132307366"/>
    <n v="0"/>
    <n v="24.212625132307366"/>
    <n v="0"/>
    <n v="546099.96901671519"/>
    <n v="0"/>
    <n v="546099.96901671519"/>
    <x v="0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649292.34846099082"/>
    <n v="0"/>
    <n v="0"/>
    <n v="0"/>
    <n v="0"/>
    <n v="0"/>
    <n v="0"/>
    <n v="649292.34846099082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324646.17423049541"/>
    <n v="38751.234035816837"/>
    <n v="0"/>
    <n v="0"/>
    <n v="0"/>
    <n v="0"/>
    <n v="0"/>
    <n v="0"/>
    <n v="285894.94019467855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207773.55150751706"/>
    <n v="0"/>
    <n v="0"/>
    <n v="0"/>
    <n v="0"/>
    <n v="0"/>
    <n v="207773.55150751706"/>
    <n v="0"/>
    <n v="0"/>
    <n v="0"/>
    <n v="207773.55150751706"/>
    <n v="0"/>
    <n v="7.2720743027630963"/>
    <n v="0"/>
    <n v="7.2720743027630963"/>
    <n v="0"/>
    <n v="0"/>
    <n v="0"/>
    <n v="0"/>
    <x v="0"/>
  </r>
  <r>
    <x v="38"/>
    <s v="Græs og urter"/>
    <n v="1"/>
    <n v="1"/>
    <x v="2"/>
    <s v="Vestdanmark"/>
    <n v="1115629.1792631589"/>
    <n v="88740.110439454962"/>
    <n v="0"/>
    <n v="0"/>
    <n v="0"/>
    <n v="0"/>
    <n v="0"/>
    <n v="0"/>
    <n v="1026889.068823704"/>
    <n v="1026889.068823704"/>
    <n v="0"/>
    <n v="2.7870180083502856"/>
    <n v="2.7870180083502856"/>
    <n v="0"/>
    <n v="2.7870180083502856"/>
    <n v="205377.81376474083"/>
    <n v="205377.81376474083"/>
    <n v="0"/>
    <n v="205377.81376474083"/>
    <x v="0"/>
  </r>
  <r>
    <x v="39"/>
    <s v=""/>
    <n v="0"/>
    <n v="0"/>
    <x v="2"/>
    <s v="Vestdanmark"/>
    <n v="6885.6435501498472"/>
    <n v="0"/>
    <n v="0"/>
    <n v="0"/>
    <n v="0"/>
    <n v="0"/>
    <n v="0"/>
    <n v="0"/>
    <n v="6885.6435501498472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4618.1462568237339"/>
    <n v="4158.2160376315423"/>
    <n v="0"/>
    <n v="0"/>
    <n v="0"/>
    <n v="0"/>
    <n v="0"/>
    <n v="0"/>
    <n v="459.93021919219154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002333.5486616795"/>
    <n v="0"/>
    <n v="0"/>
    <n v="0"/>
    <n v="1517880.3720548805"/>
    <n v="0"/>
    <n v="0"/>
    <n v="0"/>
    <n v="2484453.176606799"/>
    <n v="2484453.176606799"/>
    <n v="1517880.3720548805"/>
    <n v="1.2397669796585589"/>
    <n v="1.9972044641176647"/>
    <n v="0.75743748445910597"/>
    <n v="1.2397669796585586"/>
    <n v="149067.19059640795"/>
    <n v="240140.01291970076"/>
    <n v="91072.822323292829"/>
    <n v="149067.19059640792"/>
    <x v="0"/>
  </r>
  <r>
    <x v="42"/>
    <s v="Husdyrgødning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Vestdanmark"/>
    <n v="48971.913359549246"/>
    <n v="0"/>
    <n v="0"/>
    <n v="126627.09194270898"/>
    <n v="0"/>
    <n v="0"/>
    <n v="0"/>
    <n v="0"/>
    <n v="-77655.178583159737"/>
    <n v="0"/>
    <n v="0"/>
    <n v="0"/>
    <n v="0"/>
    <n v="0"/>
    <n v="0"/>
    <n v="0"/>
    <n v="0"/>
    <n v="0"/>
    <n v="0"/>
    <x v="1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312878.2492368715"/>
    <n v="0"/>
    <n v="0"/>
    <n v="0"/>
    <n v="0"/>
    <n v="0"/>
    <n v="2312878.2492368715"/>
    <n v="0"/>
    <n v="0"/>
    <n v="0"/>
    <n v="2312878.2492368715"/>
    <n v="0"/>
    <n v="33.521860264419189"/>
    <n v="0"/>
    <n v="33.521860264419189"/>
    <n v="0"/>
    <n v="1143911.034101736"/>
    <n v="0"/>
    <n v="1143911.034101736"/>
    <x v="0"/>
  </r>
  <r>
    <x v="47"/>
    <s v=""/>
    <n v="0"/>
    <n v="0"/>
    <x v="2"/>
    <s v="Vestdanmark"/>
    <n v="676235.95848651009"/>
    <n v="0"/>
    <n v="0"/>
    <n v="0"/>
    <n v="0"/>
    <n v="0"/>
    <n v="0"/>
    <n v="676235.95848651009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4322.21600404952"/>
    <n v="0"/>
    <n v="0"/>
    <n v="28209.340124628539"/>
    <n v="0"/>
    <n v="0"/>
    <n v="0"/>
    <n v="0"/>
    <n v="-13887.124120579019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24496.54397532428"/>
    <n v="35580.456032910348"/>
    <n v="0"/>
    <n v="0"/>
    <n v="0"/>
    <n v="0"/>
    <n v="0"/>
    <n v="0"/>
    <n v="188916.08794241393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59355543.043848336"/>
    <n v="0"/>
    <n v="0"/>
    <n v="0"/>
    <n v="0"/>
    <n v="0"/>
    <n v="59355543.043848336"/>
    <n v="0"/>
    <n v="0"/>
    <n v="0"/>
    <n v="59355543.043848336"/>
    <n v="0"/>
    <n v="0"/>
    <n v="0"/>
    <n v="0"/>
    <n v="0"/>
    <n v="0"/>
    <n v="0"/>
    <n v="0"/>
    <x v="0"/>
  </r>
  <r>
    <x v="4"/>
    <s v=""/>
    <n v="0"/>
    <n v="0"/>
    <x v="1"/>
    <s v="Østdanmark"/>
    <n v="3437586.4612868829"/>
    <n v="0"/>
    <n v="0"/>
    <n v="0"/>
    <n v="0"/>
    <n v="2955271.7916417704"/>
    <n v="0"/>
    <n v="0"/>
    <n v="482314.66964511247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846465.45891391754"/>
    <n v="0"/>
    <n v="0"/>
    <n v="0"/>
    <n v="634849.09418543812"/>
    <n v="0"/>
    <n v="0"/>
    <n v="0"/>
    <n v="211616.36472847941"/>
    <n v="211616.36472847941"/>
    <n v="634849.09418543812"/>
    <n v="0.12020361347285069"/>
    <n v="0.4808144538914027"/>
    <n v="0.36061084041855201"/>
    <n v="0.12020361347285069"/>
    <n v="9049.4326185990121"/>
    <n v="36197.730474396041"/>
    <n v="27148.297855797027"/>
    <n v="9049.4326185990139"/>
    <x v="0"/>
  </r>
  <r>
    <x v="6"/>
    <s v="Husdyrgødning"/>
    <n v="1"/>
    <n v="0"/>
    <x v="1"/>
    <s v="Østdanmark"/>
    <n v="237805.24041385058"/>
    <n v="0"/>
    <n v="0"/>
    <n v="0"/>
    <n v="178353.93031038792"/>
    <n v="22506.567396310857"/>
    <n v="0"/>
    <n v="0"/>
    <n v="36944.742707151803"/>
    <n v="36944.742707151803"/>
    <n v="178353.93031038792"/>
    <n v="7.9578975791204987E-2"/>
    <n v="0.46375334167978055"/>
    <n v="0.38417436588857556"/>
    <n v="7.9578975791204987E-2"/>
    <n v="11083.42281214554"/>
    <n v="64589.601905261916"/>
    <n v="53506.179093116378"/>
    <n v="11083.422812145538"/>
    <x v="0"/>
  </r>
  <r>
    <x v="7"/>
    <s v=""/>
    <n v="0"/>
    <n v="0"/>
    <x v="1"/>
    <s v="Østdanmark"/>
    <n v="596197.91369593481"/>
    <n v="596035.73507669987"/>
    <n v="0"/>
    <n v="0"/>
    <n v="0"/>
    <n v="0"/>
    <n v="0"/>
    <n v="0"/>
    <n v="162.17861923493911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541.37976495307191"/>
    <n v="0"/>
    <n v="0"/>
    <n v="0"/>
    <n v="406.03482371480391"/>
    <n v="135.34494123826798"/>
    <n v="0"/>
    <n v="0"/>
    <n v="0"/>
    <n v="0"/>
    <n v="406.03482371480391"/>
    <n v="0"/>
    <n v="1.9095411724483514E-4"/>
    <n v="1.9095411724483514E-4"/>
    <n v="0"/>
    <n v="0"/>
    <n v="25.580193894032647"/>
    <n v="25.580193894032647"/>
    <n v="0"/>
    <x v="0"/>
  </r>
  <r>
    <x v="9"/>
    <s v=""/>
    <n v="0"/>
    <n v="1"/>
    <x v="1"/>
    <s v="Østdanmark"/>
    <n v="12283.299585125167"/>
    <n v="0"/>
    <n v="0"/>
    <n v="30560.118468347584"/>
    <n v="0"/>
    <n v="0"/>
    <n v="0"/>
    <n v="0"/>
    <n v="-18276.818883222419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27702.74434968803"/>
    <n v="0"/>
    <n v="0"/>
    <n v="0"/>
    <n v="0"/>
    <n v="0"/>
    <n v="0"/>
    <n v="0"/>
    <n v="227702.74434968803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230638.97041088896"/>
    <n v="0"/>
    <n v="0"/>
    <n v="223323.94265330929"/>
    <n v="0"/>
    <n v="0"/>
    <n v="0"/>
    <n v="0"/>
    <n v="7315.0277575796645"/>
    <n v="0"/>
    <n v="0"/>
    <n v="0"/>
    <n v="0"/>
    <n v="0"/>
    <n v="0"/>
    <n v="0"/>
    <n v="0"/>
    <n v="0"/>
    <n v="0"/>
    <x v="0"/>
  </r>
  <r>
    <x v="12"/>
    <s v="Glycerin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Østdanmark"/>
    <n v="5594360.665097801"/>
    <n v="1270913.6517041866"/>
    <n v="0"/>
    <n v="0"/>
    <n v="0"/>
    <n v="0"/>
    <n v="0"/>
    <n v="1732245.2164050208"/>
    <n v="2591201.7969885934"/>
    <n v="0"/>
    <n v="0"/>
    <n v="0"/>
    <n v="0"/>
    <n v="0"/>
    <n v="0"/>
    <n v="0"/>
    <n v="0"/>
    <n v="0"/>
    <n v="0"/>
    <x v="1"/>
  </r>
  <r>
    <x v="14"/>
    <s v=""/>
    <n v="0"/>
    <n v="0"/>
    <x v="1"/>
    <s v="Østdanmark"/>
    <n v="289581.84379516833"/>
    <n v="289581.84379516833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324551.69572937489"/>
    <n v="0"/>
    <n v="0"/>
    <n v="233902.44520004498"/>
    <n v="0"/>
    <n v="0"/>
    <n v="0"/>
    <n v="0"/>
    <n v="90649.250529329904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687307.8810744558"/>
    <n v="65715.418897709809"/>
    <n v="70710.376470197152"/>
    <n v="0"/>
    <n v="0"/>
    <n v="0"/>
    <n v="550882.085706549"/>
    <n v="0"/>
    <n v="0"/>
    <n v="0"/>
    <n v="550882.085706549"/>
    <n v="0"/>
    <n v="5.6938105535613097"/>
    <n v="0"/>
    <n v="5.6938105535613097"/>
    <n v="0"/>
    <n v="468249.77285056666"/>
    <n v="0"/>
    <n v="468249.77285056666"/>
    <x v="0"/>
  </r>
  <r>
    <x v="17"/>
    <s v="Bionedbrydeligt affald"/>
    <n v="1"/>
    <n v="0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x v="0"/>
  </r>
  <r>
    <x v="18"/>
    <s v=""/>
    <n v="0"/>
    <n v="1"/>
    <x v="1"/>
    <s v="Østdanmark"/>
    <n v="0"/>
    <n v="264797.29963641899"/>
    <n v="0"/>
    <n v="0"/>
    <n v="0"/>
    <n v="0"/>
    <n v="0"/>
    <n v="0"/>
    <n v="-264797.29963641899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191070.85109932383"/>
    <n v="0"/>
    <n v="0"/>
    <n v="0"/>
    <n v="0"/>
    <n v="0"/>
    <n v="0"/>
    <n v="0"/>
    <n v="191070.85109932383"/>
    <n v="191070.85109932383"/>
    <n v="0"/>
    <n v="0.82793483702401316"/>
    <n v="0.82793483702401316"/>
    <n v="0"/>
    <n v="0.82793483702401316"/>
    <n v="80249.757461715999"/>
    <n v="80249.757461715999"/>
    <n v="0"/>
    <n v="80249.757461715999"/>
    <x v="0"/>
  </r>
  <r>
    <x v="20"/>
    <s v=""/>
    <n v="0"/>
    <n v="0"/>
    <x v="1"/>
    <s v="Østdanmark"/>
    <n v="205293.78890297885"/>
    <n v="0"/>
    <n v="0"/>
    <n v="0"/>
    <n v="0"/>
    <n v="0"/>
    <n v="0"/>
    <n v="0"/>
    <n v="205293.78890297885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99382.99632277054"/>
    <n v="0"/>
    <n v="0"/>
    <n v="106960.41463921656"/>
    <n v="0"/>
    <n v="0"/>
    <n v="0"/>
    <n v="0"/>
    <n v="392422.58168355399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416204.9102783564"/>
    <n v="322423.8733791869"/>
    <n v="0"/>
    <n v="256234.83946537593"/>
    <n v="0"/>
    <n v="0"/>
    <n v="0"/>
    <n v="0"/>
    <n v="837546.19743379357"/>
    <n v="837546.19743379357"/>
    <n v="0"/>
    <n v="2.8684784697431027"/>
    <n v="2.8684784697431027"/>
    <n v="0"/>
    <n v="2.8684784697431027"/>
    <n v="259639.321204476"/>
    <n v="259639.321204476"/>
    <n v="0"/>
    <n v="259639.321204476"/>
    <x v="0"/>
  </r>
  <r>
    <x v="23"/>
    <s v=""/>
    <n v="0"/>
    <n v="0"/>
    <x v="1"/>
    <s v="Østdanmark"/>
    <n v="0"/>
    <n v="0"/>
    <n v="0"/>
    <n v="0"/>
    <n v="0"/>
    <n v="469385.8379067207"/>
    <n v="0"/>
    <n v="0"/>
    <n v="-469385.8379067207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691481.64120288345"/>
    <n v="0"/>
    <n v="0"/>
    <n v="0"/>
    <n v="518611.23090216261"/>
    <n v="172870.41030072086"/>
    <n v="0"/>
    <n v="0"/>
    <n v="0"/>
    <n v="0"/>
    <n v="518611.23090216261"/>
    <n v="0"/>
    <n v="0.26251581897036574"/>
    <n v="0.26251581897036574"/>
    <n v="0"/>
    <n v="0"/>
    <n v="39414.453548564357"/>
    <n v="39414.453548564357"/>
    <n v="0"/>
    <x v="0"/>
  </r>
  <r>
    <x v="25"/>
    <s v=""/>
    <n v="0"/>
    <n v="0"/>
    <x v="1"/>
    <s v="Østdanmark"/>
    <n v="50222.397196773512"/>
    <n v="83123.75342946584"/>
    <n v="0"/>
    <n v="0"/>
    <n v="0"/>
    <n v="0"/>
    <n v="0"/>
    <n v="0"/>
    <n v="-32901.356232692327"/>
    <n v="0"/>
    <n v="0"/>
    <n v="0"/>
    <n v="0"/>
    <n v="0"/>
    <n v="0"/>
    <n v="0"/>
    <n v="0"/>
    <n v="0"/>
    <n v="0"/>
    <x v="1"/>
  </r>
  <r>
    <x v="26"/>
    <s v="Græs og urter"/>
    <n v="1"/>
    <n v="1"/>
    <x v="1"/>
    <s v="Østdanmark"/>
    <n v="1156433.9505254913"/>
    <n v="310240.24994508084"/>
    <n v="0"/>
    <n v="0"/>
    <n v="0"/>
    <n v="0"/>
    <n v="0"/>
    <n v="0"/>
    <n v="846193.70058041043"/>
    <n v="846193.70058041043"/>
    <n v="0"/>
    <n v="3.0378353850836737"/>
    <n v="3.0378353850836737"/>
    <n v="0"/>
    <n v="3.0378353850836737"/>
    <n v="253858.11017412311"/>
    <n v="253858.11017412311"/>
    <n v="0"/>
    <n v="253858.11017412311"/>
    <x v="0"/>
  </r>
  <r>
    <x v="27"/>
    <s v=""/>
    <n v="0"/>
    <n v="1"/>
    <x v="1"/>
    <s v="Østdanmark"/>
    <n v="96903.161700864599"/>
    <n v="0"/>
    <n v="0"/>
    <n v="409035.43180711387"/>
    <n v="0"/>
    <n v="0"/>
    <n v="0"/>
    <n v="0"/>
    <n v="-312132.27010624926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6251.0678007025454"/>
    <n v="0"/>
    <n v="0"/>
    <n v="51975.70917962808"/>
    <n v="0"/>
    <n v="0"/>
    <n v="0"/>
    <n v="0"/>
    <n v="-45724.641378925531"/>
    <n v="0"/>
    <n v="0"/>
    <n v="0"/>
    <n v="0"/>
    <n v="0"/>
    <n v="0"/>
    <n v="0"/>
    <n v="0"/>
    <n v="0"/>
    <n v="0"/>
    <x v="1"/>
  </r>
  <r>
    <x v="30"/>
    <s v=""/>
    <n v="0"/>
    <n v="1"/>
    <x v="1"/>
    <s v="Østdanmark"/>
    <n v="294500.89085380302"/>
    <n v="0"/>
    <n v="0"/>
    <n v="0"/>
    <n v="0"/>
    <n v="0"/>
    <n v="0"/>
    <n v="0"/>
    <n v="294500.89085380302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272404.80098126631"/>
    <n v="0"/>
    <n v="0"/>
    <n v="0"/>
    <n v="0"/>
    <n v="0"/>
    <n v="272404.80098126631"/>
    <n v="0"/>
    <n v="0"/>
    <n v="0"/>
    <n v="272404.80098126631"/>
    <n v="0"/>
    <n v="5.0122483380552989"/>
    <n v="0"/>
    <n v="5.0122483380552989"/>
    <n v="0"/>
    <n v="113047.99240722552"/>
    <n v="0"/>
    <n v="113047.99240722552"/>
    <x v="0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150898.00912578267"/>
    <n v="0"/>
    <n v="0"/>
    <n v="0"/>
    <n v="0"/>
    <n v="0"/>
    <n v="0"/>
    <n v="0"/>
    <n v="150898.00912578267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25771.64512076203"/>
    <n v="0"/>
    <n v="0"/>
    <n v="0"/>
    <n v="0"/>
    <n v="0"/>
    <n v="0"/>
    <n v="225771.64512076203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112885.82256038101"/>
    <n v="22820.937006537704"/>
    <n v="0"/>
    <n v="0"/>
    <n v="0"/>
    <n v="0"/>
    <n v="0"/>
    <n v="0"/>
    <n v="90064.885553843313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72246.926438643844"/>
    <n v="0"/>
    <n v="0"/>
    <n v="0"/>
    <n v="0"/>
    <n v="0"/>
    <n v="72246.926438643844"/>
    <n v="0"/>
    <n v="0"/>
    <n v="0"/>
    <n v="72246.926438643844"/>
    <n v="0"/>
    <n v="2.5286424253525341"/>
    <n v="0"/>
    <n v="2.5286424253525341"/>
    <n v="0"/>
    <n v="0"/>
    <n v="0"/>
    <n v="0"/>
    <x v="0"/>
  </r>
  <r>
    <x v="38"/>
    <s v="Græs og urter"/>
    <n v="1"/>
    <n v="1"/>
    <x v="1"/>
    <s v="Østdanmark"/>
    <n v="594657.92108707852"/>
    <n v="71502.640028910202"/>
    <n v="0"/>
    <n v="0"/>
    <n v="0"/>
    <n v="0"/>
    <n v="0"/>
    <n v="0"/>
    <n v="523155.28105816833"/>
    <n v="523155.28105816833"/>
    <n v="0"/>
    <n v="1.4198643590031113"/>
    <n v="1.4198643590031113"/>
    <n v="0"/>
    <n v="1.4198643590031113"/>
    <n v="104631.05621163367"/>
    <n v="104631.05621163367"/>
    <n v="0"/>
    <n v="104631.05621163367"/>
    <x v="0"/>
  </r>
  <r>
    <x v="39"/>
    <s v=""/>
    <n v="0"/>
    <n v="0"/>
    <x v="1"/>
    <s v="Østdanmark"/>
    <n v="16250.349472544192"/>
    <n v="0"/>
    <n v="0"/>
    <n v="0"/>
    <n v="0"/>
    <n v="0"/>
    <n v="0"/>
    <n v="0"/>
    <n v="16250.349472544192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2700.787430000357"/>
    <n v="3350.4964443791791"/>
    <n v="0"/>
    <n v="0"/>
    <n v="0"/>
    <n v="0"/>
    <n v="0"/>
    <n v="0"/>
    <n v="9350.2909856211772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39172.5135239428"/>
    <n v="0"/>
    <n v="0"/>
    <n v="0"/>
    <n v="1266377.3160230415"/>
    <n v="0"/>
    <n v="0"/>
    <n v="0"/>
    <n v="2072795.1975009013"/>
    <n v="2072795.1975009013"/>
    <n v="1266377.3160230415"/>
    <n v="1.0343455315049248"/>
    <n v="1.6662804759735828"/>
    <n v="0.63193494446865806"/>
    <n v="1.0343455315049246"/>
    <n v="124367.71185005407"/>
    <n v="200350.35081143657"/>
    <n v="75982.638961382487"/>
    <n v="124367.71185005408"/>
    <x v="0"/>
  </r>
  <r>
    <x v="42"/>
    <s v="Husdyrgødning"/>
    <n v="1"/>
    <n v="0"/>
    <x v="1"/>
    <s v="Østdanmark"/>
    <n v="1521006.1015498589"/>
    <n v="0"/>
    <n v="0"/>
    <n v="0"/>
    <n v="1140754.5761623941"/>
    <n v="380251.52538746473"/>
    <n v="0"/>
    <n v="0"/>
    <n v="0"/>
    <n v="0"/>
    <n v="1140754.5761623941"/>
    <n v="0"/>
    <n v="0.49143707141075949"/>
    <n v="0.49143707141075949"/>
    <n v="0"/>
    <n v="0"/>
    <n v="57037.728808119711"/>
    <n v="57037.728808119711"/>
    <n v="0"/>
    <x v="0"/>
  </r>
  <r>
    <x v="43"/>
    <s v=""/>
    <n v="0"/>
    <n v="1"/>
    <x v="1"/>
    <s v="Østdanmark"/>
    <n v="137924.05255645732"/>
    <n v="0"/>
    <n v="0"/>
    <n v="105526.43984954793"/>
    <n v="0"/>
    <n v="0"/>
    <n v="0"/>
    <n v="0"/>
    <n v="32397.612706909393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8970.86702196393"/>
    <n v="0"/>
    <n v="0"/>
    <n v="0"/>
    <n v="0"/>
    <n v="0"/>
    <n v="648970.86702196393"/>
    <n v="0"/>
    <n v="0"/>
    <n v="0"/>
    <n v="648970.86702196393"/>
    <n v="0"/>
    <n v="9.4059039757787311"/>
    <n v="0"/>
    <n v="9.4059039757787311"/>
    <n v="0"/>
    <n v="320970.17464794632"/>
    <n v="0"/>
    <n v="320970.17464794632"/>
    <x v="0"/>
  </r>
  <r>
    <x v="47"/>
    <s v=""/>
    <n v="0"/>
    <n v="0"/>
    <x v="1"/>
    <s v="Østdanmark"/>
    <n v="178680.65524972283"/>
    <n v="0"/>
    <n v="0"/>
    <n v="0"/>
    <n v="0"/>
    <n v="0"/>
    <n v="0"/>
    <n v="178680.65524972283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  <x v="1"/>
  </r>
  <r>
    <x v="1"/>
    <s v=""/>
    <n v="0"/>
    <n v="1"/>
    <x v="2"/>
    <s v="Østdanmark"/>
    <n v="327276.13808680209"/>
    <n v="13576.138108301233"/>
    <n v="0"/>
    <n v="0"/>
    <n v="0"/>
    <n v="0"/>
    <n v="0"/>
    <n v="0"/>
    <n v="313699.99997850088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28558363.893184837"/>
    <n v="0"/>
    <n v="0"/>
    <n v="0"/>
    <n v="0"/>
    <n v="0"/>
    <n v="28558363.893184837"/>
    <n v="0"/>
    <n v="0"/>
    <n v="0"/>
    <n v="28558363.893184837"/>
    <n v="0"/>
    <n v="0"/>
    <n v="0"/>
    <n v="0"/>
    <n v="0"/>
    <n v="0"/>
    <n v="0"/>
    <n v="0"/>
    <x v="0"/>
  </r>
  <r>
    <x v="4"/>
    <s v=""/>
    <n v="0"/>
    <n v="0"/>
    <x v="2"/>
    <s v="Østdanmark"/>
    <n v="0"/>
    <n v="0"/>
    <n v="0"/>
    <n v="0"/>
    <n v="0"/>
    <e v="#DIV/0!"/>
    <n v="0"/>
    <n v="0"/>
    <e v="#DIV/0!"/>
    <n v="0"/>
    <n v="0"/>
    <n v="0"/>
    <n v="0"/>
    <n v="0"/>
    <n v="0"/>
    <n v="0"/>
    <n v="0"/>
    <n v="0"/>
    <n v="0"/>
    <x v="2"/>
  </r>
  <r>
    <x v="5"/>
    <s v="Bionedbrydeligt affald"/>
    <n v="1"/>
    <n v="0"/>
    <x v="2"/>
    <s v="Østdanmark"/>
    <n v="358631.63054471865"/>
    <n v="0"/>
    <n v="0"/>
    <n v="0"/>
    <n v="322768.46749024681"/>
    <n v="0"/>
    <n v="0"/>
    <n v="0"/>
    <n v="35863.163054471835"/>
    <n v="35863.163054471835"/>
    <n v="322768.46749024681"/>
    <n v="2.0371211816462093E-2"/>
    <n v="0.20371211816462109"/>
    <n v="0.183340906348159"/>
    <n v="2.0371211816462093E-2"/>
    <n v="1533.6303407710675"/>
    <n v="15336.303407710688"/>
    <n v="13802.67306693962"/>
    <n v="1533.6303407710675"/>
    <x v="0"/>
  </r>
  <r>
    <x v="6"/>
    <s v="Husdyrgødning"/>
    <n v="1"/>
    <n v="0"/>
    <x v="2"/>
    <s v="Østdanmark"/>
    <n v="81826.264655313833"/>
    <n v="0"/>
    <n v="0"/>
    <n v="0"/>
    <n v="73643.638189782447"/>
    <n v="3097.7085905225945"/>
    <n v="0"/>
    <n v="0"/>
    <n v="5084.9178750087885"/>
    <n v="5084.9178750087885"/>
    <n v="73643.638189782447"/>
    <n v="1.095291310276893E-2"/>
    <n v="0.16958130976356034"/>
    <n v="0.1586283966607914"/>
    <n v="1.0952913102768941E-2"/>
    <n v="1525.4753625026365"/>
    <n v="23618.566819437368"/>
    <n v="22093.091456934733"/>
    <n v="1525.4753625026351"/>
    <x v="0"/>
  </r>
  <r>
    <x v="7"/>
    <s v=""/>
    <n v="0"/>
    <n v="0"/>
    <x v="2"/>
    <s v="Østdanmark"/>
    <n v="252597.93847994076"/>
    <n v="252429.88369052325"/>
    <n v="0"/>
    <n v="0"/>
    <n v="0"/>
    <n v="0"/>
    <n v="0"/>
    <n v="0"/>
    <n v="168.05478941751062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  <x v="0"/>
  </r>
  <r>
    <x v="9"/>
    <s v="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  <x v="1"/>
  </r>
  <r>
    <x v="10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401656.76816227223"/>
    <n v="0"/>
    <n v="0"/>
    <n v="233795.01599247381"/>
    <n v="0"/>
    <n v="0"/>
    <n v="0"/>
    <n v="0"/>
    <n v="167861.75216979842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Østdanmark"/>
    <n v="8658940.9474013411"/>
    <n v="254116.73925064973"/>
    <n v="0"/>
    <n v="0"/>
    <n v="0"/>
    <n v="0"/>
    <n v="0"/>
    <n v="733919.99628634495"/>
    <n v="7670904.2118643466"/>
    <n v="7670904.2118643466"/>
    <n v="0"/>
    <n v="14.113504886803916"/>
    <n v="14.113504886803916"/>
    <n v="0"/>
    <n v="14.113504886803916"/>
    <n v="2147853.1793220174"/>
    <n v="2147853.1793220174"/>
    <n v="0"/>
    <n v="2147853.1793220174"/>
    <x v="0"/>
  </r>
  <r>
    <x v="14"/>
    <s v=""/>
    <n v="0"/>
    <n v="0"/>
    <x v="2"/>
    <s v="Østdanmark"/>
    <n v="122690.4272616855"/>
    <n v="122690.4272616855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505594.77728899289"/>
    <n v="0"/>
    <n v="0"/>
    <n v="244869.51675001203"/>
    <n v="0"/>
    <n v="0"/>
    <n v="0"/>
    <n v="0"/>
    <n v="260725.26053898086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258124.70701036416"/>
    <n v="9879.5604259102856"/>
    <n v="9665.8931514547894"/>
    <n v="0"/>
    <n v="0"/>
    <n v="0"/>
    <n v="238579.25343299913"/>
    <n v="0"/>
    <n v="0"/>
    <n v="0"/>
    <n v="238579.25343299913"/>
    <n v="0"/>
    <n v="2.4659089600187367"/>
    <n v="0"/>
    <n v="2.4659089600187367"/>
    <n v="0"/>
    <n v="202792.36541804924"/>
    <n v="0"/>
    <n v="202792.36541804924"/>
    <x v="0"/>
  </r>
  <r>
    <x v="17"/>
    <s v="Bionedbrydeligt affald"/>
    <n v="1"/>
    <n v="0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x v="0"/>
  </r>
  <r>
    <x v="18"/>
    <s v=""/>
    <n v="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n v="0"/>
    <x v="2"/>
    <s v="Østdanmark"/>
    <n v="168748.58777288889"/>
    <n v="0"/>
    <n v="0"/>
    <n v="0"/>
    <n v="0"/>
    <n v="0"/>
    <n v="0"/>
    <n v="0"/>
    <n v="168748.58777288889"/>
    <n v="168748.58777288889"/>
    <n v="0"/>
    <n v="0.73120956813633808"/>
    <n v="0.73120956813633808"/>
    <n v="0"/>
    <n v="0.73120956813633808"/>
    <n v="70874.406864613324"/>
    <n v="70874.406864613324"/>
    <n v="0"/>
    <n v="70874.406864613324"/>
    <x v="0"/>
  </r>
  <r>
    <x v="20"/>
    <s v=""/>
    <n v="0"/>
    <n v="0"/>
    <x v="2"/>
    <s v="Østdanmark"/>
    <n v="128654.0299653736"/>
    <n v="0"/>
    <n v="0"/>
    <n v="0"/>
    <n v="0"/>
    <n v="0"/>
    <n v="0"/>
    <n v="0"/>
    <n v="128654.0299653736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315405.11591647175"/>
    <n v="0"/>
    <n v="0"/>
    <n v="111975.50765955324"/>
    <n v="0"/>
    <n v="0"/>
    <n v="0"/>
    <n v="0"/>
    <n v="203429.60825691849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39725.28295175743"/>
    <n v="0"/>
    <n v="0"/>
    <n v="268249.01834925939"/>
    <n v="0"/>
    <n v="0"/>
    <n v="0"/>
    <n v="0"/>
    <n v="-128523.73539750197"/>
    <n v="0"/>
    <n v="0"/>
    <n v="0"/>
    <n v="0"/>
    <n v="0"/>
    <n v="0"/>
    <n v="0"/>
    <n v="0"/>
    <n v="0"/>
    <n v="0"/>
    <x v="1"/>
  </r>
  <r>
    <x v="23"/>
    <s v=""/>
    <n v="0"/>
    <n v="0"/>
    <x v="2"/>
    <s v="Østdanmark"/>
    <n v="0"/>
    <n v="0"/>
    <n v="0"/>
    <n v="0"/>
    <n v="0"/>
    <e v="#DIV/0!"/>
    <n v="0"/>
    <n v="0"/>
    <e v="#DIV/0!"/>
    <n v="0"/>
    <n v="0"/>
    <n v="0"/>
    <n v="0"/>
    <n v="0"/>
    <n v="0"/>
    <n v="0"/>
    <n v="0"/>
    <n v="0"/>
    <n v="0"/>
    <x v="2"/>
  </r>
  <r>
    <x v="24"/>
    <s v="Husdyrgødning"/>
    <n v="1"/>
    <n v="0"/>
    <x v="2"/>
    <s v="Østdanmark"/>
    <n v="48859.701831397157"/>
    <n v="0"/>
    <n v="0"/>
    <n v="0"/>
    <n v="43973.731648257439"/>
    <n v="4885.9701831397142"/>
    <n v="0"/>
    <n v="0"/>
    <n v="0"/>
    <n v="0"/>
    <n v="43973.731648257439"/>
    <n v="0"/>
    <n v="2.2259063223031436E-2"/>
    <n v="2.2259063223031436E-2"/>
    <n v="0"/>
    <n v="0"/>
    <n v="3342.0036052675655"/>
    <n v="3342.0036052675655"/>
    <n v="0"/>
    <x v="0"/>
  </r>
  <r>
    <x v="25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0"/>
    <n v="0"/>
    <n v="0"/>
    <n v="0"/>
    <e v="#DIV/0!"/>
    <n v="0"/>
    <n v="0"/>
    <n v="0"/>
    <e v="#DIV/0!"/>
    <e v="#DIV/0!"/>
    <e v="#DIV/0!"/>
    <e v="#DIV/0!"/>
    <e v="#DIV/0!"/>
    <e v="#DIV/0!"/>
    <e v="#DIV/0!"/>
    <e v="#DIV/0!"/>
    <e v="#DIV/0!"/>
    <e v="#DIV/0!"/>
    <e v="#DIV/0!"/>
    <x v="2"/>
  </r>
  <r>
    <x v="27"/>
    <s v=""/>
    <n v="0"/>
    <n v="1"/>
    <x v="2"/>
    <s v="Østdanmark"/>
    <n v="0"/>
    <n v="0"/>
    <n v="0"/>
    <n v="428214.02929147833"/>
    <n v="0"/>
    <n v="0"/>
    <n v="0"/>
    <n v="0"/>
    <n v="-428214.02929147833"/>
    <n v="0"/>
    <n v="0"/>
    <n v="0"/>
    <n v="0"/>
    <n v="0"/>
    <n v="0"/>
    <n v="0"/>
    <n v="0"/>
    <n v="0"/>
    <n v="0"/>
    <x v="1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278.2619831544028"/>
    <n v="0"/>
    <n v="0"/>
    <n v="54412.71372203785"/>
    <n v="0"/>
    <n v="0"/>
    <n v="0"/>
    <n v="0"/>
    <n v="-54134.45173888345"/>
    <n v="0"/>
    <n v="0"/>
    <n v="0"/>
    <n v="0"/>
    <n v="0"/>
    <n v="0"/>
    <n v="0"/>
    <n v="0"/>
    <n v="0"/>
    <n v="0"/>
    <x v="1"/>
  </r>
  <r>
    <x v="30"/>
    <s v=""/>
    <n v="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437726.22620455944"/>
    <n v="0"/>
    <n v="0"/>
    <n v="0"/>
    <n v="0"/>
    <n v="0"/>
    <n v="437726.22620455944"/>
    <n v="0"/>
    <n v="0"/>
    <n v="0"/>
    <n v="437726.22620455944"/>
    <n v="0"/>
    <n v="8.0541625621638921"/>
    <n v="0"/>
    <n v="8.0541625621638921"/>
    <n v="0"/>
    <n v="181656.38387489217"/>
    <n v="0"/>
    <n v="181656.38387489217"/>
    <x v="0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215982.61635398451"/>
    <n v="0"/>
    <n v="0"/>
    <n v="0"/>
    <n v="0"/>
    <n v="0"/>
    <n v="0"/>
    <n v="215982.61635398451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107991.30817699226"/>
    <n v="4694.1611058241288"/>
    <n v="0"/>
    <n v="0"/>
    <n v="0"/>
    <n v="0"/>
    <n v="0"/>
    <n v="0"/>
    <n v="103297.14707116813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69114.43723327505"/>
    <n v="0"/>
    <n v="0"/>
    <n v="0"/>
    <n v="0"/>
    <n v="0"/>
    <n v="69114.43723327505"/>
    <n v="0"/>
    <n v="0"/>
    <n v="0"/>
    <n v="69114.43723327505"/>
    <n v="0"/>
    <n v="2.4190053031646266"/>
    <n v="0"/>
    <n v="2.4190053031646266"/>
    <n v="0"/>
    <n v="0"/>
    <n v="0"/>
    <n v="0"/>
    <x v="0"/>
  </r>
  <r>
    <x v="38"/>
    <s v="Græs og urter"/>
    <n v="1"/>
    <n v="1"/>
    <x v="2"/>
    <s v="Østdanmark"/>
    <n v="371106.34306601883"/>
    <n v="10749.602827265073"/>
    <n v="0"/>
    <n v="0"/>
    <n v="0"/>
    <n v="0"/>
    <n v="0"/>
    <n v="0"/>
    <n v="360356.74023875373"/>
    <n v="360356.74023875373"/>
    <n v="0"/>
    <n v="0.97802260727758716"/>
    <n v="0.97802260727758716"/>
    <n v="0"/>
    <n v="0.97802260727758716"/>
    <n v="72071.348047750755"/>
    <n v="72071.348047750755"/>
    <n v="0"/>
    <n v="72071.348047750755"/>
    <x v="0"/>
  </r>
  <r>
    <x v="39"/>
    <s v=""/>
    <n v="0"/>
    <n v="0"/>
    <x v="2"/>
    <s v="Østdanmark"/>
    <n v="807.52489656472994"/>
    <n v="0"/>
    <n v="0"/>
    <n v="0"/>
    <n v="0"/>
    <n v="0"/>
    <n v="0"/>
    <n v="0"/>
    <n v="807.52489656472994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650.65285036970454"/>
    <n v="503.70875867908762"/>
    <n v="0"/>
    <n v="0"/>
    <n v="0"/>
    <n v="0"/>
    <n v="0"/>
    <n v="0"/>
    <n v="146.94409169061692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491788.2152479719"/>
    <n v="0"/>
    <n v="0"/>
    <n v="0"/>
    <n v="1324256.6444942397"/>
    <n v="0"/>
    <n v="0"/>
    <n v="0"/>
    <n v="2167531.5707537322"/>
    <n v="2167531.5707537322"/>
    <n v="1324256.6444942397"/>
    <n v="1.08161992912182"/>
    <n v="1.7424372372908907"/>
    <n v="0.66081730816907069"/>
    <n v="1.08161992912182"/>
    <n v="130051.89424522393"/>
    <n v="209507.29291487832"/>
    <n v="79455.398669654372"/>
    <n v="130051.89424522394"/>
    <x v="0"/>
  </r>
  <r>
    <x v="42"/>
    <s v="Husdyrgødning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Østdanmark"/>
    <n v="7095.888967518189"/>
    <n v="0"/>
    <n v="0"/>
    <n v="110474.29755686472"/>
    <n v="0"/>
    <n v="0"/>
    <n v="0"/>
    <n v="0"/>
    <n v="-103378.40858934654"/>
    <n v="0"/>
    <n v="0"/>
    <n v="0"/>
    <n v="0"/>
    <n v="0"/>
    <n v="0"/>
    <n v="0"/>
    <n v="0"/>
    <n v="0"/>
    <n v="0"/>
    <x v="1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41761.08642399055"/>
    <n v="0"/>
    <n v="0"/>
    <n v="0"/>
    <n v="0"/>
    <n v="0"/>
    <n v="641761.08642399055"/>
    <n v="0"/>
    <n v="0"/>
    <n v="0"/>
    <n v="641761.08642399055"/>
    <n v="0"/>
    <n v="9.3014085239225324"/>
    <n v="0"/>
    <n v="9.3014085239225324"/>
    <n v="0"/>
    <n v="317404.33732719865"/>
    <n v="0"/>
    <n v="317404.33732719865"/>
    <x v="0"/>
  </r>
  <r>
    <x v="47"/>
    <s v=""/>
    <n v="0"/>
    <n v="0"/>
    <x v="2"/>
    <s v="Østdanmark"/>
    <n v="183690.80267816613"/>
    <n v="0"/>
    <n v="0"/>
    <n v="0"/>
    <n v="0"/>
    <n v="0"/>
    <n v="0"/>
    <n v="183690.80267816613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170645.52593143433"/>
    <n v="0"/>
    <n v="0"/>
    <n v="32579.784552999867"/>
    <n v="0"/>
    <n v="0"/>
    <n v="0"/>
    <n v="0"/>
    <n v="138065.74137843447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735809.0653745383"/>
    <n v="293264.09403304121"/>
    <n v="0"/>
    <n v="0"/>
    <n v="0"/>
    <n v="0"/>
    <n v="0"/>
    <n v="0"/>
    <n v="442544.97134149709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380552475.07633466"/>
    <n v="0"/>
    <n v="0"/>
    <n v="0"/>
    <n v="0"/>
    <n v="0"/>
    <n v="380552475.07633466"/>
    <n v="0"/>
    <n v="0"/>
    <n v="0"/>
    <n v="380552475.07633466"/>
    <n v="0"/>
    <n v="0"/>
    <n v="0"/>
    <n v="0"/>
    <n v="0"/>
    <n v="0"/>
    <n v="0"/>
    <n v="0"/>
    <n v="0"/>
    <x v="1"/>
  </r>
  <r>
    <x v="4"/>
    <s v=""/>
    <n v="0"/>
    <n v="0"/>
    <x v="1"/>
    <s v="Vestdanmark"/>
    <n v="21343677.064342611"/>
    <n v="0"/>
    <n v="0"/>
    <n v="0"/>
    <n v="0"/>
    <n v="18349026.989869542"/>
    <n v="0"/>
    <n v="0"/>
    <n v="2994650.074473068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6976805.6291645998"/>
    <n v="0"/>
    <n v="0"/>
    <n v="0"/>
    <n v="5232604.2218734501"/>
    <n v="0"/>
    <n v="0"/>
    <n v="0"/>
    <n v="1744201.4072911497"/>
    <n v="1744201.4072911497"/>
    <n v="5232604.2218734501"/>
    <n v="0.99075188277540405"/>
    <n v="3.9630075311016162"/>
    <n v="2.9722556483262124"/>
    <n v="0.99075188277540382"/>
    <n v="74587.960760024376"/>
    <n v="298351.84304009756"/>
    <n v="223763.88228007319"/>
    <n v="74587.960760024376"/>
    <n v="0"/>
    <x v="0"/>
  </r>
  <r>
    <x v="6"/>
    <s v="Husdyrgødning"/>
    <n v="1"/>
    <n v="0"/>
    <x v="1"/>
    <s v="Vestdanmark"/>
    <n v="1772243.3904723523"/>
    <n v="0"/>
    <n v="0"/>
    <n v="0"/>
    <n v="1329182.5428542641"/>
    <n v="167730.1780268476"/>
    <n v="0"/>
    <n v="0"/>
    <n v="275330.66959124058"/>
    <n v="275330.66959124058"/>
    <n v="1329182.5428542641"/>
    <n v="0.59306226229953218"/>
    <n v="3.4561214596076173"/>
    <n v="2.8630591973080852"/>
    <n v="0.59306226229953207"/>
    <n v="82599.200877372175"/>
    <n v="481353.96373365138"/>
    <n v="398754.76285627921"/>
    <n v="82599.200877372175"/>
    <n v="0"/>
    <x v="0"/>
  </r>
  <r>
    <x v="7"/>
    <s v=""/>
    <n v="0"/>
    <n v="0"/>
    <x v="1"/>
    <s v="Vestdanmark"/>
    <n v="4914030.3559545483"/>
    <n v="4912693.6343060844"/>
    <n v="0"/>
    <n v="0"/>
    <n v="0"/>
    <n v="0"/>
    <n v="0"/>
    <n v="0"/>
    <n v="1336.7216484639794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6450.400880208218"/>
    <n v="0"/>
    <n v="0"/>
    <n v="0"/>
    <n v="4837.8006601561638"/>
    <n v="1612.6002200520545"/>
    <n v="0"/>
    <n v="0"/>
    <n v="0"/>
    <n v="0"/>
    <n v="4837.8006601561638"/>
    <n v="0"/>
    <n v="2.2751692724648424E-3"/>
    <n v="2.2751692724648424E-3"/>
    <n v="0"/>
    <n v="0"/>
    <n v="304.78144158983832"/>
    <n v="304.78144158983832"/>
    <n v="0"/>
    <n v="0"/>
    <x v="1"/>
  </r>
  <r>
    <x v="9"/>
    <s v=""/>
    <n v="0"/>
    <n v="1"/>
    <x v="1"/>
    <s v="Vestdanmark"/>
    <n v="146352.36036688712"/>
    <n v="0"/>
    <n v="0"/>
    <n v="35294.766599083188"/>
    <n v="0"/>
    <n v="0"/>
    <n v="0"/>
    <n v="0"/>
    <n v="111057.59376780393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710419.72735456063"/>
    <n v="0"/>
    <n v="0"/>
    <n v="0"/>
    <n v="0"/>
    <n v="0"/>
    <n v="0"/>
    <n v="0"/>
    <n v="710419.72735456063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750025.29549583921"/>
    <n v="0"/>
    <n v="0"/>
    <n v="257923.29437791562"/>
    <n v="0"/>
    <n v="0"/>
    <n v="0"/>
    <n v="0"/>
    <n v="492102.00111792359"/>
    <n v="0"/>
    <n v="0"/>
    <n v="0"/>
    <n v="0"/>
    <n v="0"/>
    <n v="0"/>
    <n v="0"/>
    <n v="0"/>
    <n v="0"/>
    <n v="0"/>
    <n v="0"/>
    <x v="0"/>
  </r>
  <r>
    <x v="12"/>
    <s v="Glycerin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Vestdanmark"/>
    <n v="20061837.661928307"/>
    <n v="10475226.633309843"/>
    <n v="0"/>
    <n v="0"/>
    <n v="0"/>
    <n v="0"/>
    <n v="0"/>
    <n v="14277650.729439929"/>
    <n v="-4691039.700821463"/>
    <n v="0"/>
    <n v="0"/>
    <n v="0"/>
    <n v="0"/>
    <n v="0"/>
    <n v="0"/>
    <n v="0"/>
    <n v="0"/>
    <n v="0"/>
    <n v="0"/>
    <n v="1"/>
    <x v="1"/>
  </r>
  <r>
    <x v="14"/>
    <s v=""/>
    <n v="0"/>
    <n v="0"/>
    <x v="1"/>
    <s v="Vestdanmark"/>
    <n v="2386814.7443207805"/>
    <n v="2386814.74432078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1055655.6204498296"/>
    <n v="0"/>
    <n v="0"/>
    <n v="270140.71358529059"/>
    <n v="0"/>
    <n v="0"/>
    <n v="0"/>
    <n v="0"/>
    <n v="785514.90686453902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251816.1518870248"/>
    <n v="541644.90666485392"/>
    <n v="496834.86508299207"/>
    <n v="0"/>
    <n v="0"/>
    <n v="0"/>
    <n v="1213336.3801391786"/>
    <n v="0"/>
    <n v="0"/>
    <n v="0"/>
    <n v="1213336.3801391786"/>
    <n v="0"/>
    <n v="12.540809849344866"/>
    <n v="0"/>
    <n v="12.540809849344866"/>
    <n v="0"/>
    <n v="1031335.9231183018"/>
    <n v="0"/>
    <n v="1031335.9231183018"/>
    <n v="0"/>
    <x v="1"/>
  </r>
  <r>
    <x v="17"/>
    <s v="Bionedbrydeligt affald"/>
    <n v="1"/>
    <n v="0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n v="0"/>
    <x v="1"/>
  </r>
  <r>
    <x v="18"/>
    <s v=""/>
    <n v="0"/>
    <n v="1"/>
    <x v="1"/>
    <s v="Vestdanmark"/>
    <n v="0"/>
    <n v="2182533.5827186201"/>
    <n v="0"/>
    <n v="0"/>
    <n v="0"/>
    <n v="0"/>
    <n v="0"/>
    <n v="0"/>
    <n v="-2182533.5827186201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421188.13344095187"/>
    <n v="0"/>
    <n v="0"/>
    <n v="0"/>
    <n v="0"/>
    <n v="0"/>
    <n v="0"/>
    <n v="0"/>
    <n v="421188.13344095187"/>
    <n v="421188.13344095187"/>
    <n v="0"/>
    <n v="1.8250629366569919"/>
    <n v="1.8250629366569919"/>
    <n v="0"/>
    <n v="1.8250629366569919"/>
    <n v="176899.01604519979"/>
    <n v="176899.01604519979"/>
    <n v="0"/>
    <n v="176899.01604519979"/>
    <n v="0"/>
    <x v="0"/>
  </r>
  <r>
    <x v="20"/>
    <s v=""/>
    <n v="0"/>
    <n v="0"/>
    <x v="1"/>
    <s v="Vestdanmark"/>
    <n v="681865.66095142043"/>
    <n v="0"/>
    <n v="0"/>
    <n v="0"/>
    <n v="0"/>
    <n v="0"/>
    <n v="0"/>
    <n v="0"/>
    <n v="681865.66095142043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695915.6587194109"/>
    <n v="0"/>
    <n v="0"/>
    <n v="123531.68309679118"/>
    <n v="0"/>
    <n v="0"/>
    <n v="0"/>
    <n v="0"/>
    <n v="1572383.9756226197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4663363.7758037988"/>
    <n v="2657507.9598111873"/>
    <n v="0"/>
    <n v="295933.04302308214"/>
    <n v="0"/>
    <n v="0"/>
    <n v="0"/>
    <n v="0"/>
    <n v="1709922.7729695295"/>
    <n v="1709922.7729695295"/>
    <n v="0"/>
    <n v="5.8562461082324235"/>
    <n v="5.8562461082324235"/>
    <n v="0"/>
    <n v="5.8562461082324235"/>
    <n v="530076.05962055409"/>
    <n v="530076.05962055409"/>
    <n v="0"/>
    <n v="530076.05962055409"/>
    <n v="0"/>
    <x v="0"/>
  </r>
  <r>
    <x v="23"/>
    <s v=""/>
    <n v="0"/>
    <n v="0"/>
    <x v="1"/>
    <s v="Vestdanmark"/>
    <n v="0"/>
    <n v="0"/>
    <n v="0"/>
    <n v="0"/>
    <n v="0"/>
    <n v="1027550.6043709198"/>
    <n v="0"/>
    <n v="0"/>
    <n v="-1027550.6043709198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9729036.5778426565"/>
    <n v="0"/>
    <n v="0"/>
    <n v="0"/>
    <n v="7296777.4333819924"/>
    <n v="2432259.1444606641"/>
    <n v="0"/>
    <n v="0"/>
    <n v="0"/>
    <n v="0"/>
    <n v="7296777.4333819924"/>
    <n v="0"/>
    <n v="3.6935557690036314"/>
    <n v="3.6935557690036314"/>
    <n v="0"/>
    <n v="0"/>
    <n v="554555.08493703138"/>
    <n v="554555.08493703138"/>
    <n v="0"/>
    <n v="0"/>
    <x v="1"/>
  </r>
  <r>
    <x v="25"/>
    <s v=""/>
    <n v="0"/>
    <n v="0"/>
    <x v="1"/>
    <s v="Vestdanmark"/>
    <n v="706621.13097372942"/>
    <n v="685129.28051204176"/>
    <n v="0"/>
    <n v="0"/>
    <n v="0"/>
    <n v="0"/>
    <n v="0"/>
    <n v="0"/>
    <n v="21491.85046168766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1"/>
    <s v="Vestdanmark"/>
    <n v="3948930.9849556261"/>
    <n v="2557087.1196415746"/>
    <n v="0"/>
    <n v="0"/>
    <n v="0"/>
    <n v="0"/>
    <n v="0"/>
    <n v="0"/>
    <n v="1391843.8653140515"/>
    <n v="1391843.8653140515"/>
    <n v="0"/>
    <n v="4.9967194764774456"/>
    <n v="4.9967194764774456"/>
    <n v="0"/>
    <n v="4.9967194764774456"/>
    <n v="417553.15959421545"/>
    <n v="417553.15959421545"/>
    <n v="0"/>
    <n v="417553.15959421545"/>
    <n v="0"/>
    <x v="0"/>
  </r>
  <r>
    <x v="27"/>
    <s v=""/>
    <n v="0"/>
    <n v="1"/>
    <x v="1"/>
    <s v="Vestdanmark"/>
    <n v="1363412.0539430196"/>
    <n v="0"/>
    <n v="0"/>
    <n v="472406.87601849809"/>
    <n v="0"/>
    <n v="0"/>
    <n v="0"/>
    <n v="0"/>
    <n v="891005.1779245215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87951.528514645848"/>
    <n v="0"/>
    <n v="0"/>
    <n v="60028.253038902265"/>
    <n v="0"/>
    <n v="0"/>
    <n v="0"/>
    <n v="0"/>
    <n v="27923.275475743583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Vestdanmark"/>
    <n v="982115.03636884945"/>
    <n v="0"/>
    <n v="0"/>
    <n v="0"/>
    <n v="0"/>
    <n v="0"/>
    <n v="0"/>
    <n v="0"/>
    <n v="982115.03636884945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896780.35875026754"/>
    <n v="0"/>
    <n v="0"/>
    <n v="0"/>
    <n v="0"/>
    <n v="0"/>
    <n v="896780.35875026754"/>
    <n v="0"/>
    <n v="0"/>
    <n v="0"/>
    <n v="896780.35875026754"/>
    <n v="0"/>
    <n v="16.500758601004918"/>
    <n v="0"/>
    <n v="16.500758601004918"/>
    <n v="0"/>
    <n v="372163.84888136107"/>
    <n v="0"/>
    <n v="372163.84888136107"/>
    <n v="0"/>
    <x v="1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2123110.9588889731"/>
    <n v="0"/>
    <n v="0"/>
    <n v="0"/>
    <n v="0"/>
    <n v="0"/>
    <n v="0"/>
    <n v="0"/>
    <n v="2123110.9588889731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736256.34152477351"/>
    <n v="0"/>
    <n v="0"/>
    <n v="0"/>
    <n v="0"/>
    <n v="0"/>
    <n v="0"/>
    <n v="736256.34152477351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368128.17076238676"/>
    <n v="188096.56093269461"/>
    <n v="0"/>
    <n v="0"/>
    <n v="0"/>
    <n v="0"/>
    <n v="0"/>
    <n v="0"/>
    <n v="180031.60982969214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235602.02928792752"/>
    <n v="0"/>
    <n v="0"/>
    <n v="0"/>
    <n v="0"/>
    <n v="0"/>
    <n v="235602.02928792752"/>
    <n v="0"/>
    <n v="0"/>
    <n v="0"/>
    <n v="235602.02928792752"/>
    <n v="0"/>
    <n v="8.2460710250774625"/>
    <n v="0"/>
    <n v="8.2460710250774625"/>
    <n v="0"/>
    <n v="0"/>
    <n v="0"/>
    <n v="0"/>
    <n v="0"/>
    <x v="1"/>
  </r>
  <r>
    <x v="38"/>
    <s v="Græs og urter"/>
    <n v="1"/>
    <n v="1"/>
    <x v="1"/>
    <s v="Vestdanmark"/>
    <n v="1903494.0653747609"/>
    <n v="589344.8057454204"/>
    <n v="0"/>
    <n v="0"/>
    <n v="0"/>
    <n v="0"/>
    <n v="0"/>
    <n v="0"/>
    <n v="1314149.2596293404"/>
    <n v="1314149.2596293404"/>
    <n v="0"/>
    <n v="3.5666536566044149"/>
    <n v="3.5666536566044149"/>
    <n v="0"/>
    <n v="3.5666536566044149"/>
    <n v="262829.85192586808"/>
    <n v="262829.85192586808"/>
    <n v="0"/>
    <n v="262829.85192586808"/>
    <n v="0"/>
    <x v="0"/>
  </r>
  <r>
    <x v="39"/>
    <s v=""/>
    <n v="0"/>
    <n v="0"/>
    <x v="1"/>
    <s v="Vestdanmark"/>
    <n v="141637.01837439084"/>
    <n v="0"/>
    <n v="0"/>
    <n v="0"/>
    <n v="0"/>
    <n v="0"/>
    <n v="0"/>
    <n v="0"/>
    <n v="141637.01837439084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90522.550539010685"/>
    <n v="27615.731046643767"/>
    <n v="0"/>
    <n v="0"/>
    <n v="0"/>
    <n v="0"/>
    <n v="0"/>
    <n v="0"/>
    <n v="62906.81949236692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05227.9830927276"/>
    <n v="0"/>
    <n v="0"/>
    <n v="0"/>
    <n v="1481053.1985566379"/>
    <n v="0"/>
    <n v="0"/>
    <n v="0"/>
    <n v="2424174.7845360897"/>
    <n v="2424174.7845360897"/>
    <n v="1481053.1985566379"/>
    <n v="1.2096874592313542"/>
    <n v="1.9487478158431022"/>
    <n v="0.73906035661174796"/>
    <n v="1.2096874592313542"/>
    <n v="145450.48707216539"/>
    <n v="234313.67898556366"/>
    <n v="88863.191913398274"/>
    <n v="145450.48707216539"/>
    <n v="0"/>
    <x v="0"/>
  </r>
  <r>
    <x v="42"/>
    <s v="Husdyrgødning"/>
    <n v="1"/>
    <n v="0"/>
    <x v="1"/>
    <s v="Vestdanmark"/>
    <n v="10497145.511353366"/>
    <n v="0"/>
    <n v="0"/>
    <n v="0"/>
    <n v="7872859.1335150246"/>
    <n v="2624286.3778383415"/>
    <n v="0"/>
    <n v="0"/>
    <n v="0"/>
    <n v="0"/>
    <n v="7872859.1335150246"/>
    <n v="0"/>
    <n v="3.3916277147182732"/>
    <n v="3.3916277147182732"/>
    <n v="0"/>
    <n v="0"/>
    <n v="393642.95667575125"/>
    <n v="393642.95667575125"/>
    <n v="0"/>
    <n v="0"/>
    <x v="1"/>
  </r>
  <r>
    <x v="43"/>
    <s v=""/>
    <n v="0"/>
    <n v="1"/>
    <x v="1"/>
    <s v="Vestdanmark"/>
    <n v="951875.76678713446"/>
    <n v="0"/>
    <n v="0"/>
    <n v="121875.54404868034"/>
    <n v="0"/>
    <n v="0"/>
    <n v="0"/>
    <n v="0"/>
    <n v="830000.22273845412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25869.1010711943"/>
    <n v="0"/>
    <n v="0"/>
    <n v="0"/>
    <n v="0"/>
    <n v="0"/>
    <n v="2225869.1010711943"/>
    <n v="0"/>
    <n v="0"/>
    <n v="0"/>
    <n v="2225869.1010711943"/>
    <n v="0"/>
    <n v="32.260787180482176"/>
    <n v="0"/>
    <n v="32.260787180482176"/>
    <n v="0"/>
    <n v="1100877.7595714615"/>
    <n v="0"/>
    <n v="1100877.7595714615"/>
    <n v="0"/>
    <x v="1"/>
  </r>
  <r>
    <x v="47"/>
    <s v=""/>
    <n v="0"/>
    <n v="0"/>
    <x v="1"/>
    <s v="Vestdanmark"/>
    <n v="613377.28282504401"/>
    <n v="0"/>
    <n v="0"/>
    <n v="0"/>
    <n v="0"/>
    <n v="0"/>
    <n v="0"/>
    <n v="613377.28282504401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  <n v="1"/>
    <x v="1"/>
  </r>
  <r>
    <x v="1"/>
    <s v=""/>
    <n v="0"/>
    <n v="1"/>
    <x v="2"/>
    <s v="Vestdanmark"/>
    <n v="983865.71975473268"/>
    <n v="112073.72164637063"/>
    <n v="0"/>
    <n v="0"/>
    <n v="0"/>
    <n v="0"/>
    <n v="0"/>
    <n v="0"/>
    <n v="871791.99810836208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103142787.98027463"/>
    <n v="0"/>
    <n v="0"/>
    <n v="0"/>
    <n v="0"/>
    <n v="0"/>
    <n v="103142787.98027463"/>
    <n v="0"/>
    <n v="0"/>
    <n v="0"/>
    <n v="103142787.98027463"/>
    <n v="0"/>
    <n v="0"/>
    <n v="0"/>
    <n v="0"/>
    <n v="0"/>
    <n v="0"/>
    <n v="0"/>
    <n v="0"/>
    <n v="0"/>
    <x v="1"/>
  </r>
  <r>
    <x v="4"/>
    <s v=""/>
    <n v="0"/>
    <n v="0"/>
    <x v="2"/>
    <s v="Vestdanmark"/>
    <n v="0"/>
    <n v="0"/>
    <n v="0"/>
    <n v="0"/>
    <n v="0"/>
    <e v="#DIV/0!"/>
    <n v="0"/>
    <n v="0"/>
    <e v="#DIV/0!"/>
    <n v="0"/>
    <n v="0"/>
    <n v="0"/>
    <n v="0"/>
    <n v="0"/>
    <n v="0"/>
    <n v="0"/>
    <n v="0"/>
    <n v="0"/>
    <n v="0"/>
    <e v="#DIV/0!"/>
    <x v="2"/>
  </r>
  <r>
    <x v="5"/>
    <s v="Bionedbrydeligt affald"/>
    <n v="1"/>
    <n v="0"/>
    <x v="2"/>
    <s v="Vestdanmark"/>
    <n v="2960575.4754863908"/>
    <n v="0"/>
    <n v="0"/>
    <n v="0"/>
    <n v="2664517.9279377516"/>
    <n v="0"/>
    <n v="0"/>
    <n v="0"/>
    <n v="296057.54754863912"/>
    <n v="296057.54754863912"/>
    <n v="2664517.9279377516"/>
    <n v="0.16816840728229082"/>
    <n v="1.6816840728229081"/>
    <n v="1.5135156655406172"/>
    <n v="0.16816840728229088"/>
    <n v="12660.42364543332"/>
    <n v="126604.23645433319"/>
    <n v="113943.81280889986"/>
    <n v="12660.42364543333"/>
    <n v="0"/>
    <x v="0"/>
  </r>
  <r>
    <x v="6"/>
    <s v="Husdyrgødning"/>
    <n v="1"/>
    <n v="0"/>
    <x v="2"/>
    <s v="Vestdanmark"/>
    <n v="575834.83314211352"/>
    <n v="0"/>
    <n v="0"/>
    <n v="0"/>
    <n v="518251.34982790216"/>
    <n v="21799.461540380005"/>
    <n v="0"/>
    <n v="0"/>
    <n v="35784.021773831337"/>
    <n v="35784.021773831337"/>
    <n v="518251.34982790216"/>
    <n v="7.7078782900832699E-2"/>
    <n v="1.1933921904301341"/>
    <n v="1.1163134075293013"/>
    <n v="7.707878290083281E-2"/>
    <n v="10735.206532149401"/>
    <n v="166210.61148052005"/>
    <n v="155475.40494837065"/>
    <n v="10735.206532149401"/>
    <n v="0"/>
    <x v="0"/>
  </r>
  <r>
    <x v="7"/>
    <s v=""/>
    <n v="0"/>
    <n v="0"/>
    <x v="2"/>
    <s v="Vestdanmark"/>
    <n v="2085246.2474831352"/>
    <n v="2083858.9217546936"/>
    <n v="0"/>
    <n v="0"/>
    <n v="0"/>
    <n v="0"/>
    <n v="0"/>
    <n v="0"/>
    <n v="1387.3257284415886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  <n v="0"/>
    <x v="1"/>
  </r>
  <r>
    <x v="9"/>
    <s v="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  <n v="1"/>
    <x v="1"/>
  </r>
  <r>
    <x v="10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1"/>
    <s v=""/>
    <n v="0"/>
    <n v="1"/>
    <x v="2"/>
    <s v="Vestdanmark"/>
    <n v="1207470.6320248828"/>
    <n v="0"/>
    <n v="0"/>
    <n v="267978.92035102146"/>
    <n v="0"/>
    <n v="0"/>
    <n v="0"/>
    <n v="0"/>
    <n v="939491.71167386137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Vestdanmark"/>
    <n v="26114077.403632663"/>
    <n v="2097784.2500767186"/>
    <n v="0"/>
    <n v="0"/>
    <n v="0"/>
    <n v="0"/>
    <n v="0"/>
    <n v="6058655.6146041919"/>
    <n v="17957637.538951755"/>
    <n v="17957637.538951755"/>
    <n v="0"/>
    <n v="33.03980836697886"/>
    <n v="33.03980836697886"/>
    <n v="0"/>
    <n v="33.03980836697886"/>
    <n v="5028138.5109064914"/>
    <n v="5028138.5109064914"/>
    <n v="0"/>
    <n v="5028138.5109064914"/>
    <n v="0"/>
    <x v="0"/>
  </r>
  <r>
    <x v="14"/>
    <s v=""/>
    <n v="0"/>
    <n v="0"/>
    <x v="2"/>
    <s v="Vestdanmark"/>
    <n v="1012833.8916346655"/>
    <n v="1012833.89163466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1519931.6771751184"/>
    <n v="0"/>
    <n v="0"/>
    <n v="280672.65868343826"/>
    <n v="0"/>
    <n v="0"/>
    <n v="0"/>
    <n v="0"/>
    <n v="1239259.01849168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775980.95642974949"/>
    <n v="81557.737283545939"/>
    <n v="70290.546378545216"/>
    <n v="0"/>
    <n v="0"/>
    <n v="0"/>
    <n v="624132.67276765837"/>
    <n v="0"/>
    <n v="0"/>
    <n v="0"/>
    <n v="624132.67276765837"/>
    <n v="0"/>
    <n v="6.4509144356528374"/>
    <n v="0"/>
    <n v="6.4509144356528374"/>
    <n v="0"/>
    <n v="530512.77185250958"/>
    <n v="0"/>
    <n v="530512.77185250958"/>
    <n v="0"/>
    <x v="1"/>
  </r>
  <r>
    <x v="17"/>
    <s v="Bionedbrydeligt affald"/>
    <n v="1"/>
    <n v="0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n v="0"/>
    <x v="1"/>
  </r>
  <r>
    <x v="18"/>
    <s v=""/>
    <n v="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217306.9698136746"/>
    <n v="0"/>
    <n v="0"/>
    <n v="0"/>
    <n v="0"/>
    <n v="0"/>
    <n v="0"/>
    <n v="0"/>
    <n v="217306.9698136746"/>
    <n v="217306.9698136746"/>
    <n v="0"/>
    <n v="0.94161935010872788"/>
    <n v="0.94161935010872788"/>
    <n v="0"/>
    <n v="0.94161935010872788"/>
    <n v="91268.927321743322"/>
    <n v="91268.927321743322"/>
    <n v="0"/>
    <n v="91268.927321743322"/>
    <n v="0"/>
    <x v="0"/>
  </r>
  <r>
    <x v="20"/>
    <s v=""/>
    <n v="0"/>
    <n v="0"/>
    <x v="2"/>
    <s v="Vestdanmark"/>
    <n v="386762.96576702269"/>
    <n v="0"/>
    <n v="0"/>
    <n v="0"/>
    <n v="0"/>
    <n v="0"/>
    <n v="0"/>
    <n v="0"/>
    <n v="386762.96576702269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948178.75571234117"/>
    <n v="0"/>
    <n v="0"/>
    <n v="128347.79869443661"/>
    <n v="0"/>
    <n v="0"/>
    <n v="0"/>
    <n v="0"/>
    <n v="819830.95701790461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420045.64366621693"/>
    <n v="0"/>
    <n v="0"/>
    <n v="307470.55071854044"/>
    <n v="0"/>
    <n v="0"/>
    <n v="0"/>
    <n v="0"/>
    <n v="112575.09294767649"/>
    <n v="0"/>
    <n v="0"/>
    <n v="0"/>
    <n v="0"/>
    <n v="0"/>
    <n v="0"/>
    <n v="0"/>
    <n v="0"/>
    <n v="0"/>
    <n v="0"/>
    <n v="1"/>
    <x v="1"/>
  </r>
  <r>
    <x v="23"/>
    <s v=""/>
    <n v="0"/>
    <n v="0"/>
    <x v="2"/>
    <s v="Vestdanmark"/>
    <n v="0"/>
    <n v="0"/>
    <n v="0"/>
    <n v="0"/>
    <n v="0"/>
    <e v="#DIV/0!"/>
    <n v="0"/>
    <n v="0"/>
    <e v="#DIV/0!"/>
    <n v="0"/>
    <n v="0"/>
    <n v="0"/>
    <n v="0"/>
    <n v="0"/>
    <n v="0"/>
    <n v="0"/>
    <n v="0"/>
    <n v="0"/>
    <n v="0"/>
    <e v="#DIV/0!"/>
    <x v="2"/>
  </r>
  <r>
    <x v="24"/>
    <s v="Husdyrgødning"/>
    <n v="1"/>
    <n v="0"/>
    <x v="2"/>
    <s v="Vestdanmark"/>
    <n v="687448.22418311588"/>
    <n v="0"/>
    <n v="0"/>
    <n v="0"/>
    <n v="618703.40176480426"/>
    <n v="68744.822418311567"/>
    <n v="0"/>
    <n v="0"/>
    <n v="0"/>
    <n v="0"/>
    <n v="618703.40176480426"/>
    <n v="0"/>
    <n v="0.3131814749393263"/>
    <n v="0.3131814749393263"/>
    <n v="0"/>
    <n v="0"/>
    <n v="47021.458534125122"/>
    <n v="47021.458534125122"/>
    <n v="0"/>
    <n v="0"/>
    <x v="1"/>
  </r>
  <r>
    <x v="25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Vestdanmark"/>
    <n v="0"/>
    <n v="0"/>
    <n v="0"/>
    <n v="0"/>
    <e v="#DIV/0!"/>
    <n v="0"/>
    <n v="0"/>
    <n v="0"/>
    <e v="#DIV/0!"/>
    <e v="#DIV/0!"/>
    <e v="#DIV/0!"/>
    <e v="#DIV/0!"/>
    <e v="#DIV/0!"/>
    <e v="#DIV/0!"/>
    <e v="#DIV/0!"/>
    <e v="#DIV/0!"/>
    <e v="#DIV/0!"/>
    <e v="#DIV/0!"/>
    <e v="#DIV/0!"/>
    <e v="#DIV/0!"/>
    <x v="2"/>
  </r>
  <r>
    <x v="27"/>
    <s v=""/>
    <n v="0"/>
    <n v="1"/>
    <x v="2"/>
    <s v="Vestdanmark"/>
    <n v="0"/>
    <n v="0"/>
    <n v="0"/>
    <n v="490824.54885344987"/>
    <n v="0"/>
    <n v="0"/>
    <n v="0"/>
    <n v="0"/>
    <n v="-490824.54885344987"/>
    <n v="0"/>
    <n v="0"/>
    <n v="0"/>
    <n v="0"/>
    <n v="0"/>
    <n v="0"/>
    <n v="0"/>
    <n v="0"/>
    <n v="0"/>
    <n v="0"/>
    <n v="1"/>
    <x v="1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3915.1017916004403"/>
    <n v="0"/>
    <n v="0"/>
    <n v="62368.567673274578"/>
    <n v="0"/>
    <n v="0"/>
    <n v="0"/>
    <n v="0"/>
    <n v="-58453.465881674136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1"/>
    <s v="Vedmasse"/>
    <n v="1"/>
    <n v="0"/>
    <x v="2"/>
    <s v="Vestdanmark"/>
    <n v="1315903.5397993135"/>
    <n v="0"/>
    <n v="0"/>
    <n v="0"/>
    <n v="0"/>
    <n v="0"/>
    <n v="1315903.5397993135"/>
    <n v="0"/>
    <n v="0"/>
    <n v="0"/>
    <n v="1315903.5397993135"/>
    <n v="0"/>
    <n v="24.212625132307366"/>
    <n v="0"/>
    <n v="24.212625132307366"/>
    <n v="0"/>
    <n v="546099.96901671519"/>
    <n v="0"/>
    <n v="546099.96901671519"/>
    <n v="0"/>
    <x v="1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5"/>
    <s v=""/>
    <n v="0"/>
    <n v="0"/>
    <x v="2"/>
    <s v="Vestdanmark"/>
    <n v="649292.34846099082"/>
    <n v="0"/>
    <n v="0"/>
    <n v="0"/>
    <n v="0"/>
    <n v="0"/>
    <n v="0"/>
    <n v="649292.3484609908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324646.17423049541"/>
    <n v="38751.234035816837"/>
    <n v="0"/>
    <n v="0"/>
    <n v="0"/>
    <n v="0"/>
    <n v="0"/>
    <n v="0"/>
    <n v="285894.94019467855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207773.55150751706"/>
    <n v="0"/>
    <n v="0"/>
    <n v="0"/>
    <n v="0"/>
    <n v="0"/>
    <n v="207773.55150751706"/>
    <n v="0"/>
    <n v="0"/>
    <n v="0"/>
    <n v="207773.55150751706"/>
    <n v="0"/>
    <n v="7.2720743027630963"/>
    <n v="0"/>
    <n v="7.2720743027630963"/>
    <n v="0"/>
    <n v="0"/>
    <n v="0"/>
    <n v="0"/>
    <n v="0"/>
    <x v="1"/>
  </r>
  <r>
    <x v="38"/>
    <s v="Græs og urter"/>
    <n v="1"/>
    <n v="1"/>
    <x v="2"/>
    <s v="Vestdanmark"/>
    <n v="1115629.1792631589"/>
    <n v="88740.110439454962"/>
    <n v="0"/>
    <n v="0"/>
    <n v="0"/>
    <n v="0"/>
    <n v="0"/>
    <n v="0"/>
    <n v="1026889.068823704"/>
    <n v="1026889.068823704"/>
    <n v="0"/>
    <n v="2.7870180083502856"/>
    <n v="2.7870180083502856"/>
    <n v="0"/>
    <n v="2.7870180083502856"/>
    <n v="205377.81376474083"/>
    <n v="205377.81376474083"/>
    <n v="0"/>
    <n v="205377.81376474083"/>
    <n v="0"/>
    <x v="0"/>
  </r>
  <r>
    <x v="39"/>
    <s v=""/>
    <n v="0"/>
    <n v="0"/>
    <x v="2"/>
    <s v="Vestdanmark"/>
    <n v="6885.6435501498472"/>
    <n v="0"/>
    <n v="0"/>
    <n v="0"/>
    <n v="0"/>
    <n v="0"/>
    <n v="0"/>
    <n v="0"/>
    <n v="6885.6435501498472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4618.1462568237339"/>
    <n v="4158.2160376315423"/>
    <n v="0"/>
    <n v="0"/>
    <n v="0"/>
    <n v="0"/>
    <n v="0"/>
    <n v="0"/>
    <n v="459.93021919219154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002333.5486616795"/>
    <n v="0"/>
    <n v="0"/>
    <n v="0"/>
    <n v="1517880.3720548805"/>
    <n v="0"/>
    <n v="0"/>
    <n v="0"/>
    <n v="2484453.176606799"/>
    <n v="2484453.176606799"/>
    <n v="1517880.3720548805"/>
    <n v="1.2397669796585589"/>
    <n v="1.9972044641176647"/>
    <n v="0.75743748445910597"/>
    <n v="1.2397669796585586"/>
    <n v="149067.19059640795"/>
    <n v="240140.01291970076"/>
    <n v="91072.822323292829"/>
    <n v="149067.19059640792"/>
    <n v="0"/>
    <x v="0"/>
  </r>
  <r>
    <x v="42"/>
    <s v="Husdyrgødning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Vestdanmark"/>
    <n v="48971.913359549246"/>
    <n v="0"/>
    <n v="0"/>
    <n v="126627.09194270898"/>
    <n v="0"/>
    <n v="0"/>
    <n v="0"/>
    <n v="0"/>
    <n v="-77655.178583159737"/>
    <n v="0"/>
    <n v="0"/>
    <n v="0"/>
    <n v="0"/>
    <n v="0"/>
    <n v="0"/>
    <n v="0"/>
    <n v="0"/>
    <n v="0"/>
    <n v="0"/>
    <n v="1"/>
    <x v="1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312878.2492368715"/>
    <n v="0"/>
    <n v="0"/>
    <n v="0"/>
    <n v="0"/>
    <n v="0"/>
    <n v="2312878.2492368715"/>
    <n v="0"/>
    <n v="0"/>
    <n v="0"/>
    <n v="2312878.2492368715"/>
    <n v="0"/>
    <n v="33.521860264419189"/>
    <n v="0"/>
    <n v="33.521860264419189"/>
    <n v="0"/>
    <n v="1143911.034101736"/>
    <n v="0"/>
    <n v="1143911.034101736"/>
    <n v="0"/>
    <x v="1"/>
  </r>
  <r>
    <x v="47"/>
    <s v=""/>
    <n v="0"/>
    <n v="0"/>
    <x v="2"/>
    <s v="Vestdanmark"/>
    <n v="676235.95848651009"/>
    <n v="0"/>
    <n v="0"/>
    <n v="0"/>
    <n v="0"/>
    <n v="0"/>
    <n v="0"/>
    <n v="676235.95848651009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4322.21600404952"/>
    <n v="0"/>
    <n v="0"/>
    <n v="28209.340124628539"/>
    <n v="0"/>
    <n v="0"/>
    <n v="0"/>
    <n v="0"/>
    <n v="-13887.124120579019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24496.54397532428"/>
    <n v="35580.456032910348"/>
    <n v="0"/>
    <n v="0"/>
    <n v="0"/>
    <n v="0"/>
    <n v="0"/>
    <n v="0"/>
    <n v="188916.08794241393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59355543.043848336"/>
    <n v="0"/>
    <n v="0"/>
    <n v="0"/>
    <n v="0"/>
    <n v="0"/>
    <n v="59355543.043848336"/>
    <n v="0"/>
    <n v="0"/>
    <n v="0"/>
    <n v="59355543.043848336"/>
    <n v="0"/>
    <n v="0"/>
    <n v="0"/>
    <n v="0"/>
    <n v="0"/>
    <n v="0"/>
    <n v="0"/>
    <n v="0"/>
    <n v="0"/>
    <x v="1"/>
  </r>
  <r>
    <x v="4"/>
    <s v=""/>
    <n v="0"/>
    <n v="0"/>
    <x v="1"/>
    <s v="Østdanmark"/>
    <n v="3437586.4612868829"/>
    <n v="0"/>
    <n v="0"/>
    <n v="0"/>
    <n v="0"/>
    <n v="2955271.7916417704"/>
    <n v="0"/>
    <n v="0"/>
    <n v="482314.66964511247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846465.45891391754"/>
    <n v="0"/>
    <n v="0"/>
    <n v="0"/>
    <n v="634849.09418543812"/>
    <n v="0"/>
    <n v="0"/>
    <n v="0"/>
    <n v="211616.36472847941"/>
    <n v="211616.36472847941"/>
    <n v="634849.09418543812"/>
    <n v="0.12020361347285069"/>
    <n v="0.4808144538914027"/>
    <n v="0.36061084041855201"/>
    <n v="0.12020361347285069"/>
    <n v="9049.4326185990121"/>
    <n v="36197.730474396041"/>
    <n v="27148.297855797027"/>
    <n v="9049.4326185990139"/>
    <n v="0"/>
    <x v="0"/>
  </r>
  <r>
    <x v="6"/>
    <s v="Husdyrgødning"/>
    <n v="1"/>
    <n v="0"/>
    <x v="1"/>
    <s v="Østdanmark"/>
    <n v="237805.24041385058"/>
    <n v="0"/>
    <n v="0"/>
    <n v="0"/>
    <n v="178353.93031038792"/>
    <n v="22506.567396310857"/>
    <n v="0"/>
    <n v="0"/>
    <n v="36944.742707151803"/>
    <n v="36944.742707151803"/>
    <n v="178353.93031038792"/>
    <n v="7.9578975791204987E-2"/>
    <n v="0.46375334167978055"/>
    <n v="0.38417436588857556"/>
    <n v="7.9578975791204987E-2"/>
    <n v="11083.42281214554"/>
    <n v="64589.601905261916"/>
    <n v="53506.179093116378"/>
    <n v="11083.422812145538"/>
    <n v="0"/>
    <x v="0"/>
  </r>
  <r>
    <x v="7"/>
    <s v=""/>
    <n v="0"/>
    <n v="0"/>
    <x v="1"/>
    <s v="Østdanmark"/>
    <n v="596197.91369593481"/>
    <n v="596035.73507669987"/>
    <n v="0"/>
    <n v="0"/>
    <n v="0"/>
    <n v="0"/>
    <n v="0"/>
    <n v="0"/>
    <n v="162.17861923493911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541.37976495307191"/>
    <n v="0"/>
    <n v="0"/>
    <n v="0"/>
    <n v="406.03482371480391"/>
    <n v="135.34494123826798"/>
    <n v="0"/>
    <n v="0"/>
    <n v="0"/>
    <n v="0"/>
    <n v="406.03482371480391"/>
    <n v="0"/>
    <n v="1.9095411724483514E-4"/>
    <n v="1.9095411724483514E-4"/>
    <n v="0"/>
    <n v="0"/>
    <n v="25.580193894032647"/>
    <n v="25.580193894032647"/>
    <n v="0"/>
    <n v="0"/>
    <x v="1"/>
  </r>
  <r>
    <x v="9"/>
    <s v=""/>
    <n v="0"/>
    <n v="1"/>
    <x v="1"/>
    <s v="Østdanmark"/>
    <n v="12283.299585125167"/>
    <n v="0"/>
    <n v="0"/>
    <n v="30560.118468347584"/>
    <n v="0"/>
    <n v="0"/>
    <n v="0"/>
    <n v="0"/>
    <n v="-18276.818883222419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27702.74434968803"/>
    <n v="0"/>
    <n v="0"/>
    <n v="0"/>
    <n v="0"/>
    <n v="0"/>
    <n v="0"/>
    <n v="0"/>
    <n v="227702.74434968803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230638.97041088896"/>
    <n v="0"/>
    <n v="0"/>
    <n v="223323.94265330929"/>
    <n v="0"/>
    <n v="0"/>
    <n v="0"/>
    <n v="0"/>
    <n v="7315.0277575796645"/>
    <n v="0"/>
    <n v="0"/>
    <n v="0"/>
    <n v="0"/>
    <n v="0"/>
    <n v="0"/>
    <n v="0"/>
    <n v="0"/>
    <n v="0"/>
    <n v="0"/>
    <n v="0"/>
    <x v="0"/>
  </r>
  <r>
    <x v="12"/>
    <s v="Glycerin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Østdanmark"/>
    <n v="5594360.665097801"/>
    <n v="1270913.6517041866"/>
    <n v="0"/>
    <n v="0"/>
    <n v="0"/>
    <n v="0"/>
    <n v="0"/>
    <n v="1732245.2164050208"/>
    <n v="2591201.7969885934"/>
    <n v="0"/>
    <n v="0"/>
    <n v="0"/>
    <n v="0"/>
    <n v="0"/>
    <n v="0"/>
    <n v="0"/>
    <n v="0"/>
    <n v="0"/>
    <n v="0"/>
    <n v="1"/>
    <x v="1"/>
  </r>
  <r>
    <x v="14"/>
    <s v=""/>
    <n v="0"/>
    <n v="0"/>
    <x v="1"/>
    <s v="Østdanmark"/>
    <n v="289581.84379516833"/>
    <n v="289581.843795168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324551.69572937489"/>
    <n v="0"/>
    <n v="0"/>
    <n v="233902.44520004498"/>
    <n v="0"/>
    <n v="0"/>
    <n v="0"/>
    <n v="0"/>
    <n v="90649.250529329904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687307.8810744558"/>
    <n v="65715.418897709809"/>
    <n v="70710.376470197152"/>
    <n v="0"/>
    <n v="0"/>
    <n v="0"/>
    <n v="550882.085706549"/>
    <n v="0"/>
    <n v="0"/>
    <n v="0"/>
    <n v="550882.085706549"/>
    <n v="0"/>
    <n v="5.6938105535613097"/>
    <n v="0"/>
    <n v="5.6938105535613097"/>
    <n v="0"/>
    <n v="468249.77285056666"/>
    <n v="0"/>
    <n v="468249.77285056666"/>
    <n v="0"/>
    <x v="1"/>
  </r>
  <r>
    <x v="17"/>
    <s v="Bionedbrydeligt affald"/>
    <n v="1"/>
    <n v="0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n v="0"/>
    <x v="1"/>
  </r>
  <r>
    <x v="18"/>
    <s v=""/>
    <n v="0"/>
    <n v="1"/>
    <x v="1"/>
    <s v="Østdanmark"/>
    <n v="0"/>
    <n v="264797.29963641899"/>
    <n v="0"/>
    <n v="0"/>
    <n v="0"/>
    <n v="0"/>
    <n v="0"/>
    <n v="0"/>
    <n v="-264797.29963641899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191070.85109932383"/>
    <n v="0"/>
    <n v="0"/>
    <n v="0"/>
    <n v="0"/>
    <n v="0"/>
    <n v="0"/>
    <n v="0"/>
    <n v="191070.85109932383"/>
    <n v="191070.85109932383"/>
    <n v="0"/>
    <n v="0.82793483702401316"/>
    <n v="0.82793483702401316"/>
    <n v="0"/>
    <n v="0.82793483702401316"/>
    <n v="80249.757461715999"/>
    <n v="80249.757461715999"/>
    <n v="0"/>
    <n v="80249.757461715999"/>
    <n v="0"/>
    <x v="0"/>
  </r>
  <r>
    <x v="20"/>
    <s v=""/>
    <n v="0"/>
    <n v="0"/>
    <x v="1"/>
    <s v="Østdanmark"/>
    <n v="205293.78890297885"/>
    <n v="0"/>
    <n v="0"/>
    <n v="0"/>
    <n v="0"/>
    <n v="0"/>
    <n v="0"/>
    <n v="0"/>
    <n v="205293.78890297885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99382.99632277054"/>
    <n v="0"/>
    <n v="0"/>
    <n v="106960.41463921656"/>
    <n v="0"/>
    <n v="0"/>
    <n v="0"/>
    <n v="0"/>
    <n v="392422.5816835539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416204.9102783564"/>
    <n v="322423.8733791869"/>
    <n v="0"/>
    <n v="256234.83946537593"/>
    <n v="0"/>
    <n v="0"/>
    <n v="0"/>
    <n v="0"/>
    <n v="837546.19743379357"/>
    <n v="837546.19743379357"/>
    <n v="0"/>
    <n v="2.8684784697431027"/>
    <n v="2.8684784697431027"/>
    <n v="0"/>
    <n v="2.8684784697431027"/>
    <n v="259639.321204476"/>
    <n v="259639.321204476"/>
    <n v="0"/>
    <n v="259639.321204476"/>
    <n v="0"/>
    <x v="0"/>
  </r>
  <r>
    <x v="23"/>
    <s v=""/>
    <n v="0"/>
    <n v="0"/>
    <x v="1"/>
    <s v="Østdanmark"/>
    <n v="0"/>
    <n v="0"/>
    <n v="0"/>
    <n v="0"/>
    <n v="0"/>
    <n v="469385.8379067207"/>
    <n v="0"/>
    <n v="0"/>
    <n v="-469385.8379067207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691481.64120288345"/>
    <n v="0"/>
    <n v="0"/>
    <n v="0"/>
    <n v="518611.23090216261"/>
    <n v="172870.41030072086"/>
    <n v="0"/>
    <n v="0"/>
    <n v="0"/>
    <n v="0"/>
    <n v="518611.23090216261"/>
    <n v="0"/>
    <n v="0.26251581897036574"/>
    <n v="0.26251581897036574"/>
    <n v="0"/>
    <n v="0"/>
    <n v="39414.453548564357"/>
    <n v="39414.453548564357"/>
    <n v="0"/>
    <n v="0"/>
    <x v="1"/>
  </r>
  <r>
    <x v="25"/>
    <s v=""/>
    <n v="0"/>
    <n v="0"/>
    <x v="1"/>
    <s v="Østdanmark"/>
    <n v="50222.397196773512"/>
    <n v="83123.75342946584"/>
    <n v="0"/>
    <n v="0"/>
    <n v="0"/>
    <n v="0"/>
    <n v="0"/>
    <n v="0"/>
    <n v="-32901.356232692327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1"/>
    <s v="Østdanmark"/>
    <n v="1156433.9505254913"/>
    <n v="310240.24994508084"/>
    <n v="0"/>
    <n v="0"/>
    <n v="0"/>
    <n v="0"/>
    <n v="0"/>
    <n v="0"/>
    <n v="846193.70058041043"/>
    <n v="846193.70058041043"/>
    <n v="0"/>
    <n v="3.0378353850836737"/>
    <n v="3.0378353850836737"/>
    <n v="0"/>
    <n v="3.0378353850836737"/>
    <n v="253858.11017412311"/>
    <n v="253858.11017412311"/>
    <n v="0"/>
    <n v="253858.11017412311"/>
    <n v="0"/>
    <x v="0"/>
  </r>
  <r>
    <x v="27"/>
    <s v=""/>
    <n v="0"/>
    <n v="1"/>
    <x v="1"/>
    <s v="Østdanmark"/>
    <n v="96903.161700864599"/>
    <n v="0"/>
    <n v="0"/>
    <n v="409035.43180711387"/>
    <n v="0"/>
    <n v="0"/>
    <n v="0"/>
    <n v="0"/>
    <n v="-312132.27010624926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6251.0678007025454"/>
    <n v="0"/>
    <n v="0"/>
    <n v="51975.70917962808"/>
    <n v="0"/>
    <n v="0"/>
    <n v="0"/>
    <n v="0"/>
    <n v="-45724.641378925531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Østdanmark"/>
    <n v="294500.89085380302"/>
    <n v="0"/>
    <n v="0"/>
    <n v="0"/>
    <n v="0"/>
    <n v="0"/>
    <n v="0"/>
    <n v="0"/>
    <n v="294500.89085380302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272404.80098126631"/>
    <n v="0"/>
    <n v="0"/>
    <n v="0"/>
    <n v="0"/>
    <n v="0"/>
    <n v="272404.80098126631"/>
    <n v="0"/>
    <n v="0"/>
    <n v="0"/>
    <n v="272404.80098126631"/>
    <n v="0"/>
    <n v="5.0122483380552989"/>
    <n v="0"/>
    <n v="5.0122483380552989"/>
    <n v="0"/>
    <n v="113047.99240722552"/>
    <n v="0"/>
    <n v="113047.99240722552"/>
    <n v="0"/>
    <x v="1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150898.00912578267"/>
    <n v="0"/>
    <n v="0"/>
    <n v="0"/>
    <n v="0"/>
    <n v="0"/>
    <n v="0"/>
    <n v="0"/>
    <n v="150898.00912578267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25771.64512076203"/>
    <n v="0"/>
    <n v="0"/>
    <n v="0"/>
    <n v="0"/>
    <n v="0"/>
    <n v="0"/>
    <n v="225771.64512076203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112885.82256038101"/>
    <n v="22820.937006537704"/>
    <n v="0"/>
    <n v="0"/>
    <n v="0"/>
    <n v="0"/>
    <n v="0"/>
    <n v="0"/>
    <n v="90064.885553843313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72246.926438643844"/>
    <n v="0"/>
    <n v="0"/>
    <n v="0"/>
    <n v="0"/>
    <n v="0"/>
    <n v="72246.926438643844"/>
    <n v="0"/>
    <n v="0"/>
    <n v="0"/>
    <n v="72246.926438643844"/>
    <n v="0"/>
    <n v="2.5286424253525341"/>
    <n v="0"/>
    <n v="2.5286424253525341"/>
    <n v="0"/>
    <n v="0"/>
    <n v="0"/>
    <n v="0"/>
    <n v="0"/>
    <x v="1"/>
  </r>
  <r>
    <x v="38"/>
    <s v="Græs og urter"/>
    <n v="1"/>
    <n v="1"/>
    <x v="1"/>
    <s v="Østdanmark"/>
    <n v="594657.92108707852"/>
    <n v="71502.640028910202"/>
    <n v="0"/>
    <n v="0"/>
    <n v="0"/>
    <n v="0"/>
    <n v="0"/>
    <n v="0"/>
    <n v="523155.28105816833"/>
    <n v="523155.28105816833"/>
    <n v="0"/>
    <n v="1.4198643590031113"/>
    <n v="1.4198643590031113"/>
    <n v="0"/>
    <n v="1.4198643590031113"/>
    <n v="104631.05621163367"/>
    <n v="104631.05621163367"/>
    <n v="0"/>
    <n v="104631.05621163367"/>
    <n v="0"/>
    <x v="0"/>
  </r>
  <r>
    <x v="39"/>
    <s v=""/>
    <n v="0"/>
    <n v="0"/>
    <x v="1"/>
    <s v="Østdanmark"/>
    <n v="16250.349472544192"/>
    <n v="0"/>
    <n v="0"/>
    <n v="0"/>
    <n v="0"/>
    <n v="0"/>
    <n v="0"/>
    <n v="0"/>
    <n v="16250.349472544192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2700.787430000357"/>
    <n v="3350.4964443791791"/>
    <n v="0"/>
    <n v="0"/>
    <n v="0"/>
    <n v="0"/>
    <n v="0"/>
    <n v="0"/>
    <n v="9350.290985621177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39172.5135239428"/>
    <n v="0"/>
    <n v="0"/>
    <n v="0"/>
    <n v="1266377.3160230415"/>
    <n v="0"/>
    <n v="0"/>
    <n v="0"/>
    <n v="2072795.1975009013"/>
    <n v="2072795.1975009013"/>
    <n v="1266377.3160230415"/>
    <n v="1.0343455315049248"/>
    <n v="1.6662804759735828"/>
    <n v="0.63193494446865806"/>
    <n v="1.0343455315049246"/>
    <n v="124367.71185005407"/>
    <n v="200350.35081143657"/>
    <n v="75982.638961382487"/>
    <n v="124367.71185005408"/>
    <n v="0"/>
    <x v="0"/>
  </r>
  <r>
    <x v="42"/>
    <s v="Husdyrgødning"/>
    <n v="1"/>
    <n v="0"/>
    <x v="1"/>
    <s v="Østdanmark"/>
    <n v="1521006.1015498589"/>
    <n v="0"/>
    <n v="0"/>
    <n v="0"/>
    <n v="1140754.5761623941"/>
    <n v="380251.52538746473"/>
    <n v="0"/>
    <n v="0"/>
    <n v="0"/>
    <n v="0"/>
    <n v="1140754.5761623941"/>
    <n v="0"/>
    <n v="0.49143707141075949"/>
    <n v="0.49143707141075949"/>
    <n v="0"/>
    <n v="0"/>
    <n v="57037.728808119711"/>
    <n v="57037.728808119711"/>
    <n v="0"/>
    <n v="0"/>
    <x v="1"/>
  </r>
  <r>
    <x v="43"/>
    <s v=""/>
    <n v="0"/>
    <n v="1"/>
    <x v="1"/>
    <s v="Østdanmark"/>
    <n v="137924.05255645732"/>
    <n v="0"/>
    <n v="0"/>
    <n v="105526.43984954793"/>
    <n v="0"/>
    <n v="0"/>
    <n v="0"/>
    <n v="0"/>
    <n v="32397.612706909393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8970.86702196393"/>
    <n v="0"/>
    <n v="0"/>
    <n v="0"/>
    <n v="0"/>
    <n v="0"/>
    <n v="648970.86702196393"/>
    <n v="0"/>
    <n v="0"/>
    <n v="0"/>
    <n v="648970.86702196393"/>
    <n v="0"/>
    <n v="9.4059039757787311"/>
    <n v="0"/>
    <n v="9.4059039757787311"/>
    <n v="0"/>
    <n v="320970.17464794632"/>
    <n v="0"/>
    <n v="320970.17464794632"/>
    <n v="0"/>
    <x v="1"/>
  </r>
  <r>
    <x v="47"/>
    <s v=""/>
    <n v="0"/>
    <n v="0"/>
    <x v="1"/>
    <s v="Østdanmark"/>
    <n v="178680.65524972283"/>
    <n v="0"/>
    <n v="0"/>
    <n v="0"/>
    <n v="0"/>
    <n v="0"/>
    <n v="0"/>
    <n v="178680.65524972283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  <n v="1"/>
    <x v="1"/>
  </r>
  <r>
    <x v="1"/>
    <s v=""/>
    <n v="0"/>
    <n v="1"/>
    <x v="2"/>
    <s v="Østdanmark"/>
    <n v="327276.13808680209"/>
    <n v="13576.138108301233"/>
    <n v="0"/>
    <n v="0"/>
    <n v="0"/>
    <n v="0"/>
    <n v="0"/>
    <n v="0"/>
    <n v="313699.99997850088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28558363.893184837"/>
    <n v="0"/>
    <n v="0"/>
    <n v="0"/>
    <n v="0"/>
    <n v="0"/>
    <n v="28558363.893184837"/>
    <n v="0"/>
    <n v="0"/>
    <n v="0"/>
    <n v="28558363.893184837"/>
    <n v="0"/>
    <n v="0"/>
    <n v="0"/>
    <n v="0"/>
    <n v="0"/>
    <n v="0"/>
    <n v="0"/>
    <n v="0"/>
    <n v="0"/>
    <x v="1"/>
  </r>
  <r>
    <x v="4"/>
    <s v=""/>
    <n v="0"/>
    <n v="0"/>
    <x v="2"/>
    <s v="Østdanmark"/>
    <n v="0"/>
    <n v="0"/>
    <n v="0"/>
    <n v="0"/>
    <n v="0"/>
    <e v="#DIV/0!"/>
    <n v="0"/>
    <n v="0"/>
    <e v="#DIV/0!"/>
    <n v="0"/>
    <n v="0"/>
    <n v="0"/>
    <n v="0"/>
    <n v="0"/>
    <n v="0"/>
    <n v="0"/>
    <n v="0"/>
    <n v="0"/>
    <n v="0"/>
    <e v="#DIV/0!"/>
    <x v="2"/>
  </r>
  <r>
    <x v="5"/>
    <s v="Bionedbrydeligt affald"/>
    <n v="1"/>
    <n v="0"/>
    <x v="2"/>
    <s v="Østdanmark"/>
    <n v="358631.63054471865"/>
    <n v="0"/>
    <n v="0"/>
    <n v="0"/>
    <n v="322768.46749024681"/>
    <n v="0"/>
    <n v="0"/>
    <n v="0"/>
    <n v="35863.163054471835"/>
    <n v="35863.163054471835"/>
    <n v="322768.46749024681"/>
    <n v="2.0371211816462093E-2"/>
    <n v="0.20371211816462109"/>
    <n v="0.183340906348159"/>
    <n v="2.0371211816462093E-2"/>
    <n v="1533.6303407710675"/>
    <n v="15336.303407710688"/>
    <n v="13802.67306693962"/>
    <n v="1533.6303407710675"/>
    <n v="0"/>
    <x v="0"/>
  </r>
  <r>
    <x v="6"/>
    <s v="Husdyrgødning"/>
    <n v="1"/>
    <n v="0"/>
    <x v="2"/>
    <s v="Østdanmark"/>
    <n v="81826.264655313833"/>
    <n v="0"/>
    <n v="0"/>
    <n v="0"/>
    <n v="73643.638189782447"/>
    <n v="3097.7085905225945"/>
    <n v="0"/>
    <n v="0"/>
    <n v="5084.9178750087885"/>
    <n v="5084.9178750087885"/>
    <n v="73643.638189782447"/>
    <n v="1.095291310276893E-2"/>
    <n v="0.16958130976356034"/>
    <n v="0.1586283966607914"/>
    <n v="1.0952913102768941E-2"/>
    <n v="1525.4753625026365"/>
    <n v="23618.566819437368"/>
    <n v="22093.091456934733"/>
    <n v="1525.4753625026351"/>
    <n v="0"/>
    <x v="0"/>
  </r>
  <r>
    <x v="7"/>
    <s v=""/>
    <n v="0"/>
    <n v="0"/>
    <x v="2"/>
    <s v="Østdanmark"/>
    <n v="252597.93847994076"/>
    <n v="252429.88369052325"/>
    <n v="0"/>
    <n v="0"/>
    <n v="0"/>
    <n v="0"/>
    <n v="0"/>
    <n v="0"/>
    <n v="168.05478941751062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  <n v="0"/>
    <x v="1"/>
  </r>
  <r>
    <x v="9"/>
    <s v="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  <n v="1"/>
    <x v="1"/>
  </r>
  <r>
    <x v="10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1"/>
    <s v=""/>
    <n v="0"/>
    <n v="1"/>
    <x v="2"/>
    <s v="Østdanmark"/>
    <n v="401656.76816227223"/>
    <n v="0"/>
    <n v="0"/>
    <n v="233795.01599247381"/>
    <n v="0"/>
    <n v="0"/>
    <n v="0"/>
    <n v="0"/>
    <n v="167861.75216979842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Østdanmark"/>
    <n v="8658940.9474013411"/>
    <n v="254116.73925064973"/>
    <n v="0"/>
    <n v="0"/>
    <n v="0"/>
    <n v="0"/>
    <n v="0"/>
    <n v="733919.99628634495"/>
    <n v="7670904.2118643466"/>
    <n v="7670904.2118643466"/>
    <n v="0"/>
    <n v="14.113504886803916"/>
    <n v="14.113504886803916"/>
    <n v="0"/>
    <n v="14.113504886803916"/>
    <n v="2147853.1793220174"/>
    <n v="2147853.1793220174"/>
    <n v="0"/>
    <n v="2147853.1793220174"/>
    <n v="0"/>
    <x v="0"/>
  </r>
  <r>
    <x v="14"/>
    <s v=""/>
    <n v="0"/>
    <n v="0"/>
    <x v="2"/>
    <s v="Østdanmark"/>
    <n v="122690.4272616855"/>
    <n v="122690.42726168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505594.77728899289"/>
    <n v="0"/>
    <n v="0"/>
    <n v="244869.51675001203"/>
    <n v="0"/>
    <n v="0"/>
    <n v="0"/>
    <n v="0"/>
    <n v="260725.26053898086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258124.70701036416"/>
    <n v="9879.5604259102856"/>
    <n v="9665.8931514547894"/>
    <n v="0"/>
    <n v="0"/>
    <n v="0"/>
    <n v="238579.25343299913"/>
    <n v="0"/>
    <n v="0"/>
    <n v="0"/>
    <n v="238579.25343299913"/>
    <n v="0"/>
    <n v="2.4659089600187367"/>
    <n v="0"/>
    <n v="2.4659089600187367"/>
    <n v="0"/>
    <n v="202792.36541804924"/>
    <n v="0"/>
    <n v="202792.36541804924"/>
    <n v="0"/>
    <x v="1"/>
  </r>
  <r>
    <x v="17"/>
    <s v="Bionedbrydeligt affald"/>
    <n v="1"/>
    <n v="0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n v="0"/>
    <x v="1"/>
  </r>
  <r>
    <x v="18"/>
    <s v=""/>
    <n v="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168748.58777288889"/>
    <n v="0"/>
    <n v="0"/>
    <n v="0"/>
    <n v="0"/>
    <n v="0"/>
    <n v="0"/>
    <n v="0"/>
    <n v="168748.58777288889"/>
    <n v="168748.58777288889"/>
    <n v="0"/>
    <n v="0.73120956813633808"/>
    <n v="0.73120956813633808"/>
    <n v="0"/>
    <n v="0.73120956813633808"/>
    <n v="70874.406864613324"/>
    <n v="70874.406864613324"/>
    <n v="0"/>
    <n v="70874.406864613324"/>
    <n v="0"/>
    <x v="0"/>
  </r>
  <r>
    <x v="20"/>
    <s v=""/>
    <n v="0"/>
    <n v="0"/>
    <x v="2"/>
    <s v="Østdanmark"/>
    <n v="128654.0299653736"/>
    <n v="0"/>
    <n v="0"/>
    <n v="0"/>
    <n v="0"/>
    <n v="0"/>
    <n v="0"/>
    <n v="0"/>
    <n v="128654.0299653736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315405.11591647175"/>
    <n v="0"/>
    <n v="0"/>
    <n v="111975.50765955324"/>
    <n v="0"/>
    <n v="0"/>
    <n v="0"/>
    <n v="0"/>
    <n v="203429.6082569184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39725.28295175743"/>
    <n v="0"/>
    <n v="0"/>
    <n v="268249.01834925939"/>
    <n v="0"/>
    <n v="0"/>
    <n v="0"/>
    <n v="0"/>
    <n v="-128523.73539750197"/>
    <n v="0"/>
    <n v="0"/>
    <n v="0"/>
    <n v="0"/>
    <n v="0"/>
    <n v="0"/>
    <n v="0"/>
    <n v="0"/>
    <n v="0"/>
    <n v="0"/>
    <n v="1"/>
    <x v="1"/>
  </r>
  <r>
    <x v="23"/>
    <s v=""/>
    <n v="0"/>
    <n v="0"/>
    <x v="2"/>
    <s v="Østdanmark"/>
    <n v="0"/>
    <n v="0"/>
    <n v="0"/>
    <n v="0"/>
    <n v="0"/>
    <e v="#DIV/0!"/>
    <n v="0"/>
    <n v="0"/>
    <e v="#DIV/0!"/>
    <n v="0"/>
    <n v="0"/>
    <n v="0"/>
    <n v="0"/>
    <n v="0"/>
    <n v="0"/>
    <n v="0"/>
    <n v="0"/>
    <n v="0"/>
    <n v="0"/>
    <e v="#DIV/0!"/>
    <x v="2"/>
  </r>
  <r>
    <x v="24"/>
    <s v="Husdyrgødning"/>
    <n v="1"/>
    <n v="0"/>
    <x v="2"/>
    <s v="Østdanmark"/>
    <n v="48859.701831397157"/>
    <n v="0"/>
    <n v="0"/>
    <n v="0"/>
    <n v="43973.731648257439"/>
    <n v="4885.9701831397142"/>
    <n v="0"/>
    <n v="0"/>
    <n v="0"/>
    <n v="0"/>
    <n v="43973.731648257439"/>
    <n v="0"/>
    <n v="2.2259063223031436E-2"/>
    <n v="2.2259063223031436E-2"/>
    <n v="0"/>
    <n v="0"/>
    <n v="3342.0036052675655"/>
    <n v="3342.0036052675655"/>
    <n v="0"/>
    <n v="0"/>
    <x v="1"/>
  </r>
  <r>
    <x v="25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Østdanmark"/>
    <n v="0"/>
    <n v="0"/>
    <n v="0"/>
    <n v="0"/>
    <e v="#DIV/0!"/>
    <n v="0"/>
    <n v="0"/>
    <n v="0"/>
    <e v="#DIV/0!"/>
    <e v="#DIV/0!"/>
    <e v="#DIV/0!"/>
    <e v="#DIV/0!"/>
    <e v="#DIV/0!"/>
    <e v="#DIV/0!"/>
    <e v="#DIV/0!"/>
    <e v="#DIV/0!"/>
    <e v="#DIV/0!"/>
    <e v="#DIV/0!"/>
    <e v="#DIV/0!"/>
    <e v="#DIV/0!"/>
    <x v="2"/>
  </r>
  <r>
    <x v="27"/>
    <s v=""/>
    <n v="0"/>
    <n v="1"/>
    <x v="2"/>
    <s v="Østdanmark"/>
    <n v="0"/>
    <n v="0"/>
    <n v="0"/>
    <n v="428214.02929147833"/>
    <n v="0"/>
    <n v="0"/>
    <n v="0"/>
    <n v="0"/>
    <n v="-428214.02929147833"/>
    <n v="0"/>
    <n v="0"/>
    <n v="0"/>
    <n v="0"/>
    <n v="0"/>
    <n v="0"/>
    <n v="0"/>
    <n v="0"/>
    <n v="0"/>
    <n v="0"/>
    <n v="1"/>
    <x v="1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278.2619831544028"/>
    <n v="0"/>
    <n v="0"/>
    <n v="54412.71372203785"/>
    <n v="0"/>
    <n v="0"/>
    <n v="0"/>
    <n v="0"/>
    <n v="-54134.45173888345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1"/>
    <s v="Vedmasse"/>
    <n v="1"/>
    <n v="0"/>
    <x v="2"/>
    <s v="Østdanmark"/>
    <n v="437726.22620455944"/>
    <n v="0"/>
    <n v="0"/>
    <n v="0"/>
    <n v="0"/>
    <n v="0"/>
    <n v="437726.22620455944"/>
    <n v="0"/>
    <n v="0"/>
    <n v="0"/>
    <n v="437726.22620455944"/>
    <n v="0"/>
    <n v="8.0541625621638921"/>
    <n v="0"/>
    <n v="8.0541625621638921"/>
    <n v="0"/>
    <n v="181656.38387489217"/>
    <n v="0"/>
    <n v="181656.38387489217"/>
    <n v="0"/>
    <x v="1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5"/>
    <s v=""/>
    <n v="0"/>
    <n v="0"/>
    <x v="2"/>
    <s v="Østdanmark"/>
    <n v="215982.61635398451"/>
    <n v="0"/>
    <n v="0"/>
    <n v="0"/>
    <n v="0"/>
    <n v="0"/>
    <n v="0"/>
    <n v="215982.61635398451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107991.30817699226"/>
    <n v="4694.1611058241288"/>
    <n v="0"/>
    <n v="0"/>
    <n v="0"/>
    <n v="0"/>
    <n v="0"/>
    <n v="0"/>
    <n v="103297.14707116813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69114.43723327505"/>
    <n v="0"/>
    <n v="0"/>
    <n v="0"/>
    <n v="0"/>
    <n v="0"/>
    <n v="69114.43723327505"/>
    <n v="0"/>
    <n v="0"/>
    <n v="0"/>
    <n v="69114.43723327505"/>
    <n v="0"/>
    <n v="2.4190053031646266"/>
    <n v="0"/>
    <n v="2.4190053031646266"/>
    <n v="0"/>
    <n v="0"/>
    <n v="0"/>
    <n v="0"/>
    <n v="0"/>
    <x v="1"/>
  </r>
  <r>
    <x v="38"/>
    <s v="Græs og urter"/>
    <n v="1"/>
    <n v="1"/>
    <x v="2"/>
    <s v="Østdanmark"/>
    <n v="371106.34306601883"/>
    <n v="10749.602827265073"/>
    <n v="0"/>
    <n v="0"/>
    <n v="0"/>
    <n v="0"/>
    <n v="0"/>
    <n v="0"/>
    <n v="360356.74023875373"/>
    <n v="360356.74023875373"/>
    <n v="0"/>
    <n v="0.97802260727758716"/>
    <n v="0.97802260727758716"/>
    <n v="0"/>
    <n v="0.97802260727758716"/>
    <n v="72071.348047750755"/>
    <n v="72071.348047750755"/>
    <n v="0"/>
    <n v="72071.348047750755"/>
    <n v="0"/>
    <x v="0"/>
  </r>
  <r>
    <x v="39"/>
    <s v=""/>
    <n v="0"/>
    <n v="0"/>
    <x v="2"/>
    <s v="Østdanmark"/>
    <n v="807.52489656472994"/>
    <n v="0"/>
    <n v="0"/>
    <n v="0"/>
    <n v="0"/>
    <n v="0"/>
    <n v="0"/>
    <n v="0"/>
    <n v="807.52489656472994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650.65285036970454"/>
    <n v="503.70875867908762"/>
    <n v="0"/>
    <n v="0"/>
    <n v="0"/>
    <n v="0"/>
    <n v="0"/>
    <n v="0"/>
    <n v="146.9440916906169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491788.2152479719"/>
    <n v="0"/>
    <n v="0"/>
    <n v="0"/>
    <n v="1324256.6444942397"/>
    <n v="0"/>
    <n v="0"/>
    <n v="0"/>
    <n v="2167531.5707537322"/>
    <n v="2167531.5707537322"/>
    <n v="1324256.6444942397"/>
    <n v="1.08161992912182"/>
    <n v="1.7424372372908907"/>
    <n v="0.66081730816907069"/>
    <n v="1.08161992912182"/>
    <n v="130051.89424522393"/>
    <n v="209507.29291487832"/>
    <n v="79455.398669654372"/>
    <n v="130051.89424522394"/>
    <n v="0"/>
    <x v="0"/>
  </r>
  <r>
    <x v="42"/>
    <s v="Husdyrgødning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Østdanmark"/>
    <n v="7095.888967518189"/>
    <n v="0"/>
    <n v="0"/>
    <n v="110474.29755686472"/>
    <n v="0"/>
    <n v="0"/>
    <n v="0"/>
    <n v="0"/>
    <n v="-103378.40858934654"/>
    <n v="0"/>
    <n v="0"/>
    <n v="0"/>
    <n v="0"/>
    <n v="0"/>
    <n v="0"/>
    <n v="0"/>
    <n v="0"/>
    <n v="0"/>
    <n v="0"/>
    <n v="1"/>
    <x v="1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41761.08642399055"/>
    <n v="0"/>
    <n v="0"/>
    <n v="0"/>
    <n v="0"/>
    <n v="0"/>
    <n v="641761.08642399055"/>
    <n v="0"/>
    <n v="0"/>
    <n v="0"/>
    <n v="641761.08642399055"/>
    <n v="0"/>
    <n v="9.3014085239225324"/>
    <n v="0"/>
    <n v="9.3014085239225324"/>
    <n v="0"/>
    <n v="317404.33732719865"/>
    <n v="0"/>
    <n v="317404.33732719865"/>
    <n v="0"/>
    <x v="1"/>
  </r>
  <r>
    <x v="47"/>
    <s v=""/>
    <n v="0"/>
    <n v="0"/>
    <x v="2"/>
    <s v="Østdanmark"/>
    <n v="183690.80267816613"/>
    <n v="0"/>
    <n v="0"/>
    <n v="0"/>
    <n v="0"/>
    <n v="0"/>
    <n v="0"/>
    <n v="183690.80267816613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170645.52593143433"/>
    <n v="0"/>
    <n v="0"/>
    <n v="32579.784552999867"/>
    <n v="0"/>
    <n v="0"/>
    <n v="0"/>
    <n v="0"/>
    <n v="138065.74137843447"/>
    <n v="0"/>
    <n v="0"/>
    <n v="0"/>
    <n v="0"/>
    <n v="0"/>
    <n v="0"/>
    <n v="0"/>
    <n v="0"/>
    <n v="0"/>
    <n v="0"/>
  </r>
  <r>
    <x v="1"/>
    <x v="10"/>
    <n v="0"/>
    <n v="1"/>
    <x v="1"/>
    <s v="Vestdanmark"/>
    <n v="735809.0653745383"/>
    <n v="293264.09403304121"/>
    <n v="0"/>
    <n v="0"/>
    <n v="0"/>
    <n v="0"/>
    <n v="0"/>
    <n v="0"/>
    <n v="442544.97134149709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380552475.07633466"/>
    <n v="0"/>
    <n v="0"/>
    <n v="0"/>
    <n v="0"/>
    <n v="0"/>
    <n v="380552475.07633466"/>
    <n v="0"/>
    <n v="0"/>
    <n v="0"/>
    <n v="380552475.07633466"/>
    <n v="0"/>
    <n v="0"/>
    <n v="0"/>
    <n v="0"/>
    <n v="0"/>
    <n v="0"/>
    <n v="0"/>
    <n v="0"/>
  </r>
  <r>
    <x v="4"/>
    <x v="10"/>
    <n v="0"/>
    <n v="0"/>
    <x v="1"/>
    <s v="Vestdanmark"/>
    <n v="21343677.064342611"/>
    <n v="0"/>
    <n v="0"/>
    <n v="0"/>
    <n v="0"/>
    <n v="18349026.989869542"/>
    <n v="0"/>
    <n v="0"/>
    <n v="2994650.0744730681"/>
    <n v="0"/>
    <n v="0"/>
    <n v="0"/>
    <n v="0"/>
    <n v="0"/>
    <n v="0"/>
    <n v="0"/>
    <n v="0"/>
    <n v="0"/>
    <n v="0"/>
  </r>
  <r>
    <x v="5"/>
    <x v="1"/>
    <n v="1"/>
    <n v="0"/>
    <x v="1"/>
    <s v="Vestdanmark"/>
    <n v="6976805.6291645998"/>
    <n v="0"/>
    <n v="0"/>
    <n v="0"/>
    <n v="5232604.2218734501"/>
    <n v="0"/>
    <n v="0"/>
    <n v="0"/>
    <n v="1744201.4072911497"/>
    <n v="1744201.4072911497"/>
    <n v="5232604.2218734501"/>
    <n v="0.99075188277540405"/>
    <n v="3.9630075311016162"/>
    <n v="2.9722556483262124"/>
    <n v="0.99075188277540382"/>
    <n v="74587.960760024376"/>
    <n v="298351.84304009756"/>
    <n v="223763.88228007319"/>
    <n v="74587.960760024376"/>
  </r>
  <r>
    <x v="6"/>
    <x v="2"/>
    <n v="1"/>
    <n v="0"/>
    <x v="1"/>
    <s v="Vestdanmark"/>
    <n v="1772243.3904723523"/>
    <n v="0"/>
    <n v="0"/>
    <n v="0"/>
    <n v="1329182.5428542641"/>
    <n v="167730.1780268476"/>
    <n v="0"/>
    <n v="0"/>
    <n v="275330.66959124058"/>
    <n v="275330.66959124058"/>
    <n v="1329182.5428542641"/>
    <n v="0.59306226229953218"/>
    <n v="3.4561214596076173"/>
    <n v="2.8630591973080852"/>
    <n v="0.59306226229953207"/>
    <n v="82599.200877372175"/>
    <n v="481353.96373365138"/>
    <n v="398754.76285627921"/>
    <n v="82599.200877372175"/>
  </r>
  <r>
    <x v="7"/>
    <x v="10"/>
    <n v="0"/>
    <n v="0"/>
    <x v="1"/>
    <s v="Vestdanmark"/>
    <n v="4914030.3559545483"/>
    <n v="4912693.6343060844"/>
    <n v="0"/>
    <n v="0"/>
    <n v="0"/>
    <n v="0"/>
    <n v="0"/>
    <n v="0"/>
    <n v="1336.7216484639794"/>
    <n v="0"/>
    <n v="0"/>
    <n v="0"/>
    <n v="0"/>
    <n v="0"/>
    <n v="0"/>
    <n v="0"/>
    <n v="0"/>
    <n v="0"/>
    <n v="0"/>
  </r>
  <r>
    <x v="8"/>
    <x v="2"/>
    <n v="1"/>
    <n v="0"/>
    <x v="1"/>
    <s v="Vestdanmark"/>
    <n v="6450.400880208218"/>
    <n v="0"/>
    <n v="0"/>
    <n v="0"/>
    <n v="4837.8006601561638"/>
    <n v="1612.6002200520545"/>
    <n v="0"/>
    <n v="0"/>
    <n v="0"/>
    <n v="0"/>
    <n v="4837.8006601561638"/>
    <n v="0"/>
    <n v="2.2751692724648424E-3"/>
    <n v="2.2751692724648424E-3"/>
    <n v="0"/>
    <n v="0"/>
    <n v="304.78144158983832"/>
    <n v="304.78144158983832"/>
    <n v="0"/>
  </r>
  <r>
    <x v="9"/>
    <x v="10"/>
    <n v="0"/>
    <n v="1"/>
    <x v="1"/>
    <s v="Vestdanmark"/>
    <n v="146352.36036688712"/>
    <n v="0"/>
    <n v="0"/>
    <n v="35294.766599083188"/>
    <n v="0"/>
    <n v="0"/>
    <n v="0"/>
    <n v="0"/>
    <n v="111057.59376780393"/>
    <n v="0"/>
    <n v="0"/>
    <n v="0"/>
    <n v="0"/>
    <n v="0"/>
    <n v="0"/>
    <n v="0"/>
    <n v="0"/>
    <n v="0"/>
    <n v="0"/>
  </r>
  <r>
    <x v="10"/>
    <x v="10"/>
    <n v="0"/>
    <n v="0"/>
    <x v="1"/>
    <s v="Vestdanmark"/>
    <n v="710419.72735456063"/>
    <n v="0"/>
    <n v="0"/>
    <n v="0"/>
    <n v="0"/>
    <n v="0"/>
    <n v="0"/>
    <n v="0"/>
    <n v="710419.72735456063"/>
    <n v="0"/>
    <n v="0"/>
    <n v="0"/>
    <n v="0"/>
    <n v="0"/>
    <n v="0"/>
    <n v="0"/>
    <n v="0"/>
    <n v="0"/>
    <n v="0"/>
  </r>
  <r>
    <x v="11"/>
    <x v="10"/>
    <n v="0"/>
    <n v="1"/>
    <x v="1"/>
    <s v="Vestdanmark"/>
    <n v="750025.29549583921"/>
    <n v="0"/>
    <n v="0"/>
    <n v="257923.29437791562"/>
    <n v="0"/>
    <n v="0"/>
    <n v="0"/>
    <n v="0"/>
    <n v="492102.00111792359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Vestdanmark"/>
    <n v="20061837.661928307"/>
    <n v="10475226.633309843"/>
    <n v="0"/>
    <n v="0"/>
    <n v="0"/>
    <n v="0"/>
    <n v="0"/>
    <n v="14277650.729439929"/>
    <n v="-4691039.700821463"/>
    <n v="0"/>
    <n v="0"/>
    <n v="0"/>
    <n v="0"/>
    <n v="0"/>
    <n v="0"/>
    <n v="0"/>
    <n v="0"/>
    <n v="0"/>
    <n v="0"/>
  </r>
  <r>
    <x v="14"/>
    <x v="10"/>
    <n v="0"/>
    <n v="0"/>
    <x v="1"/>
    <s v="Vestdanmark"/>
    <n v="2386814.7443207805"/>
    <n v="2386814.7443207805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1055655.6204498296"/>
    <n v="0"/>
    <n v="0"/>
    <n v="270140.71358529059"/>
    <n v="0"/>
    <n v="0"/>
    <n v="0"/>
    <n v="0"/>
    <n v="785514.90686453902"/>
    <n v="0"/>
    <n v="0"/>
    <n v="0"/>
    <n v="0"/>
    <n v="0"/>
    <n v="0"/>
    <n v="0"/>
    <n v="0"/>
    <n v="0"/>
    <n v="0"/>
  </r>
  <r>
    <x v="16"/>
    <x v="5"/>
    <n v="1"/>
    <n v="0"/>
    <x v="1"/>
    <s v="Vestdanmark"/>
    <n v="2251816.1518870248"/>
    <n v="541644.90666485392"/>
    <n v="496834.86508299207"/>
    <n v="0"/>
    <n v="0"/>
    <n v="0"/>
    <n v="1213336.3801391786"/>
    <n v="0"/>
    <n v="0"/>
    <n v="0"/>
    <n v="1213336.3801391786"/>
    <n v="0"/>
    <n v="12.540809849344866"/>
    <n v="0"/>
    <n v="12.540809849344866"/>
    <n v="0"/>
    <n v="1031335.9231183018"/>
    <n v="0"/>
    <n v="1031335.9231183018"/>
  </r>
  <r>
    <x v="17"/>
    <x v="1"/>
    <n v="1"/>
    <n v="0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</r>
  <r>
    <x v="18"/>
    <x v="10"/>
    <n v="0"/>
    <n v="1"/>
    <x v="1"/>
    <s v="Vestdanmark"/>
    <n v="0"/>
    <n v="2182533.5827186201"/>
    <n v="0"/>
    <n v="0"/>
    <n v="0"/>
    <n v="0"/>
    <n v="0"/>
    <n v="0"/>
    <n v="-2182533.5827186201"/>
    <n v="0"/>
    <n v="0"/>
    <n v="0"/>
    <n v="0"/>
    <n v="0"/>
    <n v="0"/>
    <n v="0"/>
    <n v="0"/>
    <n v="0"/>
    <n v="0"/>
  </r>
  <r>
    <x v="19"/>
    <x v="1"/>
    <n v="1"/>
    <n v="0"/>
    <x v="1"/>
    <s v="Vestdanmark"/>
    <n v="421188.13344095187"/>
    <n v="0"/>
    <n v="0"/>
    <n v="0"/>
    <n v="0"/>
    <n v="0"/>
    <n v="0"/>
    <n v="0"/>
    <n v="421188.13344095187"/>
    <n v="421188.13344095187"/>
    <n v="0"/>
    <n v="1.8250629366569919"/>
    <n v="1.8250629366569919"/>
    <n v="0"/>
    <n v="1.8250629366569919"/>
    <n v="176899.01604519979"/>
    <n v="176899.01604519979"/>
    <n v="0"/>
    <n v="176899.01604519979"/>
  </r>
  <r>
    <x v="20"/>
    <x v="10"/>
    <n v="0"/>
    <n v="0"/>
    <x v="1"/>
    <s v="Vestdanmark"/>
    <n v="681865.66095142043"/>
    <n v="0"/>
    <n v="0"/>
    <n v="0"/>
    <n v="0"/>
    <n v="0"/>
    <n v="0"/>
    <n v="0"/>
    <n v="681865.66095142043"/>
    <n v="0"/>
    <n v="0"/>
    <n v="0"/>
    <n v="0"/>
    <n v="0"/>
    <n v="0"/>
    <n v="0"/>
    <n v="0"/>
    <n v="0"/>
    <n v="0"/>
  </r>
  <r>
    <x v="21"/>
    <x v="10"/>
    <n v="0"/>
    <n v="1"/>
    <x v="1"/>
    <s v="Vestdanmark"/>
    <n v="1695915.6587194109"/>
    <n v="0"/>
    <n v="0"/>
    <n v="123531.68309679118"/>
    <n v="0"/>
    <n v="0"/>
    <n v="0"/>
    <n v="0"/>
    <n v="1572383.9756226197"/>
    <n v="0"/>
    <n v="0"/>
    <n v="0"/>
    <n v="0"/>
    <n v="0"/>
    <n v="0"/>
    <n v="0"/>
    <n v="0"/>
    <n v="0"/>
    <n v="0"/>
  </r>
  <r>
    <x v="22"/>
    <x v="5"/>
    <n v="1"/>
    <n v="1"/>
    <x v="1"/>
    <s v="Vestdanmark"/>
    <n v="4663363.7758037988"/>
    <n v="2657507.9598111873"/>
    <n v="0"/>
    <n v="295933.04302308214"/>
    <n v="0"/>
    <n v="0"/>
    <n v="0"/>
    <n v="0"/>
    <n v="1709922.7729695295"/>
    <n v="1709922.7729695295"/>
    <n v="0"/>
    <n v="5.8562461082324235"/>
    <n v="5.8562461082324235"/>
    <n v="0"/>
    <n v="5.8562461082324235"/>
    <n v="530076.05962055409"/>
    <n v="530076.05962055409"/>
    <n v="0"/>
    <n v="530076.05962055409"/>
  </r>
  <r>
    <x v="23"/>
    <x v="10"/>
    <n v="0"/>
    <n v="0"/>
    <x v="1"/>
    <s v="Vestdanmark"/>
    <n v="0"/>
    <n v="0"/>
    <n v="0"/>
    <n v="0"/>
    <n v="0"/>
    <n v="1027550.6043709198"/>
    <n v="0"/>
    <n v="0"/>
    <n v="-1027550.6043709198"/>
    <n v="0"/>
    <n v="0"/>
    <n v="0"/>
    <n v="0"/>
    <n v="0"/>
    <n v="0"/>
    <n v="0"/>
    <n v="0"/>
    <n v="0"/>
    <n v="0"/>
  </r>
  <r>
    <x v="24"/>
    <x v="2"/>
    <n v="1"/>
    <n v="0"/>
    <x v="1"/>
    <s v="Vestdanmark"/>
    <n v="9729036.5778426565"/>
    <n v="0"/>
    <n v="0"/>
    <n v="0"/>
    <n v="7296777.4333819924"/>
    <n v="2432259.1444606641"/>
    <n v="0"/>
    <n v="0"/>
    <n v="0"/>
    <n v="0"/>
    <n v="7296777.4333819924"/>
    <n v="0"/>
    <n v="3.6935557690036314"/>
    <n v="3.6935557690036314"/>
    <n v="0"/>
    <n v="0"/>
    <n v="554555.08493703138"/>
    <n v="554555.08493703138"/>
    <n v="0"/>
  </r>
  <r>
    <x v="25"/>
    <x v="10"/>
    <n v="0"/>
    <n v="0"/>
    <x v="1"/>
    <s v="Vestdanmark"/>
    <n v="706621.13097372942"/>
    <n v="685129.28051204176"/>
    <n v="0"/>
    <n v="0"/>
    <n v="0"/>
    <n v="0"/>
    <n v="0"/>
    <n v="0"/>
    <n v="21491.85046168766"/>
    <n v="0"/>
    <n v="0"/>
    <n v="0"/>
    <n v="0"/>
    <n v="0"/>
    <n v="0"/>
    <n v="0"/>
    <n v="0"/>
    <n v="0"/>
    <n v="0"/>
  </r>
  <r>
    <x v="26"/>
    <x v="4"/>
    <n v="1"/>
    <n v="1"/>
    <x v="1"/>
    <s v="Vestdanmark"/>
    <n v="3948930.9849556261"/>
    <n v="2557087.1196415746"/>
    <n v="0"/>
    <n v="0"/>
    <n v="0"/>
    <n v="0"/>
    <n v="0"/>
    <n v="0"/>
    <n v="1391843.8653140515"/>
    <n v="1391843.8653140515"/>
    <n v="0"/>
    <n v="4.9967194764774456"/>
    <n v="4.9967194764774456"/>
    <n v="0"/>
    <n v="4.9967194764774456"/>
    <n v="417553.15959421545"/>
    <n v="417553.15959421545"/>
    <n v="0"/>
    <n v="417553.15959421545"/>
  </r>
  <r>
    <x v="27"/>
    <x v="10"/>
    <n v="0"/>
    <n v="1"/>
    <x v="1"/>
    <s v="Vestdanmark"/>
    <n v="1363412.0539430196"/>
    <n v="0"/>
    <n v="0"/>
    <n v="472406.87601849809"/>
    <n v="0"/>
    <n v="0"/>
    <n v="0"/>
    <n v="0"/>
    <n v="891005.1779245215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87951.528514645848"/>
    <n v="0"/>
    <n v="0"/>
    <n v="60028.253038902265"/>
    <n v="0"/>
    <n v="0"/>
    <n v="0"/>
    <n v="0"/>
    <n v="27923.275475743583"/>
    <n v="0"/>
    <n v="0"/>
    <n v="0"/>
    <n v="0"/>
    <n v="0"/>
    <n v="0"/>
    <n v="0"/>
    <n v="0"/>
    <n v="0"/>
    <n v="0"/>
  </r>
  <r>
    <x v="30"/>
    <x v="10"/>
    <n v="0"/>
    <n v="1"/>
    <x v="1"/>
    <s v="Vestdanmark"/>
    <n v="982115.03636884945"/>
    <n v="0"/>
    <n v="0"/>
    <n v="0"/>
    <n v="0"/>
    <n v="0"/>
    <n v="0"/>
    <n v="0"/>
    <n v="982115.03636884945"/>
    <n v="0"/>
    <n v="0"/>
    <n v="0"/>
    <n v="0"/>
    <n v="0"/>
    <n v="0"/>
    <n v="0"/>
    <n v="0"/>
    <n v="0"/>
    <n v="0"/>
  </r>
  <r>
    <x v="31"/>
    <x v="7"/>
    <n v="1"/>
    <n v="0"/>
    <x v="1"/>
    <s v="Vestdanmark"/>
    <n v="896780.35875026754"/>
    <n v="0"/>
    <n v="0"/>
    <n v="0"/>
    <n v="0"/>
    <n v="0"/>
    <n v="896780.35875026754"/>
    <n v="0"/>
    <n v="0"/>
    <n v="0"/>
    <n v="896780.35875026754"/>
    <n v="0"/>
    <n v="16.500758601004918"/>
    <n v="0"/>
    <n v="16.500758601004918"/>
    <n v="0"/>
    <n v="372163.84888136107"/>
    <n v="0"/>
    <n v="372163.84888136107"/>
  </r>
  <r>
    <x v="32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2123110.9588889731"/>
    <n v="0"/>
    <n v="0"/>
    <n v="0"/>
    <n v="0"/>
    <n v="0"/>
    <n v="0"/>
    <n v="0"/>
    <n v="2123110.9588889731"/>
    <n v="0"/>
    <n v="0"/>
    <n v="0"/>
    <n v="0"/>
    <n v="0"/>
    <n v="0"/>
    <n v="0"/>
    <n v="0"/>
    <n v="0"/>
    <n v="0"/>
  </r>
  <r>
    <x v="35"/>
    <x v="10"/>
    <n v="0"/>
    <n v="0"/>
    <x v="1"/>
    <s v="Vestdanmark"/>
    <n v="736256.34152477351"/>
    <n v="0"/>
    <n v="0"/>
    <n v="0"/>
    <n v="0"/>
    <n v="0"/>
    <n v="0"/>
    <n v="736256.34152477351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368128.17076238676"/>
    <n v="188096.56093269461"/>
    <n v="0"/>
    <n v="0"/>
    <n v="0"/>
    <n v="0"/>
    <n v="0"/>
    <n v="0"/>
    <n v="180031.60982969214"/>
    <n v="0"/>
    <n v="0"/>
    <n v="0"/>
    <n v="0"/>
    <n v="0"/>
    <n v="0"/>
    <n v="0"/>
    <n v="0"/>
    <n v="0"/>
    <n v="0"/>
  </r>
  <r>
    <x v="37"/>
    <x v="9"/>
    <n v="1"/>
    <n v="1"/>
    <x v="1"/>
    <s v="Vestdanmark"/>
    <n v="235602.02928792752"/>
    <n v="0"/>
    <n v="0"/>
    <n v="0"/>
    <n v="0"/>
    <n v="0"/>
    <n v="235602.02928792752"/>
    <n v="0"/>
    <n v="0"/>
    <n v="0"/>
    <n v="235602.02928792752"/>
    <n v="0"/>
    <n v="8.2460710250774625"/>
    <n v="0"/>
    <n v="8.2460710250774625"/>
    <n v="0"/>
    <n v="0"/>
    <n v="0"/>
    <n v="0"/>
  </r>
  <r>
    <x v="38"/>
    <x v="4"/>
    <n v="1"/>
    <n v="1"/>
    <x v="1"/>
    <s v="Vestdanmark"/>
    <n v="1903494.0653747609"/>
    <n v="589344.8057454204"/>
    <n v="0"/>
    <n v="0"/>
    <n v="0"/>
    <n v="0"/>
    <n v="0"/>
    <n v="0"/>
    <n v="1314149.2596293404"/>
    <n v="1314149.2596293404"/>
    <n v="0"/>
    <n v="3.5666536566044149"/>
    <n v="3.5666536566044149"/>
    <n v="0"/>
    <n v="3.5666536566044149"/>
    <n v="262829.85192586808"/>
    <n v="262829.85192586808"/>
    <n v="0"/>
    <n v="262829.85192586808"/>
  </r>
  <r>
    <x v="39"/>
    <x v="10"/>
    <n v="0"/>
    <n v="0"/>
    <x v="1"/>
    <s v="Vestdanmark"/>
    <n v="141637.01837439084"/>
    <n v="0"/>
    <n v="0"/>
    <n v="0"/>
    <n v="0"/>
    <n v="0"/>
    <n v="0"/>
    <n v="0"/>
    <n v="141637.01837439084"/>
    <n v="0"/>
    <n v="0"/>
    <n v="0"/>
    <n v="0"/>
    <n v="0"/>
    <n v="0"/>
    <n v="0"/>
    <n v="0"/>
    <n v="0"/>
    <n v="0"/>
  </r>
  <r>
    <x v="40"/>
    <x v="10"/>
    <n v="0"/>
    <n v="0"/>
    <x v="1"/>
    <s v="Vestdanmark"/>
    <n v="90522.550539010685"/>
    <n v="27615.731046643767"/>
    <n v="0"/>
    <n v="0"/>
    <n v="0"/>
    <n v="0"/>
    <n v="0"/>
    <n v="0"/>
    <n v="62906.819492366922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05227.9830927276"/>
    <n v="0"/>
    <n v="0"/>
    <n v="0"/>
    <n v="1481053.1985566379"/>
    <n v="0"/>
    <n v="0"/>
    <n v="0"/>
    <n v="2424174.7845360897"/>
    <n v="2424174.7845360897"/>
    <n v="1481053.1985566379"/>
    <n v="1.2096874592313542"/>
    <n v="1.9487478158431022"/>
    <n v="0.73906035661174796"/>
    <n v="1.2096874592313542"/>
    <n v="145450.48707216539"/>
    <n v="234313.67898556366"/>
    <n v="88863.191913398274"/>
    <n v="145450.48707216539"/>
  </r>
  <r>
    <x v="42"/>
    <x v="2"/>
    <n v="1"/>
    <n v="0"/>
    <x v="1"/>
    <s v="Vestdanmark"/>
    <n v="10497145.511353366"/>
    <n v="0"/>
    <n v="0"/>
    <n v="0"/>
    <n v="7872859.1335150246"/>
    <n v="2624286.3778383415"/>
    <n v="0"/>
    <n v="0"/>
    <n v="0"/>
    <n v="0"/>
    <n v="7872859.1335150246"/>
    <n v="0"/>
    <n v="3.3916277147182732"/>
    <n v="3.3916277147182732"/>
    <n v="0"/>
    <n v="0"/>
    <n v="393642.95667575125"/>
    <n v="393642.95667575125"/>
    <n v="0"/>
  </r>
  <r>
    <x v="43"/>
    <x v="10"/>
    <n v="0"/>
    <n v="1"/>
    <x v="1"/>
    <s v="Vestdanmark"/>
    <n v="951875.76678713446"/>
    <n v="0"/>
    <n v="0"/>
    <n v="121875.54404868034"/>
    <n v="0"/>
    <n v="0"/>
    <n v="0"/>
    <n v="0"/>
    <n v="830000.22273845412"/>
    <n v="0"/>
    <n v="0"/>
    <n v="0"/>
    <n v="0"/>
    <n v="0"/>
    <n v="0"/>
    <n v="0"/>
    <n v="0"/>
    <n v="0"/>
    <n v="0"/>
  </r>
  <r>
    <x v="44"/>
    <x v="6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25869.1010711943"/>
    <n v="0"/>
    <n v="0"/>
    <n v="0"/>
    <n v="0"/>
    <n v="0"/>
    <n v="2225869.1010711943"/>
    <n v="0"/>
    <n v="0"/>
    <n v="0"/>
    <n v="2225869.1010711943"/>
    <n v="0"/>
    <n v="32.260787180482176"/>
    <n v="0"/>
    <n v="32.260787180482176"/>
    <n v="0"/>
    <n v="1100877.7595714615"/>
    <n v="0"/>
    <n v="1100877.7595714615"/>
  </r>
  <r>
    <x v="47"/>
    <x v="10"/>
    <n v="0"/>
    <n v="0"/>
    <x v="1"/>
    <s v="Vestdanmark"/>
    <n v="613377.28282504401"/>
    <n v="0"/>
    <n v="0"/>
    <n v="0"/>
    <n v="0"/>
    <n v="0"/>
    <n v="0"/>
    <n v="613377.28282504401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</r>
  <r>
    <x v="1"/>
    <x v="10"/>
    <n v="0"/>
    <n v="1"/>
    <x v="2"/>
    <s v="Vestdanmark"/>
    <n v="983865.71975473268"/>
    <n v="112073.72164637063"/>
    <n v="0"/>
    <n v="0"/>
    <n v="0"/>
    <n v="0"/>
    <n v="0"/>
    <n v="0"/>
    <n v="871791.99810836208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103142787.98027463"/>
    <n v="0"/>
    <n v="0"/>
    <n v="0"/>
    <n v="0"/>
    <n v="0"/>
    <n v="103142787.98027463"/>
    <n v="0"/>
    <n v="0"/>
    <n v="0"/>
    <n v="103142787.98027463"/>
    <n v="0"/>
    <n v="0"/>
    <n v="0"/>
    <n v="0"/>
    <n v="0"/>
    <n v="0"/>
    <n v="0"/>
    <n v="0"/>
  </r>
  <r>
    <x v="4"/>
    <x v="10"/>
    <n v="0"/>
    <n v="0"/>
    <x v="2"/>
    <s v="Vestdanmark"/>
    <n v="0"/>
    <n v="0"/>
    <n v="0"/>
    <n v="0"/>
    <n v="0"/>
    <e v="#DIV/0!"/>
    <n v="0"/>
    <n v="0"/>
    <e v="#DIV/0!"/>
    <n v="0"/>
    <n v="0"/>
    <n v="0"/>
    <n v="0"/>
    <n v="0"/>
    <n v="0"/>
    <n v="0"/>
    <n v="0"/>
    <n v="0"/>
    <n v="0"/>
  </r>
  <r>
    <x v="5"/>
    <x v="1"/>
    <n v="1"/>
    <n v="0"/>
    <x v="2"/>
    <s v="Vestdanmark"/>
    <n v="2960575.4754863908"/>
    <n v="0"/>
    <n v="0"/>
    <n v="0"/>
    <n v="2664517.9279377516"/>
    <n v="0"/>
    <n v="0"/>
    <n v="0"/>
    <n v="296057.54754863912"/>
    <n v="296057.54754863912"/>
    <n v="2664517.9279377516"/>
    <n v="0.16816840728229082"/>
    <n v="1.6816840728229081"/>
    <n v="1.5135156655406172"/>
    <n v="0.16816840728229088"/>
    <n v="12660.42364543332"/>
    <n v="126604.23645433319"/>
    <n v="113943.81280889986"/>
    <n v="12660.42364543333"/>
  </r>
  <r>
    <x v="6"/>
    <x v="2"/>
    <n v="1"/>
    <n v="0"/>
    <x v="2"/>
    <s v="Vestdanmark"/>
    <n v="575834.83314211352"/>
    <n v="0"/>
    <n v="0"/>
    <n v="0"/>
    <n v="518251.34982790216"/>
    <n v="21799.461540380005"/>
    <n v="0"/>
    <n v="0"/>
    <n v="35784.021773831337"/>
    <n v="35784.021773831337"/>
    <n v="518251.34982790216"/>
    <n v="7.7078782900832699E-2"/>
    <n v="1.1933921904301341"/>
    <n v="1.1163134075293013"/>
    <n v="7.707878290083281E-2"/>
    <n v="10735.206532149401"/>
    <n v="166210.61148052005"/>
    <n v="155475.40494837065"/>
    <n v="10735.206532149401"/>
  </r>
  <r>
    <x v="7"/>
    <x v="10"/>
    <n v="0"/>
    <n v="0"/>
    <x v="2"/>
    <s v="Vestdanmark"/>
    <n v="2085246.2474831352"/>
    <n v="2083858.9217546936"/>
    <n v="0"/>
    <n v="0"/>
    <n v="0"/>
    <n v="0"/>
    <n v="0"/>
    <n v="0"/>
    <n v="1387.3257284415886"/>
    <n v="0"/>
    <n v="0"/>
    <n v="0"/>
    <n v="0"/>
    <n v="0"/>
    <n v="0"/>
    <n v="0"/>
    <n v="0"/>
    <n v="0"/>
    <n v="0"/>
  </r>
  <r>
    <x v="8"/>
    <x v="2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</r>
  <r>
    <x v="9"/>
    <x v="10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</r>
  <r>
    <x v="10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10"/>
    <n v="0"/>
    <n v="1"/>
    <x v="2"/>
    <s v="Vestdanmark"/>
    <n v="1207470.6320248828"/>
    <n v="0"/>
    <n v="0"/>
    <n v="267978.92035102146"/>
    <n v="0"/>
    <n v="0"/>
    <n v="0"/>
    <n v="0"/>
    <n v="939491.71167386137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Vestdanmark"/>
    <n v="26114077.403632663"/>
    <n v="2097784.2500767186"/>
    <n v="0"/>
    <n v="0"/>
    <n v="0"/>
    <n v="0"/>
    <n v="0"/>
    <n v="6058655.6146041919"/>
    <n v="17957637.538951755"/>
    <n v="17957637.538951755"/>
    <n v="0"/>
    <n v="33.03980836697886"/>
    <n v="33.03980836697886"/>
    <n v="0"/>
    <n v="33.03980836697886"/>
    <n v="5028138.5109064914"/>
    <n v="5028138.5109064914"/>
    <n v="0"/>
    <n v="5028138.5109064914"/>
  </r>
  <r>
    <x v="14"/>
    <x v="10"/>
    <n v="0"/>
    <n v="0"/>
    <x v="2"/>
    <s v="Vestdanmark"/>
    <n v="1012833.8916346655"/>
    <n v="1012833.8916346655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1519931.6771751184"/>
    <n v="0"/>
    <n v="0"/>
    <n v="280672.65868343826"/>
    <n v="0"/>
    <n v="0"/>
    <n v="0"/>
    <n v="0"/>
    <n v="1239259.01849168"/>
    <n v="0"/>
    <n v="0"/>
    <n v="0"/>
    <n v="0"/>
    <n v="0"/>
    <n v="0"/>
    <n v="0"/>
    <n v="0"/>
    <n v="0"/>
    <n v="0"/>
  </r>
  <r>
    <x v="16"/>
    <x v="5"/>
    <n v="1"/>
    <n v="0"/>
    <x v="2"/>
    <s v="Vestdanmark"/>
    <n v="775980.95642974949"/>
    <n v="81557.737283545939"/>
    <n v="70290.546378545216"/>
    <n v="0"/>
    <n v="0"/>
    <n v="0"/>
    <n v="624132.67276765837"/>
    <n v="0"/>
    <n v="0"/>
    <n v="0"/>
    <n v="624132.67276765837"/>
    <n v="0"/>
    <n v="6.4509144356528374"/>
    <n v="0"/>
    <n v="6.4509144356528374"/>
    <n v="0"/>
    <n v="530512.77185250958"/>
    <n v="0"/>
    <n v="530512.77185250958"/>
  </r>
  <r>
    <x v="17"/>
    <x v="1"/>
    <n v="1"/>
    <n v="0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</r>
  <r>
    <x v="18"/>
    <x v="10"/>
    <n v="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n v="0"/>
    <x v="2"/>
    <s v="Vestdanmark"/>
    <n v="217306.9698136746"/>
    <n v="0"/>
    <n v="0"/>
    <n v="0"/>
    <n v="0"/>
    <n v="0"/>
    <n v="0"/>
    <n v="0"/>
    <n v="217306.9698136746"/>
    <n v="217306.9698136746"/>
    <n v="0"/>
    <n v="0.94161935010872788"/>
    <n v="0.94161935010872788"/>
    <n v="0"/>
    <n v="0.94161935010872788"/>
    <n v="91268.927321743322"/>
    <n v="91268.927321743322"/>
    <n v="0"/>
    <n v="91268.927321743322"/>
  </r>
  <r>
    <x v="20"/>
    <x v="10"/>
    <n v="0"/>
    <n v="0"/>
    <x v="2"/>
    <s v="Vestdanmark"/>
    <n v="386762.96576702269"/>
    <n v="0"/>
    <n v="0"/>
    <n v="0"/>
    <n v="0"/>
    <n v="0"/>
    <n v="0"/>
    <n v="0"/>
    <n v="386762.96576702269"/>
    <n v="0"/>
    <n v="0"/>
    <n v="0"/>
    <n v="0"/>
    <n v="0"/>
    <n v="0"/>
    <n v="0"/>
    <n v="0"/>
    <n v="0"/>
    <n v="0"/>
  </r>
  <r>
    <x v="21"/>
    <x v="10"/>
    <n v="0"/>
    <n v="1"/>
    <x v="2"/>
    <s v="Vestdanmark"/>
    <n v="948178.75571234117"/>
    <n v="0"/>
    <n v="0"/>
    <n v="128347.79869443661"/>
    <n v="0"/>
    <n v="0"/>
    <n v="0"/>
    <n v="0"/>
    <n v="819830.95701790461"/>
    <n v="0"/>
    <n v="0"/>
    <n v="0"/>
    <n v="0"/>
    <n v="0"/>
    <n v="0"/>
    <n v="0"/>
    <n v="0"/>
    <n v="0"/>
    <n v="0"/>
  </r>
  <r>
    <x v="22"/>
    <x v="5"/>
    <n v="1"/>
    <n v="1"/>
    <x v="2"/>
    <s v="Vestdanmark"/>
    <n v="420045.64366621693"/>
    <n v="0"/>
    <n v="0"/>
    <n v="307470.55071854044"/>
    <n v="0"/>
    <n v="0"/>
    <n v="0"/>
    <n v="0"/>
    <n v="112575.09294767649"/>
    <n v="0"/>
    <n v="0"/>
    <n v="0"/>
    <n v="0"/>
    <n v="0"/>
    <n v="0"/>
    <n v="0"/>
    <n v="0"/>
    <n v="0"/>
    <n v="0"/>
  </r>
  <r>
    <x v="23"/>
    <x v="10"/>
    <n v="0"/>
    <n v="0"/>
    <x v="2"/>
    <s v="Vestdanmark"/>
    <n v="0"/>
    <n v="0"/>
    <n v="0"/>
    <n v="0"/>
    <n v="0"/>
    <e v="#DIV/0!"/>
    <n v="0"/>
    <n v="0"/>
    <e v="#DIV/0!"/>
    <n v="0"/>
    <n v="0"/>
    <n v="0"/>
    <n v="0"/>
    <n v="0"/>
    <n v="0"/>
    <n v="0"/>
    <n v="0"/>
    <n v="0"/>
    <n v="0"/>
  </r>
  <r>
    <x v="24"/>
    <x v="2"/>
    <n v="1"/>
    <n v="0"/>
    <x v="2"/>
    <s v="Vestdanmark"/>
    <n v="687448.22418311588"/>
    <n v="0"/>
    <n v="0"/>
    <n v="0"/>
    <n v="618703.40176480426"/>
    <n v="68744.822418311567"/>
    <n v="0"/>
    <n v="0"/>
    <n v="0"/>
    <n v="0"/>
    <n v="618703.40176480426"/>
    <n v="0"/>
    <n v="0.3131814749393263"/>
    <n v="0.3131814749393263"/>
    <n v="0"/>
    <n v="0"/>
    <n v="47021.458534125122"/>
    <n v="47021.458534125122"/>
    <n v="0"/>
  </r>
  <r>
    <x v="25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6"/>
    <x v="4"/>
    <n v="1"/>
    <n v="1"/>
    <x v="2"/>
    <s v="Vestdanmark"/>
    <n v="0"/>
    <n v="0"/>
    <n v="0"/>
    <n v="0"/>
    <e v="#DIV/0!"/>
    <n v="0"/>
    <n v="0"/>
    <n v="0"/>
    <e v="#DIV/0!"/>
    <e v="#DIV/0!"/>
    <e v="#DIV/0!"/>
    <e v="#DIV/0!"/>
    <e v="#DIV/0!"/>
    <e v="#DIV/0!"/>
    <e v="#DIV/0!"/>
    <e v="#DIV/0!"/>
    <e v="#DIV/0!"/>
    <e v="#DIV/0!"/>
    <e v="#DIV/0!"/>
  </r>
  <r>
    <x v="27"/>
    <x v="10"/>
    <n v="0"/>
    <n v="1"/>
    <x v="2"/>
    <s v="Vestdanmark"/>
    <n v="0"/>
    <n v="0"/>
    <n v="0"/>
    <n v="490824.54885344987"/>
    <n v="0"/>
    <n v="0"/>
    <n v="0"/>
    <n v="0"/>
    <n v="-490824.54885344987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3915.1017916004403"/>
    <n v="0"/>
    <n v="0"/>
    <n v="62368.567673274578"/>
    <n v="0"/>
    <n v="0"/>
    <n v="0"/>
    <n v="0"/>
    <n v="-58453.465881674136"/>
    <n v="0"/>
    <n v="0"/>
    <n v="0"/>
    <n v="0"/>
    <n v="0"/>
    <n v="0"/>
    <n v="0"/>
    <n v="0"/>
    <n v="0"/>
    <n v="0"/>
  </r>
  <r>
    <x v="30"/>
    <x v="10"/>
    <n v="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1"/>
    <x v="7"/>
    <n v="1"/>
    <n v="0"/>
    <x v="2"/>
    <s v="Vestdanmark"/>
    <n v="1315903.5397993135"/>
    <n v="0"/>
    <n v="0"/>
    <n v="0"/>
    <n v="0"/>
    <n v="0"/>
    <n v="1315903.5397993135"/>
    <n v="0"/>
    <n v="0"/>
    <n v="0"/>
    <n v="1315903.5397993135"/>
    <n v="0"/>
    <n v="24.212625132307366"/>
    <n v="0"/>
    <n v="24.212625132307366"/>
    <n v="0"/>
    <n v="546099.96901671519"/>
    <n v="0"/>
    <n v="546099.96901671519"/>
  </r>
  <r>
    <x v="32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5"/>
    <x v="10"/>
    <n v="0"/>
    <n v="0"/>
    <x v="2"/>
    <s v="Vestdanmark"/>
    <n v="649292.34846099082"/>
    <n v="0"/>
    <n v="0"/>
    <n v="0"/>
    <n v="0"/>
    <n v="0"/>
    <n v="0"/>
    <n v="649292.34846099082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324646.17423049541"/>
    <n v="38751.234035816837"/>
    <n v="0"/>
    <n v="0"/>
    <n v="0"/>
    <n v="0"/>
    <n v="0"/>
    <n v="0"/>
    <n v="285894.94019467855"/>
    <n v="0"/>
    <n v="0"/>
    <n v="0"/>
    <n v="0"/>
    <n v="0"/>
    <n v="0"/>
    <n v="0"/>
    <n v="0"/>
    <n v="0"/>
    <n v="0"/>
  </r>
  <r>
    <x v="37"/>
    <x v="9"/>
    <n v="1"/>
    <n v="1"/>
    <x v="2"/>
    <s v="Vestdanmark"/>
    <n v="207773.55150751706"/>
    <n v="0"/>
    <n v="0"/>
    <n v="0"/>
    <n v="0"/>
    <n v="0"/>
    <n v="207773.55150751706"/>
    <n v="0"/>
    <n v="0"/>
    <n v="0"/>
    <n v="207773.55150751706"/>
    <n v="0"/>
    <n v="7.2720743027630963"/>
    <n v="0"/>
    <n v="7.2720743027630963"/>
    <n v="0"/>
    <n v="0"/>
    <n v="0"/>
    <n v="0"/>
  </r>
  <r>
    <x v="38"/>
    <x v="4"/>
    <n v="1"/>
    <n v="1"/>
    <x v="2"/>
    <s v="Vestdanmark"/>
    <n v="1115629.1792631589"/>
    <n v="88740.110439454962"/>
    <n v="0"/>
    <n v="0"/>
    <n v="0"/>
    <n v="0"/>
    <n v="0"/>
    <n v="0"/>
    <n v="1026889.068823704"/>
    <n v="1026889.068823704"/>
    <n v="0"/>
    <n v="2.7870180083502856"/>
    <n v="2.7870180083502856"/>
    <n v="0"/>
    <n v="2.7870180083502856"/>
    <n v="205377.81376474083"/>
    <n v="205377.81376474083"/>
    <n v="0"/>
    <n v="205377.81376474083"/>
  </r>
  <r>
    <x v="39"/>
    <x v="10"/>
    <n v="0"/>
    <n v="0"/>
    <x v="2"/>
    <s v="Vestdanmark"/>
    <n v="6885.6435501498472"/>
    <n v="0"/>
    <n v="0"/>
    <n v="0"/>
    <n v="0"/>
    <n v="0"/>
    <n v="0"/>
    <n v="0"/>
    <n v="6885.6435501498472"/>
    <n v="0"/>
    <n v="0"/>
    <n v="0"/>
    <n v="0"/>
    <n v="0"/>
    <n v="0"/>
    <n v="0"/>
    <n v="0"/>
    <n v="0"/>
    <n v="0"/>
  </r>
  <r>
    <x v="40"/>
    <x v="10"/>
    <n v="0"/>
    <n v="0"/>
    <x v="2"/>
    <s v="Vestdanmark"/>
    <n v="4618.1462568237339"/>
    <n v="4158.2160376315423"/>
    <n v="0"/>
    <n v="0"/>
    <n v="0"/>
    <n v="0"/>
    <n v="0"/>
    <n v="0"/>
    <n v="459.93021919219154"/>
    <n v="0"/>
    <n v="0"/>
    <n v="0"/>
    <n v="0"/>
    <n v="0"/>
    <n v="0"/>
    <n v="0"/>
    <n v="0"/>
    <n v="0"/>
    <n v="0"/>
  </r>
  <r>
    <x v="41"/>
    <x v="1"/>
    <n v="1"/>
    <n v="0"/>
    <x v="2"/>
    <s v="Vestdanmark"/>
    <n v="4002333.5486616795"/>
    <n v="0"/>
    <n v="0"/>
    <n v="0"/>
    <n v="1517880.3720548805"/>
    <n v="0"/>
    <n v="0"/>
    <n v="0"/>
    <n v="2484453.176606799"/>
    <n v="2484453.176606799"/>
    <n v="1517880.3720548805"/>
    <n v="1.2397669796585589"/>
    <n v="1.9972044641176647"/>
    <n v="0.75743748445910597"/>
    <n v="1.2397669796585586"/>
    <n v="149067.19059640795"/>
    <n v="240140.01291970076"/>
    <n v="91072.822323292829"/>
    <n v="149067.19059640792"/>
  </r>
  <r>
    <x v="42"/>
    <x v="2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Vestdanmark"/>
    <n v="48971.913359549246"/>
    <n v="0"/>
    <n v="0"/>
    <n v="126627.09194270898"/>
    <n v="0"/>
    <n v="0"/>
    <n v="0"/>
    <n v="0"/>
    <n v="-77655.178583159737"/>
    <n v="0"/>
    <n v="0"/>
    <n v="0"/>
    <n v="0"/>
    <n v="0"/>
    <n v="0"/>
    <n v="0"/>
    <n v="0"/>
    <n v="0"/>
    <n v="0"/>
  </r>
  <r>
    <x v="44"/>
    <x v="6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312878.2492368715"/>
    <n v="0"/>
    <n v="0"/>
    <n v="0"/>
    <n v="0"/>
    <n v="0"/>
    <n v="2312878.2492368715"/>
    <n v="0"/>
    <n v="0"/>
    <n v="0"/>
    <n v="2312878.2492368715"/>
    <n v="0"/>
    <n v="33.521860264419189"/>
    <n v="0"/>
    <n v="33.521860264419189"/>
    <n v="0"/>
    <n v="1143911.034101736"/>
    <n v="0"/>
    <n v="1143911.034101736"/>
  </r>
  <r>
    <x v="47"/>
    <x v="10"/>
    <n v="0"/>
    <n v="0"/>
    <x v="2"/>
    <s v="Vestdanmark"/>
    <n v="676235.95848651009"/>
    <n v="0"/>
    <n v="0"/>
    <n v="0"/>
    <n v="0"/>
    <n v="0"/>
    <n v="0"/>
    <n v="676235.95848651009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4322.21600404952"/>
    <n v="0"/>
    <n v="0"/>
    <n v="28209.340124628539"/>
    <n v="0"/>
    <n v="0"/>
    <n v="0"/>
    <n v="0"/>
    <n v="-13887.124120579019"/>
    <n v="0"/>
    <n v="0"/>
    <n v="0"/>
    <n v="0"/>
    <n v="0"/>
    <n v="0"/>
    <n v="0"/>
    <n v="0"/>
    <n v="0"/>
    <n v="0"/>
  </r>
  <r>
    <x v="1"/>
    <x v="10"/>
    <n v="0"/>
    <n v="1"/>
    <x v="1"/>
    <s v="Østdanmark"/>
    <n v="224496.54397532428"/>
    <n v="35580.456032910348"/>
    <n v="0"/>
    <n v="0"/>
    <n v="0"/>
    <n v="0"/>
    <n v="0"/>
    <n v="0"/>
    <n v="188916.08794241393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59355543.043848336"/>
    <n v="0"/>
    <n v="0"/>
    <n v="0"/>
    <n v="0"/>
    <n v="0"/>
    <n v="59355543.043848336"/>
    <n v="0"/>
    <n v="0"/>
    <n v="0"/>
    <n v="59355543.043848336"/>
    <n v="0"/>
    <n v="0"/>
    <n v="0"/>
    <n v="0"/>
    <n v="0"/>
    <n v="0"/>
    <n v="0"/>
    <n v="0"/>
  </r>
  <r>
    <x v="4"/>
    <x v="10"/>
    <n v="0"/>
    <n v="0"/>
    <x v="1"/>
    <s v="Østdanmark"/>
    <n v="3437586.4612868829"/>
    <n v="0"/>
    <n v="0"/>
    <n v="0"/>
    <n v="0"/>
    <n v="2955271.7916417704"/>
    <n v="0"/>
    <n v="0"/>
    <n v="482314.66964511247"/>
    <n v="0"/>
    <n v="0"/>
    <n v="0"/>
    <n v="0"/>
    <n v="0"/>
    <n v="0"/>
    <n v="0"/>
    <n v="0"/>
    <n v="0"/>
    <n v="0"/>
  </r>
  <r>
    <x v="5"/>
    <x v="1"/>
    <n v="1"/>
    <n v="0"/>
    <x v="1"/>
    <s v="Østdanmark"/>
    <n v="846465.45891391754"/>
    <n v="0"/>
    <n v="0"/>
    <n v="0"/>
    <n v="634849.09418543812"/>
    <n v="0"/>
    <n v="0"/>
    <n v="0"/>
    <n v="211616.36472847941"/>
    <n v="211616.36472847941"/>
    <n v="634849.09418543812"/>
    <n v="0.12020361347285069"/>
    <n v="0.4808144538914027"/>
    <n v="0.36061084041855201"/>
    <n v="0.12020361347285069"/>
    <n v="9049.4326185990121"/>
    <n v="36197.730474396041"/>
    <n v="27148.297855797027"/>
    <n v="9049.4326185990139"/>
  </r>
  <r>
    <x v="6"/>
    <x v="2"/>
    <n v="1"/>
    <n v="0"/>
    <x v="1"/>
    <s v="Østdanmark"/>
    <n v="237805.24041385058"/>
    <n v="0"/>
    <n v="0"/>
    <n v="0"/>
    <n v="178353.93031038792"/>
    <n v="22506.567396310857"/>
    <n v="0"/>
    <n v="0"/>
    <n v="36944.742707151803"/>
    <n v="36944.742707151803"/>
    <n v="178353.93031038792"/>
    <n v="7.9578975791204987E-2"/>
    <n v="0.46375334167978055"/>
    <n v="0.38417436588857556"/>
    <n v="7.9578975791204987E-2"/>
    <n v="11083.42281214554"/>
    <n v="64589.601905261916"/>
    <n v="53506.179093116378"/>
    <n v="11083.422812145538"/>
  </r>
  <r>
    <x v="7"/>
    <x v="10"/>
    <n v="0"/>
    <n v="0"/>
    <x v="1"/>
    <s v="Østdanmark"/>
    <n v="596197.91369593481"/>
    <n v="596035.73507669987"/>
    <n v="0"/>
    <n v="0"/>
    <n v="0"/>
    <n v="0"/>
    <n v="0"/>
    <n v="0"/>
    <n v="162.17861923493911"/>
    <n v="0"/>
    <n v="0"/>
    <n v="0"/>
    <n v="0"/>
    <n v="0"/>
    <n v="0"/>
    <n v="0"/>
    <n v="0"/>
    <n v="0"/>
    <n v="0"/>
  </r>
  <r>
    <x v="8"/>
    <x v="2"/>
    <n v="1"/>
    <n v="0"/>
    <x v="1"/>
    <s v="Østdanmark"/>
    <n v="541.37976495307191"/>
    <n v="0"/>
    <n v="0"/>
    <n v="0"/>
    <n v="406.03482371480391"/>
    <n v="135.34494123826798"/>
    <n v="0"/>
    <n v="0"/>
    <n v="0"/>
    <n v="0"/>
    <n v="406.03482371480391"/>
    <n v="0"/>
    <n v="1.9095411724483514E-4"/>
    <n v="1.9095411724483514E-4"/>
    <n v="0"/>
    <n v="0"/>
    <n v="25.580193894032647"/>
    <n v="25.580193894032647"/>
    <n v="0"/>
  </r>
  <r>
    <x v="9"/>
    <x v="10"/>
    <n v="0"/>
    <n v="1"/>
    <x v="1"/>
    <s v="Østdanmark"/>
    <n v="12283.299585125167"/>
    <n v="0"/>
    <n v="0"/>
    <n v="30560.118468347584"/>
    <n v="0"/>
    <n v="0"/>
    <n v="0"/>
    <n v="0"/>
    <n v="-18276.818883222419"/>
    <n v="0"/>
    <n v="0"/>
    <n v="0"/>
    <n v="0"/>
    <n v="0"/>
    <n v="0"/>
    <n v="0"/>
    <n v="0"/>
    <n v="0"/>
    <n v="0"/>
  </r>
  <r>
    <x v="10"/>
    <x v="10"/>
    <n v="0"/>
    <n v="0"/>
    <x v="1"/>
    <s v="Østdanmark"/>
    <n v="227702.74434968803"/>
    <n v="0"/>
    <n v="0"/>
    <n v="0"/>
    <n v="0"/>
    <n v="0"/>
    <n v="0"/>
    <n v="0"/>
    <n v="227702.74434968803"/>
    <n v="0"/>
    <n v="0"/>
    <n v="0"/>
    <n v="0"/>
    <n v="0"/>
    <n v="0"/>
    <n v="0"/>
    <n v="0"/>
    <n v="0"/>
    <n v="0"/>
  </r>
  <r>
    <x v="11"/>
    <x v="10"/>
    <n v="0"/>
    <n v="1"/>
    <x v="1"/>
    <s v="Østdanmark"/>
    <n v="230638.97041088896"/>
    <n v="0"/>
    <n v="0"/>
    <n v="223323.94265330929"/>
    <n v="0"/>
    <n v="0"/>
    <n v="0"/>
    <n v="0"/>
    <n v="7315.0277575796645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Østdanmark"/>
    <n v="5594360.665097801"/>
    <n v="1270913.6517041866"/>
    <n v="0"/>
    <n v="0"/>
    <n v="0"/>
    <n v="0"/>
    <n v="0"/>
    <n v="1732245.2164050208"/>
    <n v="2591201.7969885934"/>
    <n v="0"/>
    <n v="0"/>
    <n v="0"/>
    <n v="0"/>
    <n v="0"/>
    <n v="0"/>
    <n v="0"/>
    <n v="0"/>
    <n v="0"/>
    <n v="0"/>
  </r>
  <r>
    <x v="14"/>
    <x v="10"/>
    <n v="0"/>
    <n v="0"/>
    <x v="1"/>
    <s v="Østdanmark"/>
    <n v="289581.84379516833"/>
    <n v="289581.84379516833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324551.69572937489"/>
    <n v="0"/>
    <n v="0"/>
    <n v="233902.44520004498"/>
    <n v="0"/>
    <n v="0"/>
    <n v="0"/>
    <n v="0"/>
    <n v="90649.250529329904"/>
    <n v="0"/>
    <n v="0"/>
    <n v="0"/>
    <n v="0"/>
    <n v="0"/>
    <n v="0"/>
    <n v="0"/>
    <n v="0"/>
    <n v="0"/>
    <n v="0"/>
  </r>
  <r>
    <x v="16"/>
    <x v="5"/>
    <n v="1"/>
    <n v="0"/>
    <x v="1"/>
    <s v="Østdanmark"/>
    <n v="687307.8810744558"/>
    <n v="65715.418897709809"/>
    <n v="70710.376470197152"/>
    <n v="0"/>
    <n v="0"/>
    <n v="0"/>
    <n v="550882.085706549"/>
    <n v="0"/>
    <n v="0"/>
    <n v="0"/>
    <n v="550882.085706549"/>
    <n v="0"/>
    <n v="5.6938105535613097"/>
    <n v="0"/>
    <n v="5.6938105535613097"/>
    <n v="0"/>
    <n v="468249.77285056666"/>
    <n v="0"/>
    <n v="468249.77285056666"/>
  </r>
  <r>
    <x v="17"/>
    <x v="1"/>
    <n v="1"/>
    <n v="0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</r>
  <r>
    <x v="18"/>
    <x v="10"/>
    <n v="0"/>
    <n v="1"/>
    <x v="1"/>
    <s v="Østdanmark"/>
    <n v="0"/>
    <n v="264797.29963641899"/>
    <n v="0"/>
    <n v="0"/>
    <n v="0"/>
    <n v="0"/>
    <n v="0"/>
    <n v="0"/>
    <n v="-264797.29963641899"/>
    <n v="0"/>
    <n v="0"/>
    <n v="0"/>
    <n v="0"/>
    <n v="0"/>
    <n v="0"/>
    <n v="0"/>
    <n v="0"/>
    <n v="0"/>
    <n v="0"/>
  </r>
  <r>
    <x v="19"/>
    <x v="1"/>
    <n v="1"/>
    <n v="0"/>
    <x v="1"/>
    <s v="Østdanmark"/>
    <n v="191070.85109932383"/>
    <n v="0"/>
    <n v="0"/>
    <n v="0"/>
    <n v="0"/>
    <n v="0"/>
    <n v="0"/>
    <n v="0"/>
    <n v="191070.85109932383"/>
    <n v="191070.85109932383"/>
    <n v="0"/>
    <n v="0.82793483702401316"/>
    <n v="0.82793483702401316"/>
    <n v="0"/>
    <n v="0.82793483702401316"/>
    <n v="80249.757461715999"/>
    <n v="80249.757461715999"/>
    <n v="0"/>
    <n v="80249.757461715999"/>
  </r>
  <r>
    <x v="20"/>
    <x v="10"/>
    <n v="0"/>
    <n v="0"/>
    <x v="1"/>
    <s v="Østdanmark"/>
    <n v="205293.78890297885"/>
    <n v="0"/>
    <n v="0"/>
    <n v="0"/>
    <n v="0"/>
    <n v="0"/>
    <n v="0"/>
    <n v="0"/>
    <n v="205293.78890297885"/>
    <n v="0"/>
    <n v="0"/>
    <n v="0"/>
    <n v="0"/>
    <n v="0"/>
    <n v="0"/>
    <n v="0"/>
    <n v="0"/>
    <n v="0"/>
    <n v="0"/>
  </r>
  <r>
    <x v="21"/>
    <x v="10"/>
    <n v="0"/>
    <n v="1"/>
    <x v="1"/>
    <s v="Østdanmark"/>
    <n v="499382.99632277054"/>
    <n v="0"/>
    <n v="0"/>
    <n v="106960.41463921656"/>
    <n v="0"/>
    <n v="0"/>
    <n v="0"/>
    <n v="0"/>
    <n v="392422.58168355399"/>
    <n v="0"/>
    <n v="0"/>
    <n v="0"/>
    <n v="0"/>
    <n v="0"/>
    <n v="0"/>
    <n v="0"/>
    <n v="0"/>
    <n v="0"/>
    <n v="0"/>
  </r>
  <r>
    <x v="22"/>
    <x v="5"/>
    <n v="1"/>
    <n v="1"/>
    <x v="1"/>
    <s v="Østdanmark"/>
    <n v="1416204.9102783564"/>
    <n v="322423.8733791869"/>
    <n v="0"/>
    <n v="256234.83946537593"/>
    <n v="0"/>
    <n v="0"/>
    <n v="0"/>
    <n v="0"/>
    <n v="837546.19743379357"/>
    <n v="837546.19743379357"/>
    <n v="0"/>
    <n v="2.8684784697431027"/>
    <n v="2.8684784697431027"/>
    <n v="0"/>
    <n v="2.8684784697431027"/>
    <n v="259639.321204476"/>
    <n v="259639.321204476"/>
    <n v="0"/>
    <n v="259639.321204476"/>
  </r>
  <r>
    <x v="23"/>
    <x v="10"/>
    <n v="0"/>
    <n v="0"/>
    <x v="1"/>
    <s v="Østdanmark"/>
    <n v="0"/>
    <n v="0"/>
    <n v="0"/>
    <n v="0"/>
    <n v="0"/>
    <n v="469385.8379067207"/>
    <n v="0"/>
    <n v="0"/>
    <n v="-469385.8379067207"/>
    <n v="0"/>
    <n v="0"/>
    <n v="0"/>
    <n v="0"/>
    <n v="0"/>
    <n v="0"/>
    <n v="0"/>
    <n v="0"/>
    <n v="0"/>
    <n v="0"/>
  </r>
  <r>
    <x v="24"/>
    <x v="2"/>
    <n v="1"/>
    <n v="0"/>
    <x v="1"/>
    <s v="Østdanmark"/>
    <n v="691481.64120288345"/>
    <n v="0"/>
    <n v="0"/>
    <n v="0"/>
    <n v="518611.23090216261"/>
    <n v="172870.41030072086"/>
    <n v="0"/>
    <n v="0"/>
    <n v="0"/>
    <n v="0"/>
    <n v="518611.23090216261"/>
    <n v="0"/>
    <n v="0.26251581897036574"/>
    <n v="0.26251581897036574"/>
    <n v="0"/>
    <n v="0"/>
    <n v="39414.453548564357"/>
    <n v="39414.453548564357"/>
    <n v="0"/>
  </r>
  <r>
    <x v="25"/>
    <x v="10"/>
    <n v="0"/>
    <n v="0"/>
    <x v="1"/>
    <s v="Østdanmark"/>
    <n v="50222.397196773512"/>
    <n v="83123.75342946584"/>
    <n v="0"/>
    <n v="0"/>
    <n v="0"/>
    <n v="0"/>
    <n v="0"/>
    <n v="0"/>
    <n v="-32901.356232692327"/>
    <n v="0"/>
    <n v="0"/>
    <n v="0"/>
    <n v="0"/>
    <n v="0"/>
    <n v="0"/>
    <n v="0"/>
    <n v="0"/>
    <n v="0"/>
    <n v="0"/>
  </r>
  <r>
    <x v="26"/>
    <x v="4"/>
    <n v="1"/>
    <n v="1"/>
    <x v="1"/>
    <s v="Østdanmark"/>
    <n v="1156433.9505254913"/>
    <n v="310240.24994508084"/>
    <n v="0"/>
    <n v="0"/>
    <n v="0"/>
    <n v="0"/>
    <n v="0"/>
    <n v="0"/>
    <n v="846193.70058041043"/>
    <n v="846193.70058041043"/>
    <n v="0"/>
    <n v="3.0378353850836737"/>
    <n v="3.0378353850836737"/>
    <n v="0"/>
    <n v="3.0378353850836737"/>
    <n v="253858.11017412311"/>
    <n v="253858.11017412311"/>
    <n v="0"/>
    <n v="253858.11017412311"/>
  </r>
  <r>
    <x v="27"/>
    <x v="10"/>
    <n v="0"/>
    <n v="1"/>
    <x v="1"/>
    <s v="Østdanmark"/>
    <n v="96903.161700864599"/>
    <n v="0"/>
    <n v="0"/>
    <n v="409035.43180711387"/>
    <n v="0"/>
    <n v="0"/>
    <n v="0"/>
    <n v="0"/>
    <n v="-312132.27010624926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6251.0678007025454"/>
    <n v="0"/>
    <n v="0"/>
    <n v="51975.70917962808"/>
    <n v="0"/>
    <n v="0"/>
    <n v="0"/>
    <n v="0"/>
    <n v="-45724.641378925531"/>
    <n v="0"/>
    <n v="0"/>
    <n v="0"/>
    <n v="0"/>
    <n v="0"/>
    <n v="0"/>
    <n v="0"/>
    <n v="0"/>
    <n v="0"/>
    <n v="0"/>
  </r>
  <r>
    <x v="30"/>
    <x v="10"/>
    <n v="0"/>
    <n v="1"/>
    <x v="1"/>
    <s v="Østdanmark"/>
    <n v="294500.89085380302"/>
    <n v="0"/>
    <n v="0"/>
    <n v="0"/>
    <n v="0"/>
    <n v="0"/>
    <n v="0"/>
    <n v="0"/>
    <n v="294500.89085380302"/>
    <n v="0"/>
    <n v="0"/>
    <n v="0"/>
    <n v="0"/>
    <n v="0"/>
    <n v="0"/>
    <n v="0"/>
    <n v="0"/>
    <n v="0"/>
    <n v="0"/>
  </r>
  <r>
    <x v="31"/>
    <x v="7"/>
    <n v="1"/>
    <n v="0"/>
    <x v="1"/>
    <s v="Østdanmark"/>
    <n v="272404.80098126631"/>
    <n v="0"/>
    <n v="0"/>
    <n v="0"/>
    <n v="0"/>
    <n v="0"/>
    <n v="272404.80098126631"/>
    <n v="0"/>
    <n v="0"/>
    <n v="0"/>
    <n v="272404.80098126631"/>
    <n v="0"/>
    <n v="5.0122483380552989"/>
    <n v="0"/>
    <n v="5.0122483380552989"/>
    <n v="0"/>
    <n v="113047.99240722552"/>
    <n v="0"/>
    <n v="113047.99240722552"/>
  </r>
  <r>
    <x v="32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150898.00912578267"/>
    <n v="0"/>
    <n v="0"/>
    <n v="0"/>
    <n v="0"/>
    <n v="0"/>
    <n v="0"/>
    <n v="0"/>
    <n v="150898.00912578267"/>
    <n v="0"/>
    <n v="0"/>
    <n v="0"/>
    <n v="0"/>
    <n v="0"/>
    <n v="0"/>
    <n v="0"/>
    <n v="0"/>
    <n v="0"/>
    <n v="0"/>
  </r>
  <r>
    <x v="35"/>
    <x v="10"/>
    <n v="0"/>
    <n v="0"/>
    <x v="1"/>
    <s v="Østdanmark"/>
    <n v="225771.64512076203"/>
    <n v="0"/>
    <n v="0"/>
    <n v="0"/>
    <n v="0"/>
    <n v="0"/>
    <n v="0"/>
    <n v="225771.64512076203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112885.82256038101"/>
    <n v="22820.937006537704"/>
    <n v="0"/>
    <n v="0"/>
    <n v="0"/>
    <n v="0"/>
    <n v="0"/>
    <n v="0"/>
    <n v="90064.885553843313"/>
    <n v="0"/>
    <n v="0"/>
    <n v="0"/>
    <n v="0"/>
    <n v="0"/>
    <n v="0"/>
    <n v="0"/>
    <n v="0"/>
    <n v="0"/>
    <n v="0"/>
  </r>
  <r>
    <x v="37"/>
    <x v="9"/>
    <n v="1"/>
    <n v="1"/>
    <x v="1"/>
    <s v="Østdanmark"/>
    <n v="72246.926438643844"/>
    <n v="0"/>
    <n v="0"/>
    <n v="0"/>
    <n v="0"/>
    <n v="0"/>
    <n v="72246.926438643844"/>
    <n v="0"/>
    <n v="0"/>
    <n v="0"/>
    <n v="72246.926438643844"/>
    <n v="0"/>
    <n v="2.5286424253525341"/>
    <n v="0"/>
    <n v="2.5286424253525341"/>
    <n v="0"/>
    <n v="0"/>
    <n v="0"/>
    <n v="0"/>
  </r>
  <r>
    <x v="38"/>
    <x v="4"/>
    <n v="1"/>
    <n v="1"/>
    <x v="1"/>
    <s v="Østdanmark"/>
    <n v="594657.92108707852"/>
    <n v="71502.640028910202"/>
    <n v="0"/>
    <n v="0"/>
    <n v="0"/>
    <n v="0"/>
    <n v="0"/>
    <n v="0"/>
    <n v="523155.28105816833"/>
    <n v="523155.28105816833"/>
    <n v="0"/>
    <n v="1.4198643590031113"/>
    <n v="1.4198643590031113"/>
    <n v="0"/>
    <n v="1.4198643590031113"/>
    <n v="104631.05621163367"/>
    <n v="104631.05621163367"/>
    <n v="0"/>
    <n v="104631.05621163367"/>
  </r>
  <r>
    <x v="39"/>
    <x v="10"/>
    <n v="0"/>
    <n v="0"/>
    <x v="1"/>
    <s v="Østdanmark"/>
    <n v="16250.349472544192"/>
    <n v="0"/>
    <n v="0"/>
    <n v="0"/>
    <n v="0"/>
    <n v="0"/>
    <n v="0"/>
    <n v="0"/>
    <n v="16250.349472544192"/>
    <n v="0"/>
    <n v="0"/>
    <n v="0"/>
    <n v="0"/>
    <n v="0"/>
    <n v="0"/>
    <n v="0"/>
    <n v="0"/>
    <n v="0"/>
    <n v="0"/>
  </r>
  <r>
    <x v="40"/>
    <x v="10"/>
    <n v="0"/>
    <n v="0"/>
    <x v="1"/>
    <s v="Østdanmark"/>
    <n v="12700.787430000357"/>
    <n v="3350.4964443791791"/>
    <n v="0"/>
    <n v="0"/>
    <n v="0"/>
    <n v="0"/>
    <n v="0"/>
    <n v="0"/>
    <n v="9350.2909856211772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39172.5135239428"/>
    <n v="0"/>
    <n v="0"/>
    <n v="0"/>
    <n v="1266377.3160230415"/>
    <n v="0"/>
    <n v="0"/>
    <n v="0"/>
    <n v="2072795.1975009013"/>
    <n v="2072795.1975009013"/>
    <n v="1266377.3160230415"/>
    <n v="1.0343455315049248"/>
    <n v="1.6662804759735828"/>
    <n v="0.63193494446865806"/>
    <n v="1.0343455315049246"/>
    <n v="124367.71185005407"/>
    <n v="200350.35081143657"/>
    <n v="75982.638961382487"/>
    <n v="124367.71185005408"/>
  </r>
  <r>
    <x v="42"/>
    <x v="2"/>
    <n v="1"/>
    <n v="0"/>
    <x v="1"/>
    <s v="Østdanmark"/>
    <n v="1521006.1015498589"/>
    <n v="0"/>
    <n v="0"/>
    <n v="0"/>
    <n v="1140754.5761623941"/>
    <n v="380251.52538746473"/>
    <n v="0"/>
    <n v="0"/>
    <n v="0"/>
    <n v="0"/>
    <n v="1140754.5761623941"/>
    <n v="0"/>
    <n v="0.49143707141075949"/>
    <n v="0.49143707141075949"/>
    <n v="0"/>
    <n v="0"/>
    <n v="57037.728808119711"/>
    <n v="57037.728808119711"/>
    <n v="0"/>
  </r>
  <r>
    <x v="43"/>
    <x v="10"/>
    <n v="0"/>
    <n v="1"/>
    <x v="1"/>
    <s v="Østdanmark"/>
    <n v="137924.05255645732"/>
    <n v="0"/>
    <n v="0"/>
    <n v="105526.43984954793"/>
    <n v="0"/>
    <n v="0"/>
    <n v="0"/>
    <n v="0"/>
    <n v="32397.612706909393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8970.86702196393"/>
    <n v="0"/>
    <n v="0"/>
    <n v="0"/>
    <n v="0"/>
    <n v="0"/>
    <n v="648970.86702196393"/>
    <n v="0"/>
    <n v="0"/>
    <n v="0"/>
    <n v="648970.86702196393"/>
    <n v="0"/>
    <n v="9.4059039757787311"/>
    <n v="0"/>
    <n v="9.4059039757787311"/>
    <n v="0"/>
    <n v="320970.17464794632"/>
    <n v="0"/>
    <n v="320970.17464794632"/>
  </r>
  <r>
    <x v="47"/>
    <x v="10"/>
    <n v="0"/>
    <n v="0"/>
    <x v="1"/>
    <s v="Østdanmark"/>
    <n v="178680.65524972283"/>
    <n v="0"/>
    <n v="0"/>
    <n v="0"/>
    <n v="0"/>
    <n v="0"/>
    <n v="0"/>
    <n v="178680.65524972283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</r>
  <r>
    <x v="1"/>
    <x v="10"/>
    <n v="0"/>
    <n v="1"/>
    <x v="2"/>
    <s v="Østdanmark"/>
    <n v="327276.13808680209"/>
    <n v="13576.138108301233"/>
    <n v="0"/>
    <n v="0"/>
    <n v="0"/>
    <n v="0"/>
    <n v="0"/>
    <n v="0"/>
    <n v="313699.99997850088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28558363.893184837"/>
    <n v="0"/>
    <n v="0"/>
    <n v="0"/>
    <n v="0"/>
    <n v="0"/>
    <n v="28558363.893184837"/>
    <n v="0"/>
    <n v="0"/>
    <n v="0"/>
    <n v="28558363.893184837"/>
    <n v="0"/>
    <n v="0"/>
    <n v="0"/>
    <n v="0"/>
    <n v="0"/>
    <n v="0"/>
    <n v="0"/>
    <n v="0"/>
  </r>
  <r>
    <x v="4"/>
    <x v="10"/>
    <n v="0"/>
    <n v="0"/>
    <x v="2"/>
    <s v="Østdanmark"/>
    <n v="0"/>
    <n v="0"/>
    <n v="0"/>
    <n v="0"/>
    <n v="0"/>
    <e v="#DIV/0!"/>
    <n v="0"/>
    <n v="0"/>
    <e v="#DIV/0!"/>
    <n v="0"/>
    <n v="0"/>
    <n v="0"/>
    <n v="0"/>
    <n v="0"/>
    <n v="0"/>
    <n v="0"/>
    <n v="0"/>
    <n v="0"/>
    <n v="0"/>
  </r>
  <r>
    <x v="5"/>
    <x v="1"/>
    <n v="1"/>
    <n v="0"/>
    <x v="2"/>
    <s v="Østdanmark"/>
    <n v="358631.63054471865"/>
    <n v="0"/>
    <n v="0"/>
    <n v="0"/>
    <n v="322768.46749024681"/>
    <n v="0"/>
    <n v="0"/>
    <n v="0"/>
    <n v="35863.163054471835"/>
    <n v="35863.163054471835"/>
    <n v="322768.46749024681"/>
    <n v="2.0371211816462093E-2"/>
    <n v="0.20371211816462109"/>
    <n v="0.183340906348159"/>
    <n v="2.0371211816462093E-2"/>
    <n v="1533.6303407710675"/>
    <n v="15336.303407710688"/>
    <n v="13802.67306693962"/>
    <n v="1533.6303407710675"/>
  </r>
  <r>
    <x v="6"/>
    <x v="2"/>
    <n v="1"/>
    <n v="0"/>
    <x v="2"/>
    <s v="Østdanmark"/>
    <n v="81826.264655313833"/>
    <n v="0"/>
    <n v="0"/>
    <n v="0"/>
    <n v="73643.638189782447"/>
    <n v="3097.7085905225945"/>
    <n v="0"/>
    <n v="0"/>
    <n v="5084.9178750087885"/>
    <n v="5084.9178750087885"/>
    <n v="73643.638189782447"/>
    <n v="1.095291310276893E-2"/>
    <n v="0.16958130976356034"/>
    <n v="0.1586283966607914"/>
    <n v="1.0952913102768941E-2"/>
    <n v="1525.4753625026365"/>
    <n v="23618.566819437368"/>
    <n v="22093.091456934733"/>
    <n v="1525.4753625026351"/>
  </r>
  <r>
    <x v="7"/>
    <x v="10"/>
    <n v="0"/>
    <n v="0"/>
    <x v="2"/>
    <s v="Østdanmark"/>
    <n v="252597.93847994076"/>
    <n v="252429.88369052325"/>
    <n v="0"/>
    <n v="0"/>
    <n v="0"/>
    <n v="0"/>
    <n v="0"/>
    <n v="0"/>
    <n v="168.05478941751062"/>
    <n v="0"/>
    <n v="0"/>
    <n v="0"/>
    <n v="0"/>
    <n v="0"/>
    <n v="0"/>
    <n v="0"/>
    <n v="0"/>
    <n v="0"/>
    <n v="0"/>
  </r>
  <r>
    <x v="8"/>
    <x v="2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</r>
  <r>
    <x v="9"/>
    <x v="10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</r>
  <r>
    <x v="10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10"/>
    <n v="0"/>
    <n v="1"/>
    <x v="2"/>
    <s v="Østdanmark"/>
    <n v="401656.76816227223"/>
    <n v="0"/>
    <n v="0"/>
    <n v="233795.01599247381"/>
    <n v="0"/>
    <n v="0"/>
    <n v="0"/>
    <n v="0"/>
    <n v="167861.75216979842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Østdanmark"/>
    <n v="8658940.9474013411"/>
    <n v="254116.73925064973"/>
    <n v="0"/>
    <n v="0"/>
    <n v="0"/>
    <n v="0"/>
    <n v="0"/>
    <n v="733919.99628634495"/>
    <n v="7670904.2118643466"/>
    <n v="7670904.2118643466"/>
    <n v="0"/>
    <n v="14.113504886803916"/>
    <n v="14.113504886803916"/>
    <n v="0"/>
    <n v="14.113504886803916"/>
    <n v="2147853.1793220174"/>
    <n v="2147853.1793220174"/>
    <n v="0"/>
    <n v="2147853.1793220174"/>
  </r>
  <r>
    <x v="14"/>
    <x v="10"/>
    <n v="0"/>
    <n v="0"/>
    <x v="2"/>
    <s v="Østdanmark"/>
    <n v="122690.4272616855"/>
    <n v="122690.4272616855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505594.77728899289"/>
    <n v="0"/>
    <n v="0"/>
    <n v="244869.51675001203"/>
    <n v="0"/>
    <n v="0"/>
    <n v="0"/>
    <n v="0"/>
    <n v="260725.26053898086"/>
    <n v="0"/>
    <n v="0"/>
    <n v="0"/>
    <n v="0"/>
    <n v="0"/>
    <n v="0"/>
    <n v="0"/>
    <n v="0"/>
    <n v="0"/>
    <n v="0"/>
  </r>
  <r>
    <x v="16"/>
    <x v="5"/>
    <n v="1"/>
    <n v="0"/>
    <x v="2"/>
    <s v="Østdanmark"/>
    <n v="258124.70701036416"/>
    <n v="9879.5604259102856"/>
    <n v="9665.8931514547894"/>
    <n v="0"/>
    <n v="0"/>
    <n v="0"/>
    <n v="238579.25343299913"/>
    <n v="0"/>
    <n v="0"/>
    <n v="0"/>
    <n v="238579.25343299913"/>
    <n v="0"/>
    <n v="2.4659089600187367"/>
    <n v="0"/>
    <n v="2.4659089600187367"/>
    <n v="0"/>
    <n v="202792.36541804924"/>
    <n v="0"/>
    <n v="202792.36541804924"/>
  </r>
  <r>
    <x v="17"/>
    <x v="1"/>
    <n v="1"/>
    <n v="0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</r>
  <r>
    <x v="18"/>
    <x v="10"/>
    <n v="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n v="0"/>
    <x v="2"/>
    <s v="Østdanmark"/>
    <n v="168748.58777288889"/>
    <n v="0"/>
    <n v="0"/>
    <n v="0"/>
    <n v="0"/>
    <n v="0"/>
    <n v="0"/>
    <n v="0"/>
    <n v="168748.58777288889"/>
    <n v="168748.58777288889"/>
    <n v="0"/>
    <n v="0.73120956813633808"/>
    <n v="0.73120956813633808"/>
    <n v="0"/>
    <n v="0.73120956813633808"/>
    <n v="70874.406864613324"/>
    <n v="70874.406864613324"/>
    <n v="0"/>
    <n v="70874.406864613324"/>
  </r>
  <r>
    <x v="20"/>
    <x v="10"/>
    <n v="0"/>
    <n v="0"/>
    <x v="2"/>
    <s v="Østdanmark"/>
    <n v="128654.0299653736"/>
    <n v="0"/>
    <n v="0"/>
    <n v="0"/>
    <n v="0"/>
    <n v="0"/>
    <n v="0"/>
    <n v="0"/>
    <n v="128654.0299653736"/>
    <n v="0"/>
    <n v="0"/>
    <n v="0"/>
    <n v="0"/>
    <n v="0"/>
    <n v="0"/>
    <n v="0"/>
    <n v="0"/>
    <n v="0"/>
    <n v="0"/>
  </r>
  <r>
    <x v="21"/>
    <x v="10"/>
    <n v="0"/>
    <n v="1"/>
    <x v="2"/>
    <s v="Østdanmark"/>
    <n v="315405.11591647175"/>
    <n v="0"/>
    <n v="0"/>
    <n v="111975.50765955324"/>
    <n v="0"/>
    <n v="0"/>
    <n v="0"/>
    <n v="0"/>
    <n v="203429.60825691849"/>
    <n v="0"/>
    <n v="0"/>
    <n v="0"/>
    <n v="0"/>
    <n v="0"/>
    <n v="0"/>
    <n v="0"/>
    <n v="0"/>
    <n v="0"/>
    <n v="0"/>
  </r>
  <r>
    <x v="22"/>
    <x v="5"/>
    <n v="1"/>
    <n v="1"/>
    <x v="2"/>
    <s v="Østdanmark"/>
    <n v="139725.28295175743"/>
    <n v="0"/>
    <n v="0"/>
    <n v="268249.01834925939"/>
    <n v="0"/>
    <n v="0"/>
    <n v="0"/>
    <n v="0"/>
    <n v="-128523.73539750197"/>
    <n v="0"/>
    <n v="0"/>
    <n v="0"/>
    <n v="0"/>
    <n v="0"/>
    <n v="0"/>
    <n v="0"/>
    <n v="0"/>
    <n v="0"/>
    <n v="0"/>
  </r>
  <r>
    <x v="23"/>
    <x v="10"/>
    <n v="0"/>
    <n v="0"/>
    <x v="2"/>
    <s v="Østdanmark"/>
    <n v="0"/>
    <n v="0"/>
    <n v="0"/>
    <n v="0"/>
    <n v="0"/>
    <e v="#DIV/0!"/>
    <n v="0"/>
    <n v="0"/>
    <e v="#DIV/0!"/>
    <n v="0"/>
    <n v="0"/>
    <n v="0"/>
    <n v="0"/>
    <n v="0"/>
    <n v="0"/>
    <n v="0"/>
    <n v="0"/>
    <n v="0"/>
    <n v="0"/>
  </r>
  <r>
    <x v="24"/>
    <x v="2"/>
    <n v="1"/>
    <n v="0"/>
    <x v="2"/>
    <s v="Østdanmark"/>
    <n v="48859.701831397157"/>
    <n v="0"/>
    <n v="0"/>
    <n v="0"/>
    <n v="43973.731648257439"/>
    <n v="4885.9701831397142"/>
    <n v="0"/>
    <n v="0"/>
    <n v="0"/>
    <n v="0"/>
    <n v="43973.731648257439"/>
    <n v="0"/>
    <n v="2.2259063223031436E-2"/>
    <n v="2.2259063223031436E-2"/>
    <n v="0"/>
    <n v="0"/>
    <n v="3342.0036052675655"/>
    <n v="3342.0036052675655"/>
    <n v="0"/>
  </r>
  <r>
    <x v="25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6"/>
    <x v="4"/>
    <n v="1"/>
    <n v="1"/>
    <x v="2"/>
    <s v="Østdanmark"/>
    <n v="0"/>
    <n v="0"/>
    <n v="0"/>
    <n v="0"/>
    <e v="#DIV/0!"/>
    <n v="0"/>
    <n v="0"/>
    <n v="0"/>
    <e v="#DIV/0!"/>
    <e v="#DIV/0!"/>
    <e v="#DIV/0!"/>
    <e v="#DIV/0!"/>
    <e v="#DIV/0!"/>
    <e v="#DIV/0!"/>
    <e v="#DIV/0!"/>
    <e v="#DIV/0!"/>
    <e v="#DIV/0!"/>
    <e v="#DIV/0!"/>
    <e v="#DIV/0!"/>
  </r>
  <r>
    <x v="27"/>
    <x v="10"/>
    <n v="0"/>
    <n v="1"/>
    <x v="2"/>
    <s v="Østdanmark"/>
    <n v="0"/>
    <n v="0"/>
    <n v="0"/>
    <n v="428214.02929147833"/>
    <n v="0"/>
    <n v="0"/>
    <n v="0"/>
    <n v="0"/>
    <n v="-428214.02929147833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278.2619831544028"/>
    <n v="0"/>
    <n v="0"/>
    <n v="54412.71372203785"/>
    <n v="0"/>
    <n v="0"/>
    <n v="0"/>
    <n v="0"/>
    <n v="-54134.45173888345"/>
    <n v="0"/>
    <n v="0"/>
    <n v="0"/>
    <n v="0"/>
    <n v="0"/>
    <n v="0"/>
    <n v="0"/>
    <n v="0"/>
    <n v="0"/>
    <n v="0"/>
  </r>
  <r>
    <x v="30"/>
    <x v="10"/>
    <n v="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1"/>
    <x v="7"/>
    <n v="1"/>
    <n v="0"/>
    <x v="2"/>
    <s v="Østdanmark"/>
    <n v="437726.22620455944"/>
    <n v="0"/>
    <n v="0"/>
    <n v="0"/>
    <n v="0"/>
    <n v="0"/>
    <n v="437726.22620455944"/>
    <n v="0"/>
    <n v="0"/>
    <n v="0"/>
    <n v="437726.22620455944"/>
    <n v="0"/>
    <n v="8.0541625621638921"/>
    <n v="0"/>
    <n v="8.0541625621638921"/>
    <n v="0"/>
    <n v="181656.38387489217"/>
    <n v="0"/>
    <n v="181656.38387489217"/>
  </r>
  <r>
    <x v="32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5"/>
    <x v="10"/>
    <n v="0"/>
    <n v="0"/>
    <x v="2"/>
    <s v="Østdanmark"/>
    <n v="215982.61635398451"/>
    <n v="0"/>
    <n v="0"/>
    <n v="0"/>
    <n v="0"/>
    <n v="0"/>
    <n v="0"/>
    <n v="215982.61635398451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107991.30817699226"/>
    <n v="4694.1611058241288"/>
    <n v="0"/>
    <n v="0"/>
    <n v="0"/>
    <n v="0"/>
    <n v="0"/>
    <n v="0"/>
    <n v="103297.14707116813"/>
    <n v="0"/>
    <n v="0"/>
    <n v="0"/>
    <n v="0"/>
    <n v="0"/>
    <n v="0"/>
    <n v="0"/>
    <n v="0"/>
    <n v="0"/>
    <n v="0"/>
  </r>
  <r>
    <x v="37"/>
    <x v="9"/>
    <n v="1"/>
    <n v="1"/>
    <x v="2"/>
    <s v="Østdanmark"/>
    <n v="69114.43723327505"/>
    <n v="0"/>
    <n v="0"/>
    <n v="0"/>
    <n v="0"/>
    <n v="0"/>
    <n v="69114.43723327505"/>
    <n v="0"/>
    <n v="0"/>
    <n v="0"/>
    <n v="69114.43723327505"/>
    <n v="0"/>
    <n v="2.4190053031646266"/>
    <n v="0"/>
    <n v="2.4190053031646266"/>
    <n v="0"/>
    <n v="0"/>
    <n v="0"/>
    <n v="0"/>
  </r>
  <r>
    <x v="38"/>
    <x v="4"/>
    <n v="1"/>
    <n v="1"/>
    <x v="2"/>
    <s v="Østdanmark"/>
    <n v="371106.34306601883"/>
    <n v="10749.602827265073"/>
    <n v="0"/>
    <n v="0"/>
    <n v="0"/>
    <n v="0"/>
    <n v="0"/>
    <n v="0"/>
    <n v="360356.74023875373"/>
    <n v="360356.74023875373"/>
    <n v="0"/>
    <n v="0.97802260727758716"/>
    <n v="0.97802260727758716"/>
    <n v="0"/>
    <n v="0.97802260727758716"/>
    <n v="72071.348047750755"/>
    <n v="72071.348047750755"/>
    <n v="0"/>
    <n v="72071.348047750755"/>
  </r>
  <r>
    <x v="39"/>
    <x v="10"/>
    <n v="0"/>
    <n v="0"/>
    <x v="2"/>
    <s v="Østdanmark"/>
    <n v="807.52489656472994"/>
    <n v="0"/>
    <n v="0"/>
    <n v="0"/>
    <n v="0"/>
    <n v="0"/>
    <n v="0"/>
    <n v="0"/>
    <n v="807.52489656472994"/>
    <n v="0"/>
    <n v="0"/>
    <n v="0"/>
    <n v="0"/>
    <n v="0"/>
    <n v="0"/>
    <n v="0"/>
    <n v="0"/>
    <n v="0"/>
    <n v="0"/>
  </r>
  <r>
    <x v="40"/>
    <x v="10"/>
    <n v="0"/>
    <n v="0"/>
    <x v="2"/>
    <s v="Østdanmark"/>
    <n v="650.65285036970454"/>
    <n v="503.70875867908762"/>
    <n v="0"/>
    <n v="0"/>
    <n v="0"/>
    <n v="0"/>
    <n v="0"/>
    <n v="0"/>
    <n v="146.94409169061692"/>
    <n v="0"/>
    <n v="0"/>
    <n v="0"/>
    <n v="0"/>
    <n v="0"/>
    <n v="0"/>
    <n v="0"/>
    <n v="0"/>
    <n v="0"/>
    <n v="0"/>
  </r>
  <r>
    <x v="41"/>
    <x v="1"/>
    <n v="1"/>
    <n v="0"/>
    <x v="2"/>
    <s v="Østdanmark"/>
    <n v="3491788.2152479719"/>
    <n v="0"/>
    <n v="0"/>
    <n v="0"/>
    <n v="1324256.6444942397"/>
    <n v="0"/>
    <n v="0"/>
    <n v="0"/>
    <n v="2167531.5707537322"/>
    <n v="2167531.5707537322"/>
    <n v="1324256.6444942397"/>
    <n v="1.08161992912182"/>
    <n v="1.7424372372908907"/>
    <n v="0.66081730816907069"/>
    <n v="1.08161992912182"/>
    <n v="130051.89424522393"/>
    <n v="209507.29291487832"/>
    <n v="79455.398669654372"/>
    <n v="130051.89424522394"/>
  </r>
  <r>
    <x v="42"/>
    <x v="2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Østdanmark"/>
    <n v="7095.888967518189"/>
    <n v="0"/>
    <n v="0"/>
    <n v="110474.29755686472"/>
    <n v="0"/>
    <n v="0"/>
    <n v="0"/>
    <n v="0"/>
    <n v="-103378.40858934654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41761.08642399055"/>
    <n v="0"/>
    <n v="0"/>
    <n v="0"/>
    <n v="0"/>
    <n v="0"/>
    <n v="641761.08642399055"/>
    <n v="0"/>
    <n v="0"/>
    <n v="0"/>
    <n v="641761.08642399055"/>
    <n v="0"/>
    <n v="9.3014085239225324"/>
    <n v="0"/>
    <n v="9.3014085239225324"/>
    <n v="0"/>
    <n v="317404.33732719865"/>
    <n v="0"/>
    <n v="317404.33732719865"/>
  </r>
  <r>
    <x v="47"/>
    <x v="10"/>
    <n v="0"/>
    <n v="0"/>
    <x v="2"/>
    <s v="Østdanmark"/>
    <n v="183690.80267816613"/>
    <n v="0"/>
    <n v="0"/>
    <n v="0"/>
    <n v="0"/>
    <n v="0"/>
    <n v="0"/>
    <n v="183690.80267816613"/>
    <n v="0"/>
    <n v="0"/>
    <n v="0"/>
    <n v="0"/>
    <n v="0"/>
    <n v="0"/>
    <n v="0"/>
    <n v="0"/>
    <n v="0"/>
    <n v="0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925230.885890532"/>
    <s v="CO2 - atmosfære"/>
    <x v="0"/>
  </r>
  <r>
    <s v="Vestdanmark"/>
    <x v="0"/>
    <n v="5679335.5964851258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93826.565102358349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7559500.2479222175"/>
    <s v="CO2 - atmosfære"/>
    <x v="0"/>
  </r>
  <r>
    <s v="Vestdanmark"/>
    <x v="1"/>
    <n v="3816109.5273284824"/>
    <s v="Landbrug"/>
    <x v="1"/>
  </r>
  <r>
    <s v="Vestdanmark"/>
    <x v="1"/>
    <n v="3537250.8406453063"/>
    <s v="Landbrug"/>
    <x v="2"/>
  </r>
  <r>
    <s v="Vestdanmark"/>
    <x v="1"/>
    <n v="813964.99741630361"/>
    <s v="Landbrug"/>
    <x v="2"/>
  </r>
  <r>
    <s v="Vestdanmark"/>
    <x v="1"/>
    <n v="1569367.8441367322"/>
    <s v="Landbrug"/>
    <x v="2"/>
  </r>
  <r>
    <s v="Vestdanmark"/>
    <x v="1"/>
    <n v="-158.24317477886137"/>
    <s v="Hav"/>
    <x v="3"/>
  </r>
  <r>
    <s v="Vestdanmark"/>
    <x v="1"/>
    <n v="-1763766.4824510801"/>
    <s v="Skov"/>
    <x v="4"/>
  </r>
  <r>
    <s v="Vestdanmark"/>
    <x v="1"/>
    <n v="-98348.072466594749"/>
    <s v="HWP"/>
    <x v="5"/>
  </r>
  <r>
    <s v="Vestdanmark"/>
    <x v="1"/>
    <n v="-314920.16351215332"/>
    <s v="Biogasanlæg"/>
    <x v="6"/>
  </r>
  <r>
    <s v="Vestdanmark"/>
    <x v="1"/>
    <n v="0"/>
    <s v="Pyrolyseproces"/>
    <x v="7"/>
  </r>
  <r>
    <s v="Vestdanmark"/>
    <x v="2"/>
    <n v="18779.430687195636"/>
    <s v="CO2 - atmosfære"/>
    <x v="0"/>
  </r>
  <r>
    <s v="Vestdanmark"/>
    <x v="2"/>
    <n v="403361.09981940413"/>
    <s v="Landbrug"/>
    <x v="1"/>
  </r>
  <r>
    <s v="Vestdanmark"/>
    <x v="2"/>
    <n v="2593142.9450039971"/>
    <s v="Landbrug"/>
    <x v="2"/>
  </r>
  <r>
    <s v="Vestdanmark"/>
    <x v="2"/>
    <n v="63917.095435242481"/>
    <s v="Landbrug"/>
    <x v="2"/>
  </r>
  <r>
    <s v="Vestdanmark"/>
    <x v="2"/>
    <n v="0"/>
    <s v="Landbrug"/>
    <x v="2"/>
  </r>
  <r>
    <s v="Vestdanmark"/>
    <x v="2"/>
    <n v="-158.24317477886137"/>
    <s v="Hav"/>
    <x v="3"/>
  </r>
  <r>
    <s v="Vestdanmark"/>
    <x v="2"/>
    <n v="-2570873.911416363"/>
    <s v="Skov"/>
    <x v="4"/>
  </r>
  <r>
    <s v="Vestdanmark"/>
    <x v="2"/>
    <n v="-452403.36919811758"/>
    <s v="HWP"/>
    <x v="5"/>
  </r>
  <r>
    <s v="Vestdanmark"/>
    <x v="2"/>
    <n v="-18206.185782189059"/>
    <s v="Biogasanlæg"/>
    <x v="6"/>
  </r>
  <r>
    <s v="Vestdanmark"/>
    <x v="2"/>
    <n v="0"/>
    <s v="Pyrolyseproces"/>
    <x v="7"/>
  </r>
  <r>
    <s v="Østdanmark"/>
    <x v="0"/>
    <n v="2132620.7692239708"/>
    <s v="CO2 - atmosfære"/>
    <x v="0"/>
  </r>
  <r>
    <s v="Østdanmark"/>
    <x v="0"/>
    <n v="502237.73233999556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27463.48696246129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371740.3716524243"/>
    <s v="CO2 - atmosfære"/>
    <x v="0"/>
  </r>
  <r>
    <s v="Østdanmark"/>
    <x v="1"/>
    <n v="339395.72967458674"/>
    <s v="Landbrug"/>
    <x v="1"/>
  </r>
  <r>
    <s v="Østdanmark"/>
    <x v="1"/>
    <n v="1087468.1807039436"/>
    <s v="Landbrug"/>
    <x v="2"/>
  </r>
  <r>
    <s v="Østdanmark"/>
    <x v="1"/>
    <n v="123623.29144463547"/>
    <s v="Landbrug"/>
    <x v="2"/>
  </r>
  <r>
    <s v="Østdanmark"/>
    <x v="1"/>
    <n v="238285.1367167854"/>
    <s v="Landbrug"/>
    <x v="2"/>
  </r>
  <r>
    <s v="Østdanmark"/>
    <x v="1"/>
    <n v="-0.19402522113858015"/>
    <s v="Hav"/>
    <x v="3"/>
  </r>
  <r>
    <s v="Østdanmark"/>
    <x v="1"/>
    <n v="-359567.40233777399"/>
    <s v="Skov"/>
    <x v="4"/>
  </r>
  <r>
    <s v="Østdanmark"/>
    <x v="1"/>
    <n v="-27684.464474275122"/>
    <s v="HWP"/>
    <x v="5"/>
  </r>
  <r>
    <s v="Østdanmark"/>
    <x v="1"/>
    <n v="-29779.906050256774"/>
    <s v="Biogasanlæg"/>
    <x v="6"/>
  </r>
  <r>
    <s v="Østdanmark"/>
    <x v="1"/>
    <n v="0"/>
    <s v="Pyrolyseproces"/>
    <x v="7"/>
  </r>
  <r>
    <s v="Østdanmark"/>
    <x v="2"/>
    <n v="294458.66636540444"/>
    <s v="CO2 - atmosfære"/>
    <x v="0"/>
  </r>
  <r>
    <s v="Østdanmark"/>
    <x v="2"/>
    <n v="39709.74880330517"/>
    <s v="Landbrug"/>
    <x v="1"/>
  </r>
  <r>
    <s v="Østdanmark"/>
    <x v="2"/>
    <n v="862591.09501193953"/>
    <s v="Landbrug"/>
    <x v="2"/>
  </r>
  <r>
    <s v="Østdanmark"/>
    <x v="2"/>
    <n v="9707.5452111545728"/>
    <s v="Landbrug"/>
    <x v="2"/>
  </r>
  <r>
    <s v="Østdanmark"/>
    <x v="2"/>
    <n v="0"/>
    <s v="Landbrug"/>
    <x v="2"/>
  </r>
  <r>
    <s v="Østdanmark"/>
    <x v="2"/>
    <n v="-0.19402522113858015"/>
    <s v="Hav"/>
    <x v="3"/>
  </r>
  <r>
    <s v="Østdanmark"/>
    <x v="2"/>
    <n v="-517621.37809074466"/>
    <s v="Skov"/>
    <x v="4"/>
  </r>
  <r>
    <s v="Østdanmark"/>
    <x v="2"/>
    <n v="-98634.16391809177"/>
    <s v="HWP"/>
    <x v="5"/>
  </r>
  <r>
    <s v="Østdanmark"/>
    <x v="2"/>
    <n v="-1293.9866269373474"/>
    <s v="Biogasanlæg"/>
    <x v="6"/>
  </r>
  <r>
    <s v="Østdanmark"/>
    <x v="2"/>
    <n v="0"/>
    <s v="Pyrolyseproces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314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K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3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Q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6">
    <i>
      <x/>
    </i>
    <i>
      <x v="2"/>
    </i>
    <i>
      <x v="5"/>
    </i>
    <i>
      <x v="7"/>
    </i>
    <i>
      <x v="8"/>
    </i>
    <i>
      <x v="10"/>
    </i>
    <i>
      <x v="12"/>
    </i>
    <i>
      <x v="13"/>
    </i>
    <i>
      <x v="14"/>
    </i>
    <i>
      <x v="16"/>
    </i>
    <i>
      <x v="18"/>
    </i>
    <i>
      <x v="25"/>
    </i>
    <i>
      <x v="32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0">
      <pivotArea outline="0" collapsedLevelsAreSubtotals="1" fieldPosition="0"/>
    </format>
  </formats>
  <chartFormats count="13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6" format="5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5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6" format="5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6" format="5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4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34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AE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4">
        <item x="1"/>
        <item x="0"/>
        <item x="2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37"/>
    </i>
    <i>
      <x v="40"/>
    </i>
    <i>
      <x v="41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345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34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34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324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34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34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3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3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4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D13" sqref="D1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5" ht="21" x14ac:dyDescent="0.35">
      <c r="A1" s="434" t="s">
        <v>269</v>
      </c>
      <c r="B1" s="434"/>
      <c r="D1" s="73" t="s">
        <v>282</v>
      </c>
    </row>
    <row r="2" spans="1:5" x14ac:dyDescent="0.25">
      <c r="A2" s="6" t="s">
        <v>0</v>
      </c>
      <c r="B2" s="199" t="s">
        <v>336</v>
      </c>
    </row>
    <row r="4" spans="1:5" ht="30" customHeight="1" thickBot="1" x14ac:dyDescent="0.3">
      <c r="A4" s="433" t="s">
        <v>268</v>
      </c>
      <c r="B4" s="433"/>
      <c r="D4" s="73"/>
    </row>
    <row r="5" spans="1:5" ht="15.75" thickTop="1" x14ac:dyDescent="0.25">
      <c r="A5" s="231" t="s">
        <v>85</v>
      </c>
      <c r="B5" s="230" t="s">
        <v>302</v>
      </c>
      <c r="D5" s="189" t="s">
        <v>43</v>
      </c>
      <c r="E5" s="190"/>
    </row>
    <row r="6" spans="1:5" x14ac:dyDescent="0.25">
      <c r="A6" s="184" t="s">
        <v>83</v>
      </c>
      <c r="B6" s="185" t="s">
        <v>256</v>
      </c>
      <c r="D6" s="191" t="s">
        <v>267</v>
      </c>
      <c r="E6" s="192" t="s">
        <v>44</v>
      </c>
    </row>
    <row r="7" spans="1:5" x14ac:dyDescent="0.25">
      <c r="A7" s="184"/>
      <c r="B7" s="185" t="s">
        <v>2</v>
      </c>
      <c r="D7" s="191" t="s">
        <v>41</v>
      </c>
      <c r="E7" s="192" t="s">
        <v>45</v>
      </c>
    </row>
    <row r="8" spans="1:5" x14ac:dyDescent="0.25">
      <c r="A8" s="197" t="s">
        <v>91</v>
      </c>
      <c r="B8" s="185" t="s">
        <v>257</v>
      </c>
      <c r="D8" s="191" t="s">
        <v>40</v>
      </c>
      <c r="E8" s="192" t="s">
        <v>46</v>
      </c>
    </row>
    <row r="9" spans="1:5" x14ac:dyDescent="0.25">
      <c r="A9" s="184" t="s">
        <v>92</v>
      </c>
      <c r="B9" s="185" t="s">
        <v>258</v>
      </c>
      <c r="D9" s="191"/>
      <c r="E9" s="192"/>
    </row>
    <row r="10" spans="1:5" x14ac:dyDescent="0.25">
      <c r="A10" s="184"/>
      <c r="B10" s="185"/>
      <c r="D10" s="193" t="s">
        <v>47</v>
      </c>
      <c r="E10" s="192"/>
    </row>
    <row r="11" spans="1:5" x14ac:dyDescent="0.25">
      <c r="A11" s="197" t="s">
        <v>68</v>
      </c>
      <c r="B11" s="198" t="s">
        <v>259</v>
      </c>
      <c r="D11" s="191" t="s">
        <v>32</v>
      </c>
      <c r="E11" s="192"/>
    </row>
    <row r="12" spans="1:5" x14ac:dyDescent="0.25">
      <c r="A12" s="184" t="s">
        <v>253</v>
      </c>
      <c r="B12" s="185" t="s">
        <v>260</v>
      </c>
      <c r="D12" s="191" t="s">
        <v>9</v>
      </c>
      <c r="E12" s="192"/>
    </row>
    <row r="13" spans="1:5" x14ac:dyDescent="0.25">
      <c r="A13" s="184"/>
      <c r="B13" s="185"/>
      <c r="D13" s="191" t="s">
        <v>10</v>
      </c>
      <c r="E13" s="192"/>
    </row>
    <row r="14" spans="1:5" x14ac:dyDescent="0.25">
      <c r="A14" s="197" t="s">
        <v>69</v>
      </c>
      <c r="B14" s="198" t="s">
        <v>261</v>
      </c>
      <c r="D14" s="191" t="s">
        <v>33</v>
      </c>
      <c r="E14" s="192"/>
    </row>
    <row r="15" spans="1:5" x14ac:dyDescent="0.25">
      <c r="A15" s="184" t="s">
        <v>70</v>
      </c>
      <c r="B15" s="185" t="s">
        <v>262</v>
      </c>
      <c r="D15" s="191" t="s">
        <v>11</v>
      </c>
      <c r="E15" s="192"/>
    </row>
    <row r="16" spans="1:5" x14ac:dyDescent="0.25">
      <c r="A16" s="184" t="s">
        <v>71</v>
      </c>
      <c r="B16" s="185"/>
      <c r="D16" s="191"/>
      <c r="E16" s="192"/>
    </row>
    <row r="17" spans="1:5" x14ac:dyDescent="0.25">
      <c r="A17" s="184" t="s">
        <v>72</v>
      </c>
      <c r="B17" s="198" t="s">
        <v>266</v>
      </c>
      <c r="D17" s="193" t="s">
        <v>381</v>
      </c>
      <c r="E17" s="192"/>
    </row>
    <row r="18" spans="1:5" x14ac:dyDescent="0.25">
      <c r="A18" s="184" t="s">
        <v>73</v>
      </c>
      <c r="B18" s="435" t="s">
        <v>270</v>
      </c>
      <c r="D18" s="191">
        <v>2019</v>
      </c>
      <c r="E18" s="192"/>
    </row>
    <row r="19" spans="1:5" x14ac:dyDescent="0.25">
      <c r="A19" s="184" t="s">
        <v>254</v>
      </c>
      <c r="B19" s="435"/>
      <c r="D19" s="191">
        <v>2030</v>
      </c>
      <c r="E19" s="192"/>
    </row>
    <row r="20" spans="1:5" ht="15.75" thickBot="1" x14ac:dyDescent="0.3">
      <c r="A20" s="184" t="s">
        <v>255</v>
      </c>
      <c r="B20" s="185"/>
      <c r="D20" s="194">
        <v>2050</v>
      </c>
      <c r="E20" s="195"/>
    </row>
    <row r="21" spans="1:5" ht="15.75" thickTop="1" x14ac:dyDescent="0.25">
      <c r="A21" s="184" t="s">
        <v>74</v>
      </c>
      <c r="B21" s="185"/>
    </row>
    <row r="22" spans="1:5" x14ac:dyDescent="0.25">
      <c r="A22" s="184"/>
      <c r="B22" s="185"/>
    </row>
    <row r="23" spans="1:5" x14ac:dyDescent="0.25">
      <c r="A23" s="232" t="s">
        <v>303</v>
      </c>
      <c r="B23" s="185"/>
    </row>
    <row r="24" spans="1:5" ht="15.75" thickBot="1" x14ac:dyDescent="0.3">
      <c r="A24" s="186" t="s">
        <v>1</v>
      </c>
      <c r="B24" s="187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opLeftCell="A19" zoomScale="55" zoomScaleNormal="55" workbookViewId="0">
      <selection activeCell="Q38" sqref="Q38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29" t="s">
        <v>296</v>
      </c>
      <c r="B1" s="228"/>
      <c r="C1" s="436" t="s">
        <v>295</v>
      </c>
      <c r="D1" s="436"/>
      <c r="E1" s="436"/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6"/>
      <c r="Q1" s="436"/>
      <c r="R1" s="436"/>
    </row>
    <row r="2" spans="1:18" ht="15" customHeight="1" x14ac:dyDescent="0.25">
      <c r="A2" s="228"/>
      <c r="B2" s="228"/>
      <c r="C2" s="436"/>
      <c r="D2" s="436"/>
      <c r="E2" s="436"/>
      <c r="F2" s="436"/>
      <c r="G2" s="436"/>
      <c r="H2" s="436"/>
      <c r="I2" s="436"/>
      <c r="J2" s="436"/>
      <c r="K2" s="436"/>
      <c r="L2" s="436"/>
      <c r="M2" s="436"/>
      <c r="N2" s="436"/>
      <c r="O2" s="436"/>
      <c r="P2" s="436"/>
      <c r="Q2" s="436"/>
      <c r="R2" s="436"/>
    </row>
    <row r="3" spans="1:18" x14ac:dyDescent="0.25">
      <c r="A3" s="73"/>
    </row>
    <row r="34" spans="16:20" ht="15.75" x14ac:dyDescent="0.25">
      <c r="P34" s="316" t="s">
        <v>93</v>
      </c>
      <c r="Q34" s="316" t="s">
        <v>333</v>
      </c>
      <c r="R34" s="316" t="s">
        <v>334</v>
      </c>
    </row>
    <row r="35" spans="16:20" ht="15.75" x14ac:dyDescent="0.25">
      <c r="P35" s="316">
        <v>1990</v>
      </c>
      <c r="Q35" s="387">
        <v>20000000</v>
      </c>
      <c r="R35" s="317"/>
    </row>
    <row r="36" spans="16:20" ht="15.75" x14ac:dyDescent="0.25">
      <c r="P36" s="316">
        <f>År1</f>
        <v>2019</v>
      </c>
      <c r="Q36" s="388">
        <f>GETPIVOTDATA("Total",'CO2-pivot'!$A$1,"År",P36,"Sted2","CO2 - atmosfære")</f>
        <v>15057851.655114504</v>
      </c>
      <c r="R36" s="317">
        <f>1-Q36/$Q$35</f>
        <v>0.24710741724427487</v>
      </c>
    </row>
    <row r="37" spans="16:20" ht="15.75" x14ac:dyDescent="0.25">
      <c r="P37" s="316">
        <f>År2</f>
        <v>2030</v>
      </c>
      <c r="Q37" s="388">
        <f>GETPIVOTDATA("Total",'CO2-pivot'!$A$1,"År",P37,"Sted2","CO2 - atmosfære")</f>
        <v>8931240.6195746418</v>
      </c>
      <c r="R37" s="317">
        <f>1-Q37/$Q$35</f>
        <v>0.55343796902126785</v>
      </c>
      <c r="T37" s="385"/>
    </row>
    <row r="38" spans="16:20" ht="15.75" x14ac:dyDescent="0.25">
      <c r="P38" s="316">
        <f>År3</f>
        <v>2050</v>
      </c>
      <c r="Q38" s="388">
        <f>GETPIVOTDATA("Total",'CO2-pivot'!$A$1,"År",P38,"Sted2","CO2 - atmosfære")</f>
        <v>313238.09705260006</v>
      </c>
      <c r="R38" s="317">
        <f>1-Q38/$Q$35</f>
        <v>0.98433809514737003</v>
      </c>
    </row>
    <row r="123" spans="3:3" x14ac:dyDescent="0.25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335</v>
      </c>
    </row>
    <row r="2" spans="1:1" x14ac:dyDescent="0.25">
      <c r="A2" s="101">
        <v>2019</v>
      </c>
    </row>
    <row r="3" spans="1:1" x14ac:dyDescent="0.25">
      <c r="A3" s="346">
        <v>2030</v>
      </c>
    </row>
    <row r="4" spans="1:1" x14ac:dyDescent="0.25">
      <c r="A4" s="339">
        <v>2050</v>
      </c>
    </row>
    <row r="5" spans="1:1" x14ac:dyDescent="0.25">
      <c r="A5" s="329" t="s">
        <v>15</v>
      </c>
    </row>
    <row r="6" spans="1:1" x14ac:dyDescent="0.25">
      <c r="A6" s="347" t="s">
        <v>49</v>
      </c>
    </row>
    <row r="7" spans="1:1" x14ac:dyDescent="0.25">
      <c r="A7" s="345" t="s">
        <v>182</v>
      </c>
    </row>
    <row r="8" spans="1:1" x14ac:dyDescent="0.25">
      <c r="A8" s="340" t="s">
        <v>32</v>
      </c>
    </row>
    <row r="9" spans="1:1" x14ac:dyDescent="0.25">
      <c r="A9" s="327" t="s">
        <v>102</v>
      </c>
    </row>
    <row r="10" spans="1:1" x14ac:dyDescent="0.25">
      <c r="A10" s="348" t="s">
        <v>109</v>
      </c>
    </row>
    <row r="11" spans="1:1" x14ac:dyDescent="0.25">
      <c r="A11" s="341" t="s">
        <v>261</v>
      </c>
    </row>
    <row r="12" spans="1:1" x14ac:dyDescent="0.25">
      <c r="A12" s="349" t="s">
        <v>110</v>
      </c>
    </row>
    <row r="13" spans="1:1" x14ac:dyDescent="0.25">
      <c r="A13" s="327" t="s">
        <v>230</v>
      </c>
    </row>
    <row r="14" spans="1:1" x14ac:dyDescent="0.25">
      <c r="A14" s="350" t="s">
        <v>208</v>
      </c>
    </row>
    <row r="15" spans="1:1" x14ac:dyDescent="0.25">
      <c r="A15" s="332" t="s">
        <v>111</v>
      </c>
    </row>
    <row r="16" spans="1:1" x14ac:dyDescent="0.25">
      <c r="A16" s="351" t="s">
        <v>101</v>
      </c>
    </row>
    <row r="17" spans="1:1" x14ac:dyDescent="0.25">
      <c r="A17" s="352" t="s">
        <v>204</v>
      </c>
    </row>
    <row r="18" spans="1:1" x14ac:dyDescent="0.25">
      <c r="A18" s="353" t="s">
        <v>19</v>
      </c>
    </row>
    <row r="19" spans="1:1" x14ac:dyDescent="0.25">
      <c r="A19" s="97" t="s">
        <v>137</v>
      </c>
    </row>
    <row r="20" spans="1:1" x14ac:dyDescent="0.25">
      <c r="A20" s="369" t="s">
        <v>96</v>
      </c>
    </row>
    <row r="21" spans="1:1" x14ac:dyDescent="0.25">
      <c r="A21" s="383" t="s">
        <v>113</v>
      </c>
    </row>
    <row r="22" spans="1:1" x14ac:dyDescent="0.25">
      <c r="A22" s="384" t="s">
        <v>54</v>
      </c>
    </row>
    <row r="23" spans="1:1" x14ac:dyDescent="0.25">
      <c r="A23" s="326" t="s">
        <v>158</v>
      </c>
    </row>
    <row r="24" spans="1:1" x14ac:dyDescent="0.25">
      <c r="A24" s="342" t="s">
        <v>51</v>
      </c>
    </row>
    <row r="25" spans="1:1" x14ac:dyDescent="0.25">
      <c r="A25" s="342" t="s">
        <v>224</v>
      </c>
    </row>
    <row r="26" spans="1:1" x14ac:dyDescent="0.25">
      <c r="A26" s="330" t="s">
        <v>203</v>
      </c>
    </row>
    <row r="27" spans="1:1" x14ac:dyDescent="0.25">
      <c r="A27" s="381" t="s">
        <v>6</v>
      </c>
    </row>
    <row r="28" spans="1:1" x14ac:dyDescent="0.25">
      <c r="A28" s="325" t="s">
        <v>67</v>
      </c>
    </row>
    <row r="29" spans="1:1" x14ac:dyDescent="0.25">
      <c r="A29" s="325" t="s">
        <v>227</v>
      </c>
    </row>
    <row r="30" spans="1:1" x14ac:dyDescent="0.25">
      <c r="A30" s="331" t="s">
        <v>200</v>
      </c>
    </row>
    <row r="31" spans="1:1" x14ac:dyDescent="0.25">
      <c r="A31" s="324" t="s">
        <v>226</v>
      </c>
    </row>
    <row r="32" spans="1:1" x14ac:dyDescent="0.25">
      <c r="A32" s="382" t="s">
        <v>162</v>
      </c>
    </row>
    <row r="33" spans="1:1" x14ac:dyDescent="0.25">
      <c r="A33" s="333" t="s">
        <v>193</v>
      </c>
    </row>
    <row r="34" spans="1:1" x14ac:dyDescent="0.25">
      <c r="A34" s="328" t="s">
        <v>222</v>
      </c>
    </row>
    <row r="35" spans="1:1" x14ac:dyDescent="0.25">
      <c r="A35" s="337" t="s">
        <v>11</v>
      </c>
    </row>
    <row r="36" spans="1:1" x14ac:dyDescent="0.25">
      <c r="A36" s="368" t="s">
        <v>159</v>
      </c>
    </row>
    <row r="37" spans="1:1" x14ac:dyDescent="0.25">
      <c r="A37" s="322" t="s">
        <v>103</v>
      </c>
    </row>
    <row r="38" spans="1:1" x14ac:dyDescent="0.25">
      <c r="A38" s="377" t="s">
        <v>56</v>
      </c>
    </row>
    <row r="39" spans="1:1" x14ac:dyDescent="0.25">
      <c r="A39" s="378" t="s">
        <v>12</v>
      </c>
    </row>
    <row r="40" spans="1:1" x14ac:dyDescent="0.25">
      <c r="A40" s="379" t="s">
        <v>48</v>
      </c>
    </row>
    <row r="41" spans="1:1" x14ac:dyDescent="0.25">
      <c r="A41" s="356" t="s">
        <v>115</v>
      </c>
    </row>
    <row r="42" spans="1:1" x14ac:dyDescent="0.25">
      <c r="A42" s="354" t="s">
        <v>136</v>
      </c>
    </row>
    <row r="43" spans="1:1" x14ac:dyDescent="0.25">
      <c r="A43" s="339" t="s">
        <v>9</v>
      </c>
    </row>
    <row r="44" spans="1:1" x14ac:dyDescent="0.25">
      <c r="A44" s="380" t="s">
        <v>108</v>
      </c>
    </row>
    <row r="45" spans="1:1" x14ac:dyDescent="0.25">
      <c r="A45" s="376" t="s">
        <v>53</v>
      </c>
    </row>
    <row r="46" spans="1:1" x14ac:dyDescent="0.25">
      <c r="A46" s="339" t="s">
        <v>194</v>
      </c>
    </row>
    <row r="47" spans="1:1" x14ac:dyDescent="0.25">
      <c r="A47" s="375" t="s">
        <v>116</v>
      </c>
    </row>
    <row r="48" spans="1:1" x14ac:dyDescent="0.25">
      <c r="A48" s="374" t="s">
        <v>106</v>
      </c>
    </row>
    <row r="49" spans="1:1" x14ac:dyDescent="0.25">
      <c r="A49" s="338" t="s">
        <v>33</v>
      </c>
    </row>
    <row r="50" spans="1:1" x14ac:dyDescent="0.25">
      <c r="A50" s="370" t="s">
        <v>14</v>
      </c>
    </row>
    <row r="51" spans="1:1" x14ac:dyDescent="0.25">
      <c r="A51" s="371" t="s">
        <v>55</v>
      </c>
    </row>
    <row r="52" spans="1:1" x14ac:dyDescent="0.25">
      <c r="A52" s="372" t="s">
        <v>38</v>
      </c>
    </row>
    <row r="53" spans="1:1" x14ac:dyDescent="0.25">
      <c r="A53" s="373" t="s">
        <v>95</v>
      </c>
    </row>
    <row r="54" spans="1:1" x14ac:dyDescent="0.25">
      <c r="A54" s="321" t="s">
        <v>306</v>
      </c>
    </row>
    <row r="55" spans="1:1" x14ac:dyDescent="0.25">
      <c r="A55" s="356" t="s">
        <v>307</v>
      </c>
    </row>
    <row r="56" spans="1:1" x14ac:dyDescent="0.25">
      <c r="A56" s="336" t="s">
        <v>310</v>
      </c>
    </row>
    <row r="57" spans="1:1" x14ac:dyDescent="0.25">
      <c r="A57" s="321" t="s">
        <v>312</v>
      </c>
    </row>
    <row r="58" spans="1:1" x14ac:dyDescent="0.25">
      <c r="A58" s="357" t="s">
        <v>117</v>
      </c>
    </row>
    <row r="59" spans="1:1" x14ac:dyDescent="0.25">
      <c r="A59" s="359" t="s">
        <v>50</v>
      </c>
    </row>
    <row r="60" spans="1:1" x14ac:dyDescent="0.25">
      <c r="A60" s="360" t="s">
        <v>238</v>
      </c>
    </row>
    <row r="61" spans="1:1" x14ac:dyDescent="0.25">
      <c r="A61" s="361" t="s">
        <v>231</v>
      </c>
    </row>
    <row r="62" spans="1:1" x14ac:dyDescent="0.25">
      <c r="A62" s="362" t="s">
        <v>52</v>
      </c>
    </row>
    <row r="63" spans="1:1" x14ac:dyDescent="0.25">
      <c r="A63" s="334" t="s">
        <v>10</v>
      </c>
    </row>
    <row r="64" spans="1:1" x14ac:dyDescent="0.25">
      <c r="A64" s="100" t="s">
        <v>176</v>
      </c>
    </row>
    <row r="65" spans="1:8" x14ac:dyDescent="0.25">
      <c r="A65" s="344" t="s">
        <v>177</v>
      </c>
    </row>
    <row r="66" spans="1:8" x14ac:dyDescent="0.25">
      <c r="A66" s="339" t="s">
        <v>178</v>
      </c>
    </row>
    <row r="67" spans="1:8" x14ac:dyDescent="0.25">
      <c r="A67" s="334" t="s">
        <v>179</v>
      </c>
    </row>
    <row r="68" spans="1:8" x14ac:dyDescent="0.25">
      <c r="A68" s="338" t="s">
        <v>180</v>
      </c>
    </row>
    <row r="69" spans="1:8" x14ac:dyDescent="0.25">
      <c r="A69" s="363" t="s">
        <v>121</v>
      </c>
    </row>
    <row r="70" spans="1:8" x14ac:dyDescent="0.25">
      <c r="A70" s="364" t="s">
        <v>107</v>
      </c>
    </row>
    <row r="71" spans="1:8" x14ac:dyDescent="0.25">
      <c r="A71" s="365" t="s">
        <v>140</v>
      </c>
    </row>
    <row r="72" spans="1:8" x14ac:dyDescent="0.25">
      <c r="A72" s="355" t="s">
        <v>135</v>
      </c>
    </row>
    <row r="73" spans="1:8" x14ac:dyDescent="0.25">
      <c r="A73" s="366" t="s">
        <v>13</v>
      </c>
    </row>
    <row r="74" spans="1:8" x14ac:dyDescent="0.25">
      <c r="A74" s="358" t="s">
        <v>99</v>
      </c>
      <c r="H74" s="343" t="s">
        <v>104</v>
      </c>
    </row>
    <row r="75" spans="1:8" x14ac:dyDescent="0.25">
      <c r="A75" s="367" t="s">
        <v>119</v>
      </c>
    </row>
    <row r="76" spans="1:8" x14ac:dyDescent="0.25">
      <c r="A76" s="323" t="s">
        <v>118</v>
      </c>
    </row>
    <row r="77" spans="1:8" x14ac:dyDescent="0.25">
      <c r="A77" s="335" t="s">
        <v>332</v>
      </c>
    </row>
    <row r="78" spans="1:8" x14ac:dyDescent="0.25">
      <c r="A78" s="32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topLeftCell="C1" zoomScale="70" zoomScaleNormal="70" workbookViewId="0">
      <selection activeCell="D3" sqref="D3:D4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13.140625" style="1" bestFit="1" customWidth="1"/>
    <col min="13" max="13" width="12.85546875" style="1" customWidth="1"/>
    <col min="14" max="15" width="13.140625" style="1" bestFit="1" customWidth="1"/>
    <col min="16" max="16" width="13.140625" style="1" customWidth="1"/>
    <col min="17" max="18" width="13.140625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05" t="s">
        <v>271</v>
      </c>
      <c r="B1" s="73" t="s">
        <v>297</v>
      </c>
    </row>
    <row r="2" spans="1:22" ht="42.95" customHeight="1" x14ac:dyDescent="0.25">
      <c r="A2" s="200" t="s">
        <v>281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304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/>
      <c r="C3" s="9">
        <f>D3/($D$2-2023)*($C$2-2023)</f>
        <v>20282.370370370369</v>
      </c>
      <c r="D3" s="21">
        <f>L6</f>
        <v>78232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/>
      <c r="C4" s="9">
        <f>D4/($D$2-2023)*($C$2-2023)</f>
        <v>23791.703703703704</v>
      </c>
      <c r="D4" s="21">
        <f>170000-D3</f>
        <v>91768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25">
      <c r="A5" s="2" t="s">
        <v>36</v>
      </c>
      <c r="B5" s="196"/>
      <c r="C5" s="9">
        <v>125000</v>
      </c>
      <c r="D5" s="9">
        <v>250000</v>
      </c>
      <c r="E5" s="9" t="s">
        <v>267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0">SUM(J25,J35)</f>
        <v>592120</v>
      </c>
      <c r="K5" s="16">
        <f t="shared" si="0"/>
        <v>0</v>
      </c>
      <c r="L5" s="16">
        <f t="shared" si="0"/>
        <v>0</v>
      </c>
      <c r="M5" s="17">
        <f t="shared" si="0"/>
        <v>592120</v>
      </c>
      <c r="N5" s="17">
        <f t="shared" si="0"/>
        <v>0</v>
      </c>
      <c r="O5" s="17">
        <f t="shared" si="0"/>
        <v>0</v>
      </c>
      <c r="P5" s="17">
        <f t="shared" si="0"/>
        <v>592120</v>
      </c>
      <c r="Q5" s="17">
        <f t="shared" si="0"/>
        <v>0</v>
      </c>
      <c r="R5" s="17">
        <f t="shared" si="0"/>
        <v>0</v>
      </c>
      <c r="T5" s="14">
        <f>SUMIFS($J5:$R5,$J$3:$R$3,T$3)/4293300</f>
        <v>0.13791721985419142</v>
      </c>
      <c r="U5" s="14">
        <f t="shared" ref="U5:V9" si="1">SUMIFS($J5:$R5,$J$3:$R$3,U$3)/4293300</f>
        <v>0.13791721985419142</v>
      </c>
      <c r="V5" s="14">
        <f t="shared" si="1"/>
        <v>0.13791721985419142</v>
      </c>
    </row>
    <row r="6" spans="1:22" x14ac:dyDescent="0.25">
      <c r="A6" s="2" t="s">
        <v>391</v>
      </c>
      <c r="B6" s="2"/>
      <c r="C6" s="9">
        <f>D6/($D$2-2023)*($C$2-2023)</f>
        <v>51851.851851851854</v>
      </c>
      <c r="D6" s="9">
        <v>200000</v>
      </c>
      <c r="E6" s="9" t="s">
        <v>267</v>
      </c>
      <c r="F6" s="104" t="s">
        <v>9</v>
      </c>
      <c r="G6" s="104" t="s">
        <v>33</v>
      </c>
      <c r="I6" s="25" t="str">
        <f>Afgrøder</f>
        <v>Landbrugsafgrøder</v>
      </c>
      <c r="J6" s="16">
        <f t="shared" ref="J6:R6" si="2">SUM(J26,J36)</f>
        <v>2399936</v>
      </c>
      <c r="K6" s="16">
        <f t="shared" si="2"/>
        <v>100502</v>
      </c>
      <c r="L6" s="16">
        <f t="shared" si="2"/>
        <v>78232</v>
      </c>
      <c r="M6" s="17">
        <f t="shared" si="2"/>
        <v>2223084.1481481479</v>
      </c>
      <c r="N6" s="17">
        <f t="shared" si="2"/>
        <v>76710.296296296292</v>
      </c>
      <c r="O6" s="17">
        <f t="shared" si="2"/>
        <v>57949.62962962962</v>
      </c>
      <c r="P6" s="17">
        <f t="shared" si="2"/>
        <v>1949936</v>
      </c>
      <c r="Q6" s="17">
        <f t="shared" si="2"/>
        <v>8733.9999999999964</v>
      </c>
      <c r="R6" s="17">
        <f t="shared" si="2"/>
        <v>0</v>
      </c>
      <c r="T6" s="14">
        <f>SUMIFS($J6:$R6,$J$3:$R$3,T$3)/4293300</f>
        <v>0.60062655765960915</v>
      </c>
      <c r="U6" s="14">
        <f t="shared" si="1"/>
        <v>0.54916825613725428</v>
      </c>
      <c r="V6" s="14">
        <f t="shared" si="1"/>
        <v>0.45621549856753546</v>
      </c>
    </row>
    <row r="7" spans="1:22" x14ac:dyDescent="0.25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3">SUM(J27,J37)</f>
        <v>562410</v>
      </c>
      <c r="K7" s="16">
        <f t="shared" si="3"/>
        <v>0</v>
      </c>
      <c r="L7" s="16">
        <f t="shared" si="3"/>
        <v>0</v>
      </c>
      <c r="M7" s="17">
        <f t="shared" si="3"/>
        <v>687410</v>
      </c>
      <c r="N7" s="17">
        <f t="shared" si="3"/>
        <v>0</v>
      </c>
      <c r="O7" s="17">
        <f t="shared" si="3"/>
        <v>0</v>
      </c>
      <c r="P7" s="17">
        <f t="shared" si="3"/>
        <v>812410</v>
      </c>
      <c r="Q7" s="17">
        <f t="shared" si="3"/>
        <v>0</v>
      </c>
      <c r="R7" s="17">
        <f t="shared" si="3"/>
        <v>0</v>
      </c>
      <c r="T7" s="14">
        <f>SUMIFS($J7:$R7,$J$3:$R$3,T$3)/4293300</f>
        <v>0.13099713507092448</v>
      </c>
      <c r="U7" s="14">
        <f t="shared" si="1"/>
        <v>0.16011226795239095</v>
      </c>
      <c r="V7" s="14">
        <f t="shared" si="1"/>
        <v>0.18922740083385742</v>
      </c>
    </row>
    <row r="8" spans="1:22" x14ac:dyDescent="0.25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4">SUM(J28,J38)</f>
        <v>393324.00000000006</v>
      </c>
      <c r="K8" s="16">
        <f t="shared" si="4"/>
        <v>61498</v>
      </c>
      <c r="L8" s="16">
        <f t="shared" si="4"/>
        <v>50768</v>
      </c>
      <c r="M8" s="17">
        <f t="shared" si="4"/>
        <v>445175.85185185191</v>
      </c>
      <c r="N8" s="17">
        <f t="shared" si="4"/>
        <v>85289.703703703708</v>
      </c>
      <c r="O8" s="17">
        <f t="shared" si="4"/>
        <v>71050.370370370365</v>
      </c>
      <c r="P8" s="17">
        <f t="shared" si="4"/>
        <v>593324.00000000012</v>
      </c>
      <c r="Q8" s="17">
        <f t="shared" si="4"/>
        <v>153266</v>
      </c>
      <c r="R8" s="17">
        <f t="shared" si="4"/>
        <v>128999.99999999999</v>
      </c>
      <c r="T8" s="14">
        <f>SUMIFS($J8:$R8,$J$3:$R$3,T$3)/4293300</f>
        <v>0.11776256026832507</v>
      </c>
      <c r="U8" s="14">
        <f t="shared" si="1"/>
        <v>0.14010572890921341</v>
      </c>
      <c r="V8" s="14">
        <f t="shared" si="1"/>
        <v>0.20394335359746585</v>
      </c>
    </row>
    <row r="9" spans="1:22" ht="15.75" thickBot="1" x14ac:dyDescent="0.3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5">SUM(J29,J39)</f>
        <v>66640</v>
      </c>
      <c r="K9" s="18">
        <f t="shared" si="5"/>
        <v>0</v>
      </c>
      <c r="L9" s="18">
        <f t="shared" si="5"/>
        <v>0</v>
      </c>
      <c r="M9" s="88">
        <f t="shared" si="5"/>
        <v>66640</v>
      </c>
      <c r="N9" s="88">
        <f t="shared" si="5"/>
        <v>0</v>
      </c>
      <c r="O9" s="88">
        <f t="shared" si="5"/>
        <v>0</v>
      </c>
      <c r="P9" s="88">
        <f t="shared" si="5"/>
        <v>66640</v>
      </c>
      <c r="Q9" s="88">
        <f t="shared" si="5"/>
        <v>0</v>
      </c>
      <c r="R9" s="88">
        <f t="shared" si="5"/>
        <v>0</v>
      </c>
      <c r="T9" s="14">
        <f>SUMIFS($J9:$R9,$J$3:$R$3,T$3)/4293300</f>
        <v>1.5521859641767406E-2</v>
      </c>
      <c r="U9" s="14">
        <f t="shared" si="1"/>
        <v>1.5521859641767406E-2</v>
      </c>
      <c r="V9" s="14">
        <f t="shared" si="1"/>
        <v>1.5521859641767406E-2</v>
      </c>
    </row>
    <row r="10" spans="1:22" x14ac:dyDescent="0.25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6">SUM(J5:J9)</f>
        <v>4014430</v>
      </c>
      <c r="K10" s="19">
        <f t="shared" si="6"/>
        <v>162000</v>
      </c>
      <c r="L10" s="19">
        <f t="shared" si="6"/>
        <v>129000</v>
      </c>
      <c r="M10" s="20">
        <f t="shared" si="6"/>
        <v>4014430</v>
      </c>
      <c r="N10" s="20">
        <f t="shared" si="6"/>
        <v>162000</v>
      </c>
      <c r="O10" s="20">
        <f t="shared" si="6"/>
        <v>128999.99999999999</v>
      </c>
      <c r="P10" s="20">
        <f t="shared" si="6"/>
        <v>4014430</v>
      </c>
      <c r="Q10" s="20">
        <f t="shared" si="6"/>
        <v>162000</v>
      </c>
      <c r="R10" s="20">
        <f t="shared" si="6"/>
        <v>128999.99999999999</v>
      </c>
    </row>
    <row r="11" spans="1:22" x14ac:dyDescent="0.25">
      <c r="A11" s="2"/>
      <c r="B11" s="2"/>
      <c r="C11" s="9"/>
      <c r="D11" s="9"/>
      <c r="E11" s="9"/>
      <c r="F11" s="104"/>
      <c r="G11" s="104"/>
    </row>
    <row r="12" spans="1:22" x14ac:dyDescent="0.25">
      <c r="A12" s="2"/>
      <c r="B12" s="2"/>
      <c r="C12" s="9"/>
      <c r="D12" s="9"/>
      <c r="E12" s="9"/>
      <c r="F12" s="104"/>
      <c r="G12" s="104"/>
    </row>
    <row r="13" spans="1:22" x14ac:dyDescent="0.25">
      <c r="A13" s="2"/>
      <c r="B13" s="2"/>
      <c r="C13" s="9"/>
      <c r="D13" s="9"/>
      <c r="E13" s="9"/>
      <c r="F13" s="104"/>
      <c r="G13" s="104"/>
    </row>
    <row r="14" spans="1:22" x14ac:dyDescent="0.25">
      <c r="A14" s="2"/>
      <c r="B14" s="2"/>
      <c r="C14" s="9"/>
      <c r="D14" s="9"/>
      <c r="E14" s="9"/>
      <c r="F14" s="104"/>
      <c r="G14" s="104"/>
      <c r="T14" s="389">
        <f>4293300*0.25</f>
        <v>1073325</v>
      </c>
    </row>
    <row r="15" spans="1:22" x14ac:dyDescent="0.25">
      <c r="A15" s="2"/>
      <c r="B15" s="2"/>
      <c r="C15" s="9"/>
      <c r="D15" s="9"/>
      <c r="E15" s="9"/>
      <c r="F15" s="104"/>
      <c r="G15" s="104"/>
    </row>
    <row r="16" spans="1:22" x14ac:dyDescent="0.25">
      <c r="A16" s="2"/>
      <c r="B16" s="2"/>
      <c r="C16" s="9"/>
      <c r="D16" s="9"/>
      <c r="E16" s="9"/>
      <c r="F16" s="104"/>
      <c r="G16" s="104"/>
    </row>
    <row r="17" spans="1:18" x14ac:dyDescent="0.25">
      <c r="A17" s="2"/>
      <c r="B17" s="2"/>
      <c r="C17" s="9"/>
      <c r="D17" s="9"/>
      <c r="E17" s="9"/>
      <c r="F17" s="104"/>
      <c r="G17" s="104"/>
    </row>
    <row r="18" spans="1:18" x14ac:dyDescent="0.25">
      <c r="D18" s="14"/>
      <c r="E18" s="14"/>
      <c r="F18" s="14"/>
      <c r="G18" s="14"/>
    </row>
    <row r="19" spans="1:18" x14ac:dyDescent="0.25">
      <c r="D19" s="14"/>
      <c r="E19" s="14"/>
      <c r="F19" s="14"/>
      <c r="G19" s="14"/>
    </row>
    <row r="20" spans="1:18" x14ac:dyDescent="0.25">
      <c r="D20" s="14"/>
      <c r="E20" s="14"/>
      <c r="F20" s="14"/>
      <c r="G20" s="14"/>
    </row>
    <row r="21" spans="1:18" hidden="1" x14ac:dyDescent="0.25">
      <c r="D21" s="14"/>
      <c r="E21" s="14"/>
      <c r="F21" s="14"/>
      <c r="G21" s="14"/>
    </row>
    <row r="22" spans="1:18" hidden="1" x14ac:dyDescent="0.25">
      <c r="D22" s="14"/>
      <c r="E22" s="14"/>
      <c r="F22" s="14"/>
      <c r="G22" s="14"/>
      <c r="I22" s="233"/>
      <c r="J22" s="234" t="s">
        <v>298</v>
      </c>
      <c r="K22" s="234"/>
      <c r="L22" s="234"/>
      <c r="M22" s="234"/>
      <c r="N22" s="234"/>
      <c r="O22" s="234"/>
      <c r="P22" s="234"/>
      <c r="Q22" s="233"/>
      <c r="R22" s="233"/>
    </row>
    <row r="23" spans="1:18" hidden="1" x14ac:dyDescent="0.25">
      <c r="D23" s="14"/>
      <c r="E23" s="14"/>
      <c r="F23" s="14"/>
      <c r="G23" s="14"/>
      <c r="I23" s="235" t="s">
        <v>175</v>
      </c>
      <c r="J23" s="236">
        <f>År1</f>
        <v>2019</v>
      </c>
      <c r="K23" s="236">
        <f>År1</f>
        <v>2019</v>
      </c>
      <c r="L23" s="236">
        <f>År1</f>
        <v>2019</v>
      </c>
      <c r="M23" s="236">
        <f>År2</f>
        <v>2030</v>
      </c>
      <c r="N23" s="236">
        <f>År2</f>
        <v>2030</v>
      </c>
      <c r="O23" s="236">
        <f>År2</f>
        <v>2030</v>
      </c>
      <c r="P23" s="236">
        <f>År3</f>
        <v>2050</v>
      </c>
      <c r="Q23" s="236">
        <f>År3</f>
        <v>2050</v>
      </c>
      <c r="R23" s="236">
        <f>År3</f>
        <v>2050</v>
      </c>
    </row>
    <row r="24" spans="1:18" hidden="1" x14ac:dyDescent="0.25">
      <c r="D24" s="14"/>
      <c r="E24" s="14"/>
      <c r="F24" s="14"/>
      <c r="G24" s="14"/>
      <c r="I24" s="235"/>
      <c r="J24" s="236" t="str">
        <f>Jordbund1</f>
        <v>JB1-10</v>
      </c>
      <c r="K24" s="236" t="str">
        <f>Organ6</f>
        <v>OC6</v>
      </c>
      <c r="L24" s="236" t="str">
        <f>Organ12</f>
        <v>OC12</v>
      </c>
      <c r="M24" s="236" t="str">
        <f>Jordbund1</f>
        <v>JB1-10</v>
      </c>
      <c r="N24" s="236" t="str">
        <f>Organ6</f>
        <v>OC6</v>
      </c>
      <c r="O24" s="236" t="str">
        <f>Organ12</f>
        <v>OC12</v>
      </c>
      <c r="P24" s="236" t="str">
        <f>Jordbund1</f>
        <v>JB1-10</v>
      </c>
      <c r="Q24" s="236" t="str">
        <f>Organ6</f>
        <v>OC6</v>
      </c>
      <c r="R24" s="236" t="str">
        <f>Organ12</f>
        <v>OC12</v>
      </c>
    </row>
    <row r="25" spans="1:18" hidden="1" x14ac:dyDescent="0.25">
      <c r="D25" s="14"/>
      <c r="E25" s="14"/>
      <c r="F25" s="14"/>
      <c r="G25" s="14"/>
      <c r="I25" s="237" t="str">
        <f>Bebyg</f>
        <v>Bebyggelse &amp; infrastruktur</v>
      </c>
      <c r="J25" s="243">
        <f>SUMIF([1]Arealanvendelse!$B$15:$B$22,I25,[1]Arealanvendelse!$D$15:$D$22)-SUM(K25:L25)</f>
        <v>413346.96815611009</v>
      </c>
      <c r="K25" s="243"/>
      <c r="L25" s="243"/>
      <c r="M25" s="246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6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6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6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6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6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4"/>
      <c r="E26" s="14"/>
      <c r="F26" s="14"/>
      <c r="G26" s="14"/>
      <c r="I26" s="237" t="str">
        <f>Afgrøder</f>
        <v>Landbrugsafgrøder</v>
      </c>
      <c r="J26" s="243">
        <f>SUMIF([1]Arealanvendelse!$B$15:$B$22,I26,[1]Arealanvendelse!$D$15:$D$22)-SUM(K26:L26)</f>
        <v>1853876.1391137983</v>
      </c>
      <c r="K26" s="243">
        <f>[1]Jordbundstypefordeling!$D$16*[1]Jordbundstypefordeling!$F$4</f>
        <v>87250.625185185185</v>
      </c>
      <c r="L26" s="243">
        <f>[1]Jordbundstypefordeling!$D$15*[1]Jordbundstypefordeling!$F$4</f>
        <v>67916.965925925921</v>
      </c>
      <c r="M26" s="246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1700342.5314320424</v>
      </c>
      <c r="N26" s="246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66595.901673525368</v>
      </c>
      <c r="O26" s="246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50308.863648834013</v>
      </c>
      <c r="P26" s="246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1463209.4724471318</v>
      </c>
      <c r="Q26" s="246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7582.4059259259229</v>
      </c>
      <c r="R26" s="246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4"/>
      <c r="E27" s="14"/>
      <c r="F27" s="14"/>
      <c r="G27" s="14"/>
      <c r="I27" s="237" t="str">
        <f>SkovAreal</f>
        <v>Skov</v>
      </c>
      <c r="J27" s="243">
        <f>SUMIF([1]Arealanvendelse!$B$15:$B$22,I27,[1]Arealanvendelse!$D$15:$D$22)-SUM(K27:L27)</f>
        <v>435064.52162306459</v>
      </c>
      <c r="K27" s="243"/>
      <c r="L27" s="243"/>
      <c r="M27" s="246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543583.04014158307</v>
      </c>
      <c r="N27" s="246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6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6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6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6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4"/>
      <c r="E28" s="14"/>
      <c r="F28" s="14"/>
      <c r="G28" s="14"/>
      <c r="I28" s="237" t="str">
        <f>NaturAreal</f>
        <v>Natur</v>
      </c>
      <c r="J28" s="243">
        <f>SUMIF([1]Arealanvendelse!$B$15:$B$22,I28,[1]Arealanvendelse!$D$15:$D$22)-SUM(K28:L28)</f>
        <v>317835.5825103767</v>
      </c>
      <c r="K28" s="243">
        <f>([1]Jordbundstypefordeling!$E$16-[1]Jordbundstypefordeling!$D$16)*SUM([1]Jordbundstypefordeling!$D$3:$D$5)</f>
        <v>53389.374814814815</v>
      </c>
      <c r="L28" s="243">
        <f>([1]Jordbundstypefordeling!$E$15-[1]Jordbundstypefordeling!$D$15)*SUM([1]Jordbundstypefordeling!D3:D5)</f>
        <v>44074.145185185182</v>
      </c>
      <c r="M28" s="246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362850.67167361401</v>
      </c>
      <c r="N28" s="246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74044.098326474632</v>
      </c>
      <c r="O28" s="246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61682.247462277082</v>
      </c>
      <c r="P28" s="246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491465.21214000636</v>
      </c>
      <c r="Q28" s="246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133057.59407407406</v>
      </c>
      <c r="R28" s="246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111991.11111111109</v>
      </c>
    </row>
    <row r="29" spans="1:18" ht="15.75" hidden="1" thickBot="1" x14ac:dyDescent="0.3">
      <c r="D29" s="14"/>
      <c r="E29" s="14"/>
      <c r="F29" s="14"/>
      <c r="G29" s="14"/>
      <c r="I29" s="238" t="str">
        <f>IKareal</f>
        <v>Ikke klassificeret</v>
      </c>
      <c r="J29" s="244">
        <f>SUMIF([1]Arealanvendelse!$B$15:$B$22,I29,[1]Arealanvendelse!$D$15:$D$22)-SUM(K29:L29)</f>
        <v>47192.371697540235</v>
      </c>
      <c r="K29" s="244"/>
      <c r="L29" s="244"/>
      <c r="M29" s="247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7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7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7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7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7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39" t="s">
        <v>30</v>
      </c>
      <c r="J30" s="245">
        <f t="shared" ref="J30:R30" si="7">SUM(J25:J29)</f>
        <v>3067315.5831008903</v>
      </c>
      <c r="K30" s="245">
        <f t="shared" si="7"/>
        <v>140640</v>
      </c>
      <c r="L30" s="245">
        <f t="shared" si="7"/>
        <v>111991.11111111109</v>
      </c>
      <c r="M30" s="248">
        <f t="shared" si="7"/>
        <v>3067315.5831008898</v>
      </c>
      <c r="N30" s="248">
        <f t="shared" si="7"/>
        <v>140640</v>
      </c>
      <c r="O30" s="248">
        <f t="shared" si="7"/>
        <v>111991.11111111109</v>
      </c>
      <c r="P30" s="248">
        <f t="shared" si="7"/>
        <v>3067315.5831008903</v>
      </c>
      <c r="Q30" s="248">
        <f t="shared" si="7"/>
        <v>140640</v>
      </c>
      <c r="R30" s="248">
        <f t="shared" si="7"/>
        <v>111991.11111111109</v>
      </c>
    </row>
    <row r="31" spans="1:18" hidden="1" x14ac:dyDescent="0.25">
      <c r="I31" s="240"/>
      <c r="J31" s="241"/>
      <c r="K31" s="241"/>
      <c r="L31" s="241"/>
      <c r="M31" s="242"/>
      <c r="N31" s="241"/>
      <c r="O31" s="241"/>
      <c r="P31" s="241"/>
      <c r="Q31" s="241"/>
      <c r="R31" s="241"/>
    </row>
    <row r="32" spans="1:18" hidden="1" x14ac:dyDescent="0.25">
      <c r="I32" s="240"/>
      <c r="J32" s="234" t="s">
        <v>299</v>
      </c>
      <c r="K32" s="234"/>
      <c r="L32" s="234"/>
      <c r="M32" s="234"/>
      <c r="N32" s="234"/>
      <c r="O32" s="234"/>
      <c r="P32" s="234"/>
      <c r="Q32" s="234"/>
      <c r="R32" s="234"/>
    </row>
    <row r="33" spans="9:18" hidden="1" x14ac:dyDescent="0.25">
      <c r="I33" s="235" t="s">
        <v>175</v>
      </c>
      <c r="J33" s="236">
        <f>År1</f>
        <v>2019</v>
      </c>
      <c r="K33" s="236">
        <f>År1</f>
        <v>2019</v>
      </c>
      <c r="L33" s="236">
        <f>År1</f>
        <v>2019</v>
      </c>
      <c r="M33" s="236">
        <v>2030</v>
      </c>
      <c r="N33" s="236">
        <v>2030</v>
      </c>
      <c r="O33" s="236">
        <v>2030</v>
      </c>
      <c r="P33" s="236">
        <f>År3</f>
        <v>2050</v>
      </c>
      <c r="Q33" s="236">
        <f>År3</f>
        <v>2050</v>
      </c>
      <c r="R33" s="236">
        <f>År3</f>
        <v>2050</v>
      </c>
    </row>
    <row r="34" spans="9:18" hidden="1" x14ac:dyDescent="0.25">
      <c r="I34" s="235"/>
      <c r="J34" s="236" t="str">
        <f>Jordbund1</f>
        <v>JB1-10</v>
      </c>
      <c r="K34" s="236" t="str">
        <f>Organ6</f>
        <v>OC6</v>
      </c>
      <c r="L34" s="236" t="str">
        <f>Organ12</f>
        <v>OC12</v>
      </c>
      <c r="M34" s="236" t="str">
        <f>Jordbund1</f>
        <v>JB1-10</v>
      </c>
      <c r="N34" s="236" t="str">
        <f>Organ6</f>
        <v>OC6</v>
      </c>
      <c r="O34" s="236" t="str">
        <f>Organ12</f>
        <v>OC12</v>
      </c>
      <c r="P34" s="236" t="str">
        <f>Jordbund1</f>
        <v>JB1-10</v>
      </c>
      <c r="Q34" s="236" t="str">
        <f>Organ6</f>
        <v>OC6</v>
      </c>
      <c r="R34" s="236" t="str">
        <f>Organ12</f>
        <v>OC12</v>
      </c>
    </row>
    <row r="35" spans="9:18" hidden="1" x14ac:dyDescent="0.25">
      <c r="I35" s="237" t="str">
        <f>Bebyg</f>
        <v>Bebyggelse &amp; infrastruktur</v>
      </c>
      <c r="J35" s="243">
        <f>SUMIF([1]Arealanvendelse!$B$15:$B$22,I35,[1]Arealanvendelse!$E$15:$E$22)-SUM(K35:L35)</f>
        <v>178773.03184388991</v>
      </c>
      <c r="K35" s="243"/>
      <c r="L35" s="243"/>
      <c r="M35" s="246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6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6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6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6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6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37" t="str">
        <f>Afgrøder</f>
        <v>Landbrugsafgrøder</v>
      </c>
      <c r="J36" s="243">
        <f>SUMIF([1]Arealanvendelse!$B$15:$B$22,I36,[1]Arealanvendelse!$E$15:$E$22)-SUM(K36:L36)</f>
        <v>546059.8608862015</v>
      </c>
      <c r="K36" s="243">
        <f>[1]Jordbundstypefordeling!$D$16*[1]Jordbundstypefordeling!$G$4</f>
        <v>13251.374814814815</v>
      </c>
      <c r="L36" s="243">
        <f>[1]Jordbundstypefordeling!$D$15*[1]Jordbundstypefordeling!$G$4</f>
        <v>10315.034074074074</v>
      </c>
      <c r="M36" s="246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522741.61671610549</v>
      </c>
      <c r="N36" s="246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10114.39462277092</v>
      </c>
      <c r="O36" s="246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7640.7659807956097</v>
      </c>
      <c r="P36" s="246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486726.52755286818</v>
      </c>
      <c r="Q36" s="246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1151.5940740740734</v>
      </c>
      <c r="R36" s="246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37" t="str">
        <f>SkovAreal</f>
        <v>Skov</v>
      </c>
      <c r="J37" s="243">
        <f>SUMIF([1]Arealanvendelse!$B$15:$B$22,I37,[1]Arealanvendelse!$E$15:$E$22)-SUM(K37:L37)</f>
        <v>127345.4783769354</v>
      </c>
      <c r="K37" s="243"/>
      <c r="L37" s="243"/>
      <c r="M37" s="246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143826.95985841687</v>
      </c>
      <c r="N37" s="246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6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6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6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6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37" t="str">
        <f>NaturAreal</f>
        <v>Natur</v>
      </c>
      <c r="J38" s="243">
        <f>SUMIF([1]Arealanvendelse!$B$15:$B$22,I38,[1]Arealanvendelse!$E$15:$E$22)-SUM(K38:L38)</f>
        <v>75488.417489623345</v>
      </c>
      <c r="K38" s="243">
        <f>([1]Jordbundstypefordeling!$E$16-[1]Jordbundstypefordeling!$D$16)*[1]Jordbundstypefordeling!$G$4</f>
        <v>8108.6251851851857</v>
      </c>
      <c r="L38" s="243">
        <f>([1]Jordbundstypefordeling!$E$15-[1]Jordbundstypefordeling!$D$15)*[1]Jordbundstypefordeling!$G$4</f>
        <v>6693.8548148148147</v>
      </c>
      <c r="M38" s="246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82325.18017823789</v>
      </c>
      <c r="N38" s="246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11245.605377229082</v>
      </c>
      <c r="O38" s="246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9368.122908093279</v>
      </c>
      <c r="P38" s="246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101858.78785999372</v>
      </c>
      <c r="Q38" s="246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20208.405925925927</v>
      </c>
      <c r="R38" s="246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17008.888888888891</v>
      </c>
    </row>
    <row r="39" spans="9:18" ht="15.75" hidden="1" thickBot="1" x14ac:dyDescent="0.3">
      <c r="I39" s="238" t="str">
        <f>IKareal</f>
        <v>Ikke klassificeret</v>
      </c>
      <c r="J39" s="244">
        <f>SUMIF([1]Arealanvendelse!$B$15:$B$22,I39,[1]Arealanvendelse!$E$15:$E$22)-SUM(K39:L39)</f>
        <v>19447.628302459765</v>
      </c>
      <c r="K39" s="244"/>
      <c r="L39" s="244"/>
      <c r="M39" s="247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7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7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7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7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7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39" t="s">
        <v>30</v>
      </c>
      <c r="J40" s="245">
        <f t="shared" ref="J40:R40" si="8">SUM(J35:J39)</f>
        <v>947114.41689910984</v>
      </c>
      <c r="K40" s="245">
        <f t="shared" si="8"/>
        <v>21360</v>
      </c>
      <c r="L40" s="245">
        <f t="shared" si="8"/>
        <v>17008.888888888891</v>
      </c>
      <c r="M40" s="248">
        <f t="shared" si="8"/>
        <v>947114.41689910984</v>
      </c>
      <c r="N40" s="248">
        <f t="shared" si="8"/>
        <v>21360</v>
      </c>
      <c r="O40" s="248">
        <f t="shared" si="8"/>
        <v>17008.888888888891</v>
      </c>
      <c r="P40" s="248">
        <f t="shared" si="8"/>
        <v>947114.41689910996</v>
      </c>
      <c r="Q40" s="248">
        <f t="shared" si="8"/>
        <v>21360</v>
      </c>
      <c r="R40" s="248">
        <f t="shared" si="8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opLeftCell="A22" zoomScale="90" zoomScaleNormal="90" workbookViewId="0">
      <selection activeCell="E32" sqref="E32:E4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5.5703125" style="1" customWidth="1"/>
    <col min="8" max="8" width="13.85546875" style="1" customWidth="1"/>
    <col min="9" max="9" width="17.42578125" style="1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04" t="s">
        <v>271</v>
      </c>
    </row>
    <row r="2" spans="1:9" ht="15.75" x14ac:dyDescent="0.25">
      <c r="A2" s="201" t="s">
        <v>66</v>
      </c>
    </row>
    <row r="3" spans="1:9" x14ac:dyDescent="0.25">
      <c r="B3" s="80"/>
      <c r="C3" s="81"/>
      <c r="D3" s="81"/>
      <c r="E3" s="81"/>
      <c r="G3" s="6"/>
    </row>
    <row r="4" spans="1:9" x14ac:dyDescent="0.25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25">
      <c r="B5" s="2" t="s">
        <v>5</v>
      </c>
      <c r="C5" s="7">
        <f>297696/2625965</f>
        <v>0.11336632437979943</v>
      </c>
      <c r="D5" s="8">
        <f t="shared" ref="D5:D8" si="0">C5</f>
        <v>0.11336632437979943</v>
      </c>
      <c r="E5" s="8">
        <v>1</v>
      </c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si="0"/>
        <v>3.9915791472992256E-2</v>
      </c>
      <c r="E6" s="8">
        <v>1</v>
      </c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0.15042455841097682</v>
      </c>
      <c r="E7" s="8">
        <v>1</v>
      </c>
      <c r="I7" s="13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0.14212072473400883</v>
      </c>
      <c r="E8" s="8">
        <v>1</v>
      </c>
    </row>
    <row r="9" spans="1:9" x14ac:dyDescent="0.25">
      <c r="B9" s="79"/>
      <c r="C9" s="12"/>
      <c r="D9" s="12"/>
      <c r="E9" s="78"/>
      <c r="H9" s="1" t="s">
        <v>384</v>
      </c>
      <c r="I9" s="1" t="s">
        <v>387</v>
      </c>
    </row>
    <row r="10" spans="1:9" x14ac:dyDescent="0.25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  <c r="G10" s="1" t="s">
        <v>385</v>
      </c>
      <c r="H10" s="426">
        <v>1</v>
      </c>
      <c r="I10" s="13">
        <f>(I12-I11)/I12</f>
        <v>0.89186769363522433</v>
      </c>
    </row>
    <row r="11" spans="1:9" x14ac:dyDescent="0.25">
      <c r="B11" s="2" t="s">
        <v>22</v>
      </c>
      <c r="C11" s="7">
        <v>1</v>
      </c>
      <c r="D11" s="3">
        <f>C11-(C11-E11)/($E$10-$C$10)*($D$10-$C$10)</f>
        <v>0.6806451612903226</v>
      </c>
      <c r="E11" s="3">
        <v>0.1</v>
      </c>
      <c r="G11" s="1" t="s">
        <v>386</v>
      </c>
      <c r="H11" s="98">
        <f>[1]Dyrehold!$M$14*(1-H10)</f>
        <v>0</v>
      </c>
      <c r="I11" s="432">
        <v>100000</v>
      </c>
    </row>
    <row r="12" spans="1:9" x14ac:dyDescent="0.25">
      <c r="B12" s="2" t="s">
        <v>3</v>
      </c>
      <c r="C12" s="7">
        <v>1</v>
      </c>
      <c r="D12" s="3">
        <f>C12-(C12-E12)/($E$10-$C$10)*($D$10-$C$10)</f>
        <v>0.66895310313586476</v>
      </c>
      <c r="E12" s="3">
        <f>([1]Dyrehold!$M$14*(1-H10)+[1]Dyrehold!$M$15*(1-I10))/SUM([1]Dyrehold!$M$14:$M$15)</f>
        <v>6.7049654291982466E-2</v>
      </c>
      <c r="G12" s="1" t="s">
        <v>388</v>
      </c>
      <c r="H12" s="1">
        <f>[1]Dyrehold!$M$14</f>
        <v>566639</v>
      </c>
      <c r="I12" s="1">
        <f>[1]Dyrehold!$M$15</f>
        <v>924793</v>
      </c>
    </row>
    <row r="13" spans="1:9" x14ac:dyDescent="0.25">
      <c r="B13" s="2" t="s">
        <v>4</v>
      </c>
      <c r="C13" s="7">
        <v>1</v>
      </c>
      <c r="D13" s="3">
        <f>C13-(C13-E13)/($E$10-$C$10)*($D$10-$C$10)</f>
        <v>0.7870967741935484</v>
      </c>
      <c r="E13" s="3">
        <v>0.4</v>
      </c>
      <c r="G13" s="1" t="s">
        <v>389</v>
      </c>
      <c r="H13" s="14">
        <f>H11/SUM($H11:$I11)</f>
        <v>0</v>
      </c>
      <c r="I13" s="14">
        <f>I11/SUM($H11:$I11)</f>
        <v>1</v>
      </c>
    </row>
    <row r="14" spans="1:9" x14ac:dyDescent="0.25">
      <c r="C14" s="287"/>
      <c r="D14" s="12"/>
      <c r="E14" s="12"/>
      <c r="G14" s="1" t="s">
        <v>390</v>
      </c>
      <c r="H14" s="14">
        <f>H12/SUM($H12:$I12)</f>
        <v>0.37992949058354653</v>
      </c>
      <c r="I14" s="14">
        <f>I12/SUM($H12:$I12)</f>
        <v>0.62007050941645347</v>
      </c>
    </row>
    <row r="15" spans="1:9" x14ac:dyDescent="0.25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25">
      <c r="B16" s="2" t="s">
        <v>90</v>
      </c>
      <c r="C16" s="84">
        <v>1</v>
      </c>
      <c r="D16" s="3">
        <f>($C$16+0.0065)^(D15-$C$15)</f>
        <v>1.0738696575911724</v>
      </c>
      <c r="E16" s="3">
        <f>($C$16+0.0065)^(E15-$C$15)</f>
        <v>1.222438884672097</v>
      </c>
    </row>
    <row r="17" spans="2:8" x14ac:dyDescent="0.25">
      <c r="B17" s="2" t="s">
        <v>84</v>
      </c>
      <c r="C17" s="84">
        <v>0.59345000000000003</v>
      </c>
      <c r="D17" s="3">
        <f>C17</f>
        <v>0.59345000000000003</v>
      </c>
      <c r="E17" s="3">
        <f>D17</f>
        <v>0.59345000000000003</v>
      </c>
    </row>
    <row r="18" spans="2:8" x14ac:dyDescent="0.25">
      <c r="B18" s="2" t="s">
        <v>141</v>
      </c>
      <c r="C18" s="84">
        <v>1</v>
      </c>
      <c r="D18" s="3">
        <f>($C$18+0.0065)^(D15-$C$15)</f>
        <v>1.0738696575911724</v>
      </c>
      <c r="E18" s="3">
        <f>($C$18+0.0065)^(E15-$C$15)</f>
        <v>1.222438884672097</v>
      </c>
      <c r="G18" s="163"/>
    </row>
    <row r="20" spans="2:8" x14ac:dyDescent="0.25">
      <c r="B20" s="439" t="s">
        <v>323</v>
      </c>
      <c r="C20" s="24"/>
      <c r="D20" s="24"/>
      <c r="E20" s="24"/>
    </row>
    <row r="21" spans="2:8" ht="29.45" customHeight="1" x14ac:dyDescent="0.25">
      <c r="B21" s="439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25">
      <c r="B22" s="2" t="str">
        <f>Organ6</f>
        <v>OC6</v>
      </c>
      <c r="C22" s="7">
        <f>'[1]Afgrødefordeling - jordtype'!$H$17</f>
        <v>0.24584476889448309</v>
      </c>
      <c r="D22" s="423">
        <f>C22-(C22-E22)/($E$10-$C$10)*($D$10-$C$10)</f>
        <v>0.51344823799644068</v>
      </c>
      <c r="E22" s="8">
        <v>1</v>
      </c>
    </row>
    <row r="23" spans="2:8" x14ac:dyDescent="0.25">
      <c r="B23" s="2" t="str">
        <f>Organ12</f>
        <v>OC12</v>
      </c>
      <c r="C23" s="7">
        <f>'[1]Afgrødefordeling - jordtype'!$I$17</f>
        <v>0.33924520978284484</v>
      </c>
      <c r="D23" s="423">
        <f>C23-(C23-E23)/($E$10-$C$10)*($D$10-$C$10)</f>
        <v>0.57370658695667409</v>
      </c>
      <c r="E23" s="8">
        <v>1</v>
      </c>
    </row>
    <row r="24" spans="2:8" x14ac:dyDescent="0.25">
      <c r="B24" s="303" t="str">
        <f>CONCATENATE("Omlægning til permanent græs, ", Organ6,", hektar")</f>
        <v>Omlægning til permanent græs, OC6, hektar</v>
      </c>
      <c r="C24" s="304"/>
      <c r="D24" s="10">
        <f>D22*Arealanvendelse!N6-C22*Arealanvendelse!N6</f>
        <v>20527.941404727935</v>
      </c>
      <c r="E24" s="10">
        <f>E22*Arealanvendelse!Q6-C22*Arealanvendelse!Q6</f>
        <v>6586.7917884755825</v>
      </c>
    </row>
    <row r="25" spans="2:8" x14ac:dyDescent="0.25">
      <c r="B25" s="303" t="str">
        <f>CONCATENATE("Omlægning til permanent græs, ", Organ12, ", hektar")</f>
        <v>Omlægning til permanent græs, OC12, hektar</v>
      </c>
      <c r="C25" s="304"/>
      <c r="D25" s="10">
        <f>D23*Arealanvendelse!O6-C23*Arealanvendelse!O6</f>
        <v>13586.949969676301</v>
      </c>
      <c r="E25" s="10">
        <f>E23*Arealanvendelse!R6-C23*Arealanvendelse!R6</f>
        <v>0</v>
      </c>
      <c r="G25" s="98"/>
    </row>
    <row r="26" spans="2:8" x14ac:dyDescent="0.25">
      <c r="B26" s="303" t="str">
        <f>CONCATENATE("Antal hektar som 1% svarer til, ", Organ6)</f>
        <v>Antal hektar som 1% svarer til, OC6</v>
      </c>
      <c r="C26" s="304"/>
      <c r="D26" s="10">
        <f>1%*Arealanvendelse!N6</f>
        <v>767.10296296296292</v>
      </c>
      <c r="E26" s="10">
        <f>1%*Arealanvendelse!Q6</f>
        <v>87.339999999999961</v>
      </c>
    </row>
    <row r="27" spans="2:8" ht="15.75" thickBot="1" x14ac:dyDescent="0.3">
      <c r="B27" s="305" t="str">
        <f>CONCATENATE("Antal hektar som 1% svarer til, ", Organ12)</f>
        <v>Antal hektar som 1% svarer til, OC12</v>
      </c>
      <c r="C27" s="306"/>
      <c r="D27" s="109">
        <f>1%*Arealanvendelse!O6</f>
        <v>579.49629629629624</v>
      </c>
      <c r="E27" s="109">
        <f>1%*Arealanvendelse!R6</f>
        <v>0</v>
      </c>
      <c r="F27" s="4"/>
    </row>
    <row r="28" spans="2:8" ht="15.75" thickBot="1" x14ac:dyDescent="0.3">
      <c r="B28" s="209" t="s">
        <v>263</v>
      </c>
      <c r="C28" s="210"/>
      <c r="D28" s="208">
        <f>SUM(D24:D25)</f>
        <v>34114.891374404237</v>
      </c>
      <c r="E28" s="208">
        <f>SUM(E24:E25)</f>
        <v>6586.7917884755825</v>
      </c>
      <c r="F28" s="302"/>
      <c r="G28" s="98"/>
      <c r="H28" s="98"/>
    </row>
    <row r="29" spans="2:8" x14ac:dyDescent="0.25">
      <c r="C29" s="98"/>
      <c r="D29" s="98"/>
      <c r="E29" s="98"/>
      <c r="F29" s="98"/>
      <c r="G29" s="98"/>
      <c r="H29" s="98"/>
    </row>
    <row r="30" spans="2:8" x14ac:dyDescent="0.25">
      <c r="B30" s="437" t="s">
        <v>322</v>
      </c>
      <c r="C30" s="24"/>
      <c r="D30" s="24"/>
      <c r="E30" s="24"/>
    </row>
    <row r="31" spans="2:8" x14ac:dyDescent="0.25">
      <c r="B31" s="438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25">
      <c r="B32" s="2" t="str">
        <f>[1]Afgrødefordeling!$C2</f>
        <v>Korn</v>
      </c>
      <c r="C32" s="299">
        <f>'[1]Afgrødefordeling - jordtype'!$Y4</f>
        <v>0.53753334285647836</v>
      </c>
      <c r="D32" s="423">
        <f>C32-(C32-E32)/($E$10-$C$10)*($D$10-$C$10)</f>
        <v>0.36453764055256666</v>
      </c>
      <c r="E32" s="87">
        <v>0.05</v>
      </c>
      <c r="F32" s="428"/>
    </row>
    <row r="33" spans="2:5" x14ac:dyDescent="0.25">
      <c r="B33" s="2" t="str">
        <f>[1]Afgrødefordeling!$C3</f>
        <v>Bælgsæd</v>
      </c>
      <c r="C33" s="299">
        <f>'[1]Afgrødefordeling - jordtype'!$Y5</f>
        <v>3.0976273829928767E-2</v>
      </c>
      <c r="D33" s="423">
        <f t="shared" ref="D33:D45" si="1">C33-(C33-E33)/($E$10-$C$10)*($D$10-$C$10)</f>
        <v>0.10869437021285727</v>
      </c>
      <c r="E33" s="424">
        <v>0.25</v>
      </c>
    </row>
    <row r="34" spans="2:5" x14ac:dyDescent="0.25">
      <c r="B34" s="2" t="str">
        <f>[1]Afgrødefordeling!$C4</f>
        <v>Raps</v>
      </c>
      <c r="C34" s="299">
        <f>'[1]Afgrødefordeling - jordtype'!$Y6</f>
        <v>6.5329688585482673E-2</v>
      </c>
      <c r="D34" s="423">
        <f t="shared" si="1"/>
        <v>9.5373992635795268E-2</v>
      </c>
      <c r="E34" s="424">
        <v>0.15</v>
      </c>
    </row>
    <row r="35" spans="2:5" x14ac:dyDescent="0.25">
      <c r="B35" s="2" t="str">
        <f>[1]Afgrødefordeling!$C5</f>
        <v>Græs</v>
      </c>
      <c r="C35" s="299">
        <f>'[1]Afgrødefordeling - jordtype'!$Y7</f>
        <v>0.10115967422642448</v>
      </c>
      <c r="D35" s="423">
        <f t="shared" si="1"/>
        <v>0.15397398337188678</v>
      </c>
      <c r="E35" s="424">
        <v>0.25</v>
      </c>
    </row>
    <row r="36" spans="2:5" x14ac:dyDescent="0.25">
      <c r="B36" s="2" t="str">
        <f>[1]Afgrødefordeling!$C6</f>
        <v>Grøntsager</v>
      </c>
      <c r="C36" s="299">
        <f>'[1]Afgrødefordeling - jordtype'!$Y8</f>
        <v>5.2060865589185204E-3</v>
      </c>
      <c r="D36" s="423">
        <f t="shared" si="1"/>
        <v>2.629405075676006E-2</v>
      </c>
      <c r="E36" s="424">
        <f>10%-E37-E38</f>
        <v>6.4635803843744677E-2</v>
      </c>
    </row>
    <row r="37" spans="2:5" x14ac:dyDescent="0.25">
      <c r="B37" s="2" t="str">
        <f>[1]Afgrødefordeling!$C7</f>
        <v>Kartofler</v>
      </c>
      <c r="C37" s="299">
        <f>'[1]Afgrødefordeling - jordtype'!$Y9</f>
        <v>2.189728375215861E-2</v>
      </c>
      <c r="D37" s="423">
        <f t="shared" si="1"/>
        <v>2.189728375215861E-2</v>
      </c>
      <c r="E37" s="87">
        <f>C37</f>
        <v>2.189728375215861E-2</v>
      </c>
    </row>
    <row r="38" spans="2:5" x14ac:dyDescent="0.25">
      <c r="B38" s="2" t="str">
        <f>[1]Afgrødefordeling!$C8</f>
        <v>Roer</v>
      </c>
      <c r="C38" s="299">
        <f>'[1]Afgrødefordeling - jordtype'!$Y10</f>
        <v>1.3466912404096722E-2</v>
      </c>
      <c r="D38" s="423">
        <f t="shared" si="1"/>
        <v>1.3466912404096722E-2</v>
      </c>
      <c r="E38" s="87">
        <f>C38</f>
        <v>1.3466912404096722E-2</v>
      </c>
    </row>
    <row r="39" spans="2:5" x14ac:dyDescent="0.25">
      <c r="B39" s="2" t="str">
        <f>[1]Afgrødefordeling!$C9</f>
        <v>Majs</v>
      </c>
      <c r="C39" s="299">
        <f>'[1]Afgrødefordeling - jordtype'!$Y11</f>
        <v>7.2759287296729286E-2</v>
      </c>
      <c r="D39" s="423">
        <f t="shared" si="1"/>
        <v>4.6941475675309222E-2</v>
      </c>
      <c r="E39" s="87">
        <v>0</v>
      </c>
    </row>
    <row r="40" spans="2:5" x14ac:dyDescent="0.25">
      <c r="B40" s="2" t="str">
        <f>[1]Afgrødefordeling!$C10</f>
        <v>Frugt</v>
      </c>
      <c r="C40" s="299">
        <f>'[1]Afgrødefordeling - jordtype'!$Y12</f>
        <v>2.0301913757470973E-3</v>
      </c>
      <c r="D40" s="423">
        <f t="shared" si="1"/>
        <v>5.0808223823123319E-2</v>
      </c>
      <c r="E40" s="424">
        <f>15%-E43-E44+5%</f>
        <v>0.13949555554562554</v>
      </c>
    </row>
    <row r="41" spans="2:5" x14ac:dyDescent="0.25">
      <c r="B41" s="2" t="str">
        <f>[1]Afgrødefordeling!$C11</f>
        <v>Øvrige</v>
      </c>
      <c r="C41" s="299">
        <f>'[1]Afgrødefordeling - jordtype'!$Y13</f>
        <v>2.7968670218625629E-2</v>
      </c>
      <c r="D41" s="423">
        <f t="shared" si="1"/>
        <v>1.8044303366855245E-2</v>
      </c>
      <c r="E41" s="87">
        <v>0</v>
      </c>
    </row>
    <row r="42" spans="2:5" x14ac:dyDescent="0.25">
      <c r="B42" s="2" t="str">
        <f>[1]Afgrødefordeling!$C12</f>
        <v>Frø</v>
      </c>
      <c r="C42" s="299">
        <f>'[1]Afgrødefordeling - jordtype'!$Y14</f>
        <v>4.0395307311065158E-2</v>
      </c>
      <c r="D42" s="423">
        <f t="shared" si="1"/>
        <v>2.6061488587783975E-2</v>
      </c>
      <c r="E42" s="87">
        <v>0</v>
      </c>
    </row>
    <row r="43" spans="2:5" x14ac:dyDescent="0.25">
      <c r="B43" s="2" t="str">
        <f>[1]Afgrødefordeling!$C13</f>
        <v>Juletræer</v>
      </c>
      <c r="C43" s="299">
        <f>'[1]Afgrødefordeling - jordtype'!$Y15</f>
        <v>7.5869349743828522E-3</v>
      </c>
      <c r="D43" s="423">
        <f t="shared" si="1"/>
        <v>7.5869349743828522E-3</v>
      </c>
      <c r="E43" s="424">
        <v>7.5869349743828522E-3</v>
      </c>
    </row>
    <row r="44" spans="2:5" x14ac:dyDescent="0.25">
      <c r="B44" s="2" t="str">
        <f>[1]Afgrødefordeling!$C14</f>
        <v>Pil &amp; poppel</v>
      </c>
      <c r="C44" s="299">
        <f>'[1]Afgrødefordeling - jordtype'!$Y16</f>
        <v>2.9175094799916215E-3</v>
      </c>
      <c r="D44" s="423">
        <f t="shared" si="1"/>
        <v>2.0659444963862589E-2</v>
      </c>
      <c r="E44" s="424">
        <f>0.291750947999162%+5%</f>
        <v>5.2917509479991624E-2</v>
      </c>
    </row>
    <row r="45" spans="2:5" x14ac:dyDescent="0.25">
      <c r="B45" s="2" t="str">
        <f>[1]Afgrødefordeling!$C15</f>
        <v>Permanent græs</v>
      </c>
      <c r="C45" s="299">
        <f>'[1]Afgrødefordeling - jordtype'!$Y17</f>
        <v>7.0772837129970206E-2</v>
      </c>
      <c r="D45" s="423">
        <f t="shared" si="1"/>
        <v>4.5659894922561423E-2</v>
      </c>
      <c r="E45" s="87">
        <v>0</v>
      </c>
    </row>
    <row r="46" spans="2:5" x14ac:dyDescent="0.25">
      <c r="B46" s="24" t="s">
        <v>288</v>
      </c>
      <c r="C46" s="84"/>
      <c r="D46" s="86">
        <f>SUM(D32:D45)</f>
        <v>1.0000000000000002</v>
      </c>
      <c r="E46" s="425">
        <f>SUM(E32:E45)</f>
        <v>1</v>
      </c>
    </row>
    <row r="47" spans="2:5" x14ac:dyDescent="0.25">
      <c r="B47" s="24" t="s">
        <v>242</v>
      </c>
      <c r="C47" s="84"/>
      <c r="D47" s="108" cm="1">
        <f t="array" ref="D47">SUMPRODUCT((D32:D45&gt;$C$32:$C$45)*(D32:D45-$C$32:$C$45))*Arealanvendelse!M6</f>
        <v>551735.34279442031</v>
      </c>
      <c r="E47" s="108" cm="1">
        <f t="array" ref="E47">SUMPRODUCT((E32:E45&gt;$C$32:$C$45)*(E32:E45-$C$32:$C$45))*Arealanvendelse!P6</f>
        <v>1363842.6539006259</v>
      </c>
    </row>
    <row r="48" spans="2:5" x14ac:dyDescent="0.25">
      <c r="B48" s="24" t="s">
        <v>241</v>
      </c>
      <c r="C48" s="103"/>
      <c r="D48" s="108">
        <f>1%*Arealanvendelse!M6</f>
        <v>22230.841481481479</v>
      </c>
      <c r="E48" s="108">
        <f>1%*Arealanvendelse!P6</f>
        <v>19499.36</v>
      </c>
    </row>
    <row r="49" spans="2:8" x14ac:dyDescent="0.25">
      <c r="D49" s="98"/>
      <c r="E49" s="98"/>
      <c r="H49" s="98"/>
    </row>
    <row r="50" spans="2:8" ht="15" customHeight="1" x14ac:dyDescent="0.25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25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5" spans="2:8" x14ac:dyDescent="0.25">
      <c r="B55" s="1" t="s">
        <v>392</v>
      </c>
      <c r="C55" s="1">
        <f>(C35+C45)*Arealanvendelse!J6+C22*Arealanvendelse!K6+C23*Arealanvendelse!L6</f>
        <v>463874.74578978529</v>
      </c>
      <c r="D55" s="1">
        <f>(D35+D45)*Arealanvendelse!M6+D22*Arealanvendelse!N6+D23*Arealanvendelse!O6</f>
        <v>516435.76096946077</v>
      </c>
      <c r="E55" s="1">
        <f>(E35+E45)*Arealanvendelse!P6+E22*Arealanvendelse!Q6+E23*Arealanvendelse!R6</f>
        <v>496218</v>
      </c>
    </row>
    <row r="56" spans="2:8" x14ac:dyDescent="0.25">
      <c r="B56" s="1" t="s">
        <v>393</v>
      </c>
      <c r="C56" s="392">
        <f>C35+C43+C44+C45</f>
        <v>0.18243695581076916</v>
      </c>
      <c r="D56" s="392">
        <f>D35+D43+D44+D45</f>
        <v>0.22788025823269364</v>
      </c>
      <c r="E56" s="392">
        <f>E35+E43+E44+E45</f>
        <v>0.31050444445437447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7EA54-1AA3-4A70-B5E5-DD164DD7D43D}">
  <sheetPr codeName="Sheet38">
    <tabColor theme="9" tint="0.39997558519241921"/>
  </sheetPr>
  <dimension ref="B2:S31"/>
  <sheetViews>
    <sheetView tabSelected="1" workbookViewId="0">
      <selection activeCell="S4" sqref="S4"/>
    </sheetView>
  </sheetViews>
  <sheetFormatPr defaultRowHeight="15" x14ac:dyDescent="0.25"/>
  <cols>
    <col min="2" max="2" width="21.42578125" bestFit="1" customWidth="1"/>
    <col min="3" max="3" width="26.42578125" bestFit="1" customWidth="1"/>
    <col min="4" max="4" width="26.42578125" customWidth="1"/>
    <col min="13" max="13" width="26" bestFit="1" customWidth="1"/>
  </cols>
  <sheetData>
    <row r="2" spans="2:19" x14ac:dyDescent="0.25">
      <c r="B2" s="85" t="s">
        <v>395</v>
      </c>
      <c r="C2" s="102"/>
      <c r="D2" s="102"/>
      <c r="E2" s="82">
        <f>År1</f>
        <v>2019</v>
      </c>
      <c r="F2" s="82">
        <f>År2</f>
        <v>2030</v>
      </c>
      <c r="G2" s="82">
        <f>År3</f>
        <v>2050</v>
      </c>
      <c r="L2" s="102"/>
      <c r="M2" s="102" t="s">
        <v>410</v>
      </c>
      <c r="N2" s="102">
        <v>2050</v>
      </c>
      <c r="R2" t="s">
        <v>413</v>
      </c>
    </row>
    <row r="3" spans="2:19" x14ac:dyDescent="0.25">
      <c r="B3" s="102" t="s">
        <v>22</v>
      </c>
      <c r="C3" s="2" t="s">
        <v>376</v>
      </c>
      <c r="D3" s="2" t="str">
        <f>B3&amp;C3</f>
        <v>SvinSlagtesvin</v>
      </c>
      <c r="E3" s="7">
        <v>1</v>
      </c>
      <c r="F3" s="3">
        <f>E3-(E3-G3)/($G$2-$E$2)*($F$2-$E$2)</f>
        <v>1</v>
      </c>
      <c r="G3" s="3">
        <v>1</v>
      </c>
      <c r="L3" s="102" t="s">
        <v>415</v>
      </c>
      <c r="M3" s="102" t="s">
        <v>30</v>
      </c>
      <c r="N3" s="430">
        <f>1-S3*R3</f>
        <v>0.79064908335660733</v>
      </c>
      <c r="O3" s="429"/>
      <c r="P3" t="s">
        <v>194</v>
      </c>
      <c r="Q3" t="s">
        <v>414</v>
      </c>
      <c r="R3" s="291">
        <f>0.68/[1]Afgrødedata!$J$5</f>
        <v>0.29907273806198947</v>
      </c>
      <c r="S3" s="429">
        <v>0.7</v>
      </c>
    </row>
    <row r="4" spans="2:19" x14ac:dyDescent="0.25">
      <c r="B4" s="102" t="s">
        <v>22</v>
      </c>
      <c r="C4" s="2" t="s">
        <v>112</v>
      </c>
      <c r="D4" s="2" t="str">
        <f t="shared" ref="D4:D31" si="0">B4&amp;C4</f>
        <v>SvinFoder</v>
      </c>
      <c r="E4" s="7">
        <v>1</v>
      </c>
      <c r="F4" s="3">
        <f t="shared" ref="F4:F31" si="1">E4-(E4-G4)/($G$2-$E$2)*($F$2-$E$2)</f>
        <v>1</v>
      </c>
      <c r="G4" s="3">
        <f>(G3-100%)*50%+100%</f>
        <v>1</v>
      </c>
      <c r="L4" s="102" t="s">
        <v>22</v>
      </c>
      <c r="M4" s="102" t="s">
        <v>30</v>
      </c>
      <c r="N4" s="430">
        <f>1-R4*S4-R5*S5</f>
        <v>1</v>
      </c>
      <c r="O4" s="429"/>
      <c r="P4" s="431" t="s">
        <v>22</v>
      </c>
      <c r="Q4" t="s">
        <v>412</v>
      </c>
      <c r="R4" s="429">
        <v>0.85</v>
      </c>
      <c r="S4" s="429">
        <v>0</v>
      </c>
    </row>
    <row r="5" spans="2:19" x14ac:dyDescent="0.25">
      <c r="B5" s="102" t="s">
        <v>22</v>
      </c>
      <c r="C5" s="2" t="s">
        <v>135</v>
      </c>
      <c r="D5" s="2" t="str">
        <f t="shared" si="0"/>
        <v>SvinSvinegylle</v>
      </c>
      <c r="E5" s="7">
        <v>1</v>
      </c>
      <c r="F5" s="3">
        <f t="shared" si="1"/>
        <v>1</v>
      </c>
      <c r="G5" s="3">
        <f>G4</f>
        <v>1</v>
      </c>
      <c r="L5" s="102" t="s">
        <v>3</v>
      </c>
      <c r="M5" s="102" t="s">
        <v>30</v>
      </c>
      <c r="N5" s="430">
        <f>1-R6*S6-R7*S7</f>
        <v>1</v>
      </c>
      <c r="O5" s="429"/>
      <c r="P5" t="s">
        <v>22</v>
      </c>
      <c r="Q5" t="s">
        <v>411</v>
      </c>
      <c r="R5" s="429">
        <v>0.15</v>
      </c>
      <c r="S5" s="429">
        <v>0</v>
      </c>
    </row>
    <row r="6" spans="2:19" x14ac:dyDescent="0.25">
      <c r="B6" s="102" t="s">
        <v>22</v>
      </c>
      <c r="C6" s="2" t="s">
        <v>111</v>
      </c>
      <c r="D6" s="2" t="str">
        <f t="shared" si="0"/>
        <v>SvinCO2 - atmosfære</v>
      </c>
      <c r="E6" s="7">
        <v>1</v>
      </c>
      <c r="F6" s="3">
        <f t="shared" si="1"/>
        <v>1</v>
      </c>
      <c r="G6" s="3">
        <f>$N$4</f>
        <v>1</v>
      </c>
      <c r="L6" s="102" t="s">
        <v>4</v>
      </c>
      <c r="M6" s="102" t="s">
        <v>30</v>
      </c>
      <c r="N6" s="430">
        <f>1-R8*S8-R9*S9</f>
        <v>1</v>
      </c>
      <c r="O6" s="429"/>
      <c r="P6" t="s">
        <v>3</v>
      </c>
      <c r="Q6" t="s">
        <v>412</v>
      </c>
      <c r="R6" s="429">
        <v>0.25</v>
      </c>
      <c r="S6" s="429">
        <v>0</v>
      </c>
    </row>
    <row r="7" spans="2:19" x14ac:dyDescent="0.25">
      <c r="B7" s="102" t="s">
        <v>3</v>
      </c>
      <c r="C7" s="2" t="s">
        <v>378</v>
      </c>
      <c r="D7" s="2" t="str">
        <f t="shared" si="0"/>
        <v>KøerSlagtekøer</v>
      </c>
      <c r="E7" s="7">
        <v>1</v>
      </c>
      <c r="F7" s="3">
        <f t="shared" si="1"/>
        <v>1.2174167101317843</v>
      </c>
      <c r="G7" s="3">
        <f>100%*Landbrug!I13/Landbrug!I14</f>
        <v>1.6127198194623011</v>
      </c>
      <c r="O7" s="429"/>
      <c r="P7" t="s">
        <v>3</v>
      </c>
      <c r="Q7" t="s">
        <v>411</v>
      </c>
      <c r="R7" s="429">
        <v>0.75</v>
      </c>
      <c r="S7" s="429">
        <v>0</v>
      </c>
    </row>
    <row r="8" spans="2:19" x14ac:dyDescent="0.25">
      <c r="B8" s="102" t="s">
        <v>3</v>
      </c>
      <c r="C8" s="2" t="s">
        <v>112</v>
      </c>
      <c r="D8" s="2" t="str">
        <f t="shared" si="0"/>
        <v>KøerFoder</v>
      </c>
      <c r="E8" s="7">
        <v>1</v>
      </c>
      <c r="F8" s="3">
        <f t="shared" si="1"/>
        <v>1.108708355065892</v>
      </c>
      <c r="G8" s="3">
        <f>(G7-100%)*50%+100%</f>
        <v>1.3063599097311505</v>
      </c>
      <c r="O8" s="429"/>
      <c r="P8" t="s">
        <v>4</v>
      </c>
      <c r="Q8" t="s">
        <v>412</v>
      </c>
      <c r="R8" s="429">
        <v>0.1</v>
      </c>
      <c r="S8" s="429">
        <v>0</v>
      </c>
    </row>
    <row r="9" spans="2:19" x14ac:dyDescent="0.25">
      <c r="B9" s="102" t="s">
        <v>3</v>
      </c>
      <c r="C9" s="2" t="s">
        <v>117</v>
      </c>
      <c r="D9" s="2" t="str">
        <f t="shared" si="0"/>
        <v>KøerRåmælk</v>
      </c>
      <c r="E9" s="7">
        <v>1</v>
      </c>
      <c r="F9" s="3">
        <f t="shared" si="1"/>
        <v>0.64516129032258063</v>
      </c>
      <c r="G9" s="3">
        <f>150%*Landbrug!H13/Landbrug!H14</f>
        <v>0</v>
      </c>
      <c r="O9" s="429"/>
      <c r="P9" t="s">
        <v>4</v>
      </c>
      <c r="Q9" t="s">
        <v>411</v>
      </c>
      <c r="R9" s="429">
        <v>0.9</v>
      </c>
      <c r="S9" s="429">
        <v>0</v>
      </c>
    </row>
    <row r="10" spans="2:19" x14ac:dyDescent="0.25">
      <c r="B10" s="102" t="s">
        <v>3</v>
      </c>
      <c r="C10" s="2" t="s">
        <v>136</v>
      </c>
      <c r="D10" s="2" t="str">
        <f t="shared" si="0"/>
        <v>KøerKvæggylle</v>
      </c>
      <c r="E10" s="7">
        <v>1</v>
      </c>
      <c r="F10" s="3">
        <f t="shared" si="1"/>
        <v>1.108708355065892</v>
      </c>
      <c r="G10" s="3">
        <f>G8</f>
        <v>1.3063599097311505</v>
      </c>
    </row>
    <row r="11" spans="2:19" x14ac:dyDescent="0.25">
      <c r="B11" s="102" t="s">
        <v>3</v>
      </c>
      <c r="C11" s="2" t="s">
        <v>111</v>
      </c>
      <c r="D11" s="2" t="str">
        <f t="shared" si="0"/>
        <v>KøerCO2 - atmosfære</v>
      </c>
      <c r="E11" s="7">
        <v>1</v>
      </c>
      <c r="F11" s="3">
        <f t="shared" si="1"/>
        <v>1</v>
      </c>
      <c r="G11" s="3">
        <f>$N$5</f>
        <v>1</v>
      </c>
    </row>
    <row r="12" spans="2:19" x14ac:dyDescent="0.25">
      <c r="B12" s="102" t="s">
        <v>4</v>
      </c>
      <c r="C12" s="2" t="s">
        <v>377</v>
      </c>
      <c r="D12" s="2" t="str">
        <f t="shared" si="0"/>
        <v>FjerkræSlagtefjerkræ</v>
      </c>
      <c r="E12" s="7">
        <v>1</v>
      </c>
      <c r="F12" s="3">
        <f t="shared" si="1"/>
        <v>1</v>
      </c>
      <c r="G12" s="3">
        <v>1</v>
      </c>
    </row>
    <row r="13" spans="2:19" x14ac:dyDescent="0.25">
      <c r="B13" s="102" t="s">
        <v>4</v>
      </c>
      <c r="C13" s="2" t="s">
        <v>137</v>
      </c>
      <c r="D13" s="2" t="str">
        <f t="shared" si="0"/>
        <v>FjerkræFjerkrægylle</v>
      </c>
      <c r="E13" s="7">
        <v>1</v>
      </c>
      <c r="F13" s="3">
        <f t="shared" si="1"/>
        <v>1</v>
      </c>
      <c r="G13" s="3">
        <f>G14</f>
        <v>1</v>
      </c>
    </row>
    <row r="14" spans="2:19" x14ac:dyDescent="0.25">
      <c r="B14" s="102" t="s">
        <v>4</v>
      </c>
      <c r="C14" s="2" t="s">
        <v>112</v>
      </c>
      <c r="D14" s="2" t="str">
        <f t="shared" si="0"/>
        <v>FjerkræFoder</v>
      </c>
      <c r="E14" s="7">
        <v>1</v>
      </c>
      <c r="F14" s="3">
        <f t="shared" si="1"/>
        <v>1</v>
      </c>
      <c r="G14" s="3">
        <f>(G12-100%)*50%+100%</f>
        <v>1</v>
      </c>
    </row>
    <row r="15" spans="2:19" x14ac:dyDescent="0.25">
      <c r="B15" s="102" t="s">
        <v>4</v>
      </c>
      <c r="C15" s="2" t="s">
        <v>111</v>
      </c>
      <c r="D15" s="2" t="str">
        <f t="shared" si="0"/>
        <v>FjerkræCO2 - atmosfære</v>
      </c>
      <c r="E15" s="7">
        <v>1</v>
      </c>
      <c r="F15" s="3">
        <f t="shared" si="1"/>
        <v>1</v>
      </c>
      <c r="G15" s="3">
        <f>$N$6</f>
        <v>1</v>
      </c>
    </row>
    <row r="16" spans="2:19" x14ac:dyDescent="0.25">
      <c r="B16" s="102" t="s">
        <v>394</v>
      </c>
      <c r="C16" s="2" t="s">
        <v>51</v>
      </c>
      <c r="D16" s="2" t="str">
        <f t="shared" si="0"/>
        <v>Areal-græsGræs</v>
      </c>
      <c r="E16" s="7">
        <v>1</v>
      </c>
      <c r="F16" s="3">
        <f t="shared" si="1"/>
        <v>1.1774193548387097</v>
      </c>
      <c r="G16" s="3">
        <v>1.5</v>
      </c>
      <c r="H16" t="s">
        <v>396</v>
      </c>
    </row>
    <row r="17" spans="2:8" x14ac:dyDescent="0.25">
      <c r="B17" s="102" t="s">
        <v>394</v>
      </c>
      <c r="C17" s="2" t="s">
        <v>114</v>
      </c>
      <c r="D17" s="2" t="str">
        <f t="shared" si="0"/>
        <v>Areal-græsGødning</v>
      </c>
      <c r="E17" s="7">
        <v>1</v>
      </c>
      <c r="F17" s="3">
        <f t="shared" si="1"/>
        <v>1.1774193548387097</v>
      </c>
      <c r="G17" s="3">
        <v>1.5</v>
      </c>
      <c r="H17" t="s">
        <v>396</v>
      </c>
    </row>
    <row r="18" spans="2:8" x14ac:dyDescent="0.25">
      <c r="B18" s="102" t="s">
        <v>397</v>
      </c>
      <c r="C18" s="2" t="s">
        <v>111</v>
      </c>
      <c r="D18" s="2" t="str">
        <f t="shared" si="0"/>
        <v>Areal-kornCO2 - atmosfære</v>
      </c>
      <c r="E18" s="7">
        <v>1</v>
      </c>
      <c r="F18" s="3">
        <f t="shared" si="1"/>
        <v>0.92571419086847362</v>
      </c>
      <c r="G18" s="3">
        <f>$N$3</f>
        <v>0.79064908335660733</v>
      </c>
    </row>
    <row r="19" spans="2:8" x14ac:dyDescent="0.25">
      <c r="B19" s="102" t="s">
        <v>398</v>
      </c>
      <c r="C19" s="2" t="s">
        <v>111</v>
      </c>
      <c r="D19" s="2" t="str">
        <f t="shared" si="0"/>
        <v>Areal-grøntsagerCO2 - atmosfære</v>
      </c>
      <c r="E19" s="7">
        <v>1</v>
      </c>
      <c r="F19" s="3">
        <f t="shared" si="1"/>
        <v>0.92571419086847362</v>
      </c>
      <c r="G19" s="3">
        <f t="shared" ref="G19:G31" si="2">$N$3</f>
        <v>0.79064908335660733</v>
      </c>
    </row>
    <row r="20" spans="2:8" x14ac:dyDescent="0.25">
      <c r="B20" s="102" t="s">
        <v>399</v>
      </c>
      <c r="C20" s="2" t="s">
        <v>111</v>
      </c>
      <c r="D20" s="2" t="str">
        <f t="shared" si="0"/>
        <v>Areal-kartoflerCO2 - atmosfære</v>
      </c>
      <c r="E20" s="7">
        <v>1</v>
      </c>
      <c r="F20" s="3">
        <f t="shared" si="1"/>
        <v>0.92571419086847362</v>
      </c>
      <c r="G20" s="3">
        <f t="shared" si="2"/>
        <v>0.79064908335660733</v>
      </c>
    </row>
    <row r="21" spans="2:8" x14ac:dyDescent="0.25">
      <c r="B21" s="102" t="s">
        <v>394</v>
      </c>
      <c r="C21" s="2" t="s">
        <v>111</v>
      </c>
      <c r="D21" s="2" t="str">
        <f t="shared" si="0"/>
        <v>Areal-græsCO2 - atmosfære</v>
      </c>
      <c r="E21" s="7">
        <v>1</v>
      </c>
      <c r="F21" s="3">
        <f t="shared" si="1"/>
        <v>0.92571419086847362</v>
      </c>
      <c r="G21" s="3">
        <f t="shared" si="2"/>
        <v>0.79064908335660733</v>
      </c>
    </row>
    <row r="22" spans="2:8" x14ac:dyDescent="0.25">
      <c r="B22" s="102" t="s">
        <v>400</v>
      </c>
      <c r="C22" s="2" t="s">
        <v>111</v>
      </c>
      <c r="D22" s="2" t="str">
        <f t="shared" si="0"/>
        <v>Areal-bælgsædCO2 - atmosfære</v>
      </c>
      <c r="E22" s="7">
        <v>1</v>
      </c>
      <c r="F22" s="3">
        <f t="shared" si="1"/>
        <v>0.92571419086847362</v>
      </c>
      <c r="G22" s="3">
        <f t="shared" si="2"/>
        <v>0.79064908335660733</v>
      </c>
    </row>
    <row r="23" spans="2:8" x14ac:dyDescent="0.25">
      <c r="B23" s="102" t="s">
        <v>401</v>
      </c>
      <c r="C23" s="2" t="s">
        <v>111</v>
      </c>
      <c r="D23" s="2" t="str">
        <f t="shared" si="0"/>
        <v>Areal-roerCO2 - atmosfære</v>
      </c>
      <c r="E23" s="7">
        <v>1</v>
      </c>
      <c r="F23" s="3">
        <f t="shared" si="1"/>
        <v>0.92571419086847362</v>
      </c>
      <c r="G23" s="3">
        <f t="shared" si="2"/>
        <v>0.79064908335660733</v>
      </c>
    </row>
    <row r="24" spans="2:8" x14ac:dyDescent="0.25">
      <c r="B24" s="102" t="s">
        <v>402</v>
      </c>
      <c r="C24" s="2" t="s">
        <v>111</v>
      </c>
      <c r="D24" s="2" t="str">
        <f t="shared" si="0"/>
        <v>Areal-frugtCO2 - atmosfære</v>
      </c>
      <c r="E24" s="7">
        <v>1</v>
      </c>
      <c r="F24" s="3">
        <f t="shared" si="1"/>
        <v>0.92571419086847362</v>
      </c>
      <c r="G24" s="3">
        <f t="shared" si="2"/>
        <v>0.79064908335660733</v>
      </c>
    </row>
    <row r="25" spans="2:8" x14ac:dyDescent="0.25">
      <c r="B25" s="102" t="s">
        <v>403</v>
      </c>
      <c r="C25" s="2" t="s">
        <v>111</v>
      </c>
      <c r="D25" s="2" t="str">
        <f t="shared" si="0"/>
        <v>Areal-øvrigeCO2 - atmosfære</v>
      </c>
      <c r="E25" s="7">
        <v>1</v>
      </c>
      <c r="F25" s="3">
        <f t="shared" si="1"/>
        <v>0.92571419086847362</v>
      </c>
      <c r="G25" s="3">
        <f t="shared" si="2"/>
        <v>0.79064908335660733</v>
      </c>
    </row>
    <row r="26" spans="2:8" x14ac:dyDescent="0.25">
      <c r="B26" s="102" t="s">
        <v>404</v>
      </c>
      <c r="C26" s="2" t="s">
        <v>111</v>
      </c>
      <c r="D26" s="2" t="str">
        <f t="shared" si="0"/>
        <v>Areal-majsCO2 - atmosfære</v>
      </c>
      <c r="E26" s="7">
        <v>1</v>
      </c>
      <c r="F26" s="3">
        <f t="shared" si="1"/>
        <v>0.92571419086847362</v>
      </c>
      <c r="G26" s="3">
        <f t="shared" si="2"/>
        <v>0.79064908335660733</v>
      </c>
    </row>
    <row r="27" spans="2:8" x14ac:dyDescent="0.25">
      <c r="B27" s="102" t="s">
        <v>405</v>
      </c>
      <c r="C27" s="2" t="s">
        <v>111</v>
      </c>
      <c r="D27" s="2" t="str">
        <f t="shared" si="0"/>
        <v>Areal-rapsCO2 - atmosfære</v>
      </c>
      <c r="E27" s="7">
        <v>1</v>
      </c>
      <c r="F27" s="3">
        <f t="shared" si="1"/>
        <v>0.92571419086847362</v>
      </c>
      <c r="G27" s="3">
        <f t="shared" si="2"/>
        <v>0.79064908335660733</v>
      </c>
    </row>
    <row r="28" spans="2:8" x14ac:dyDescent="0.25">
      <c r="B28" s="102" t="s">
        <v>406</v>
      </c>
      <c r="C28" s="2" t="s">
        <v>111</v>
      </c>
      <c r="D28" s="2" t="str">
        <f t="shared" si="0"/>
        <v>Areal-frøgræsCO2 - atmosfære</v>
      </c>
      <c r="E28" s="7">
        <v>1</v>
      </c>
      <c r="F28" s="3">
        <f t="shared" si="1"/>
        <v>0.92571419086847362</v>
      </c>
      <c r="G28" s="3">
        <f t="shared" si="2"/>
        <v>0.79064908335660733</v>
      </c>
    </row>
    <row r="29" spans="2:8" x14ac:dyDescent="0.25">
      <c r="B29" s="102" t="s">
        <v>407</v>
      </c>
      <c r="C29" s="2" t="s">
        <v>111</v>
      </c>
      <c r="D29" s="2" t="str">
        <f t="shared" si="0"/>
        <v>Areal-juletræerCO2 - atmosfære</v>
      </c>
      <c r="E29" s="7">
        <v>1</v>
      </c>
      <c r="F29" s="3">
        <f t="shared" si="1"/>
        <v>0.92571419086847362</v>
      </c>
      <c r="G29" s="3">
        <f t="shared" si="2"/>
        <v>0.79064908335660733</v>
      </c>
    </row>
    <row r="30" spans="2:8" x14ac:dyDescent="0.25">
      <c r="B30" s="102" t="s">
        <v>408</v>
      </c>
      <c r="C30" s="2" t="s">
        <v>111</v>
      </c>
      <c r="D30" s="2" t="str">
        <f t="shared" si="0"/>
        <v>Areal-pil-poppelCO2 - atmosfære</v>
      </c>
      <c r="E30" s="7">
        <v>1</v>
      </c>
      <c r="F30" s="3">
        <f t="shared" si="1"/>
        <v>0.92571419086847362</v>
      </c>
      <c r="G30" s="3">
        <f t="shared" si="2"/>
        <v>0.79064908335660733</v>
      </c>
    </row>
    <row r="31" spans="2:8" x14ac:dyDescent="0.25">
      <c r="B31" s="102" t="s">
        <v>409</v>
      </c>
      <c r="C31" s="2" t="s">
        <v>111</v>
      </c>
      <c r="D31" s="2" t="str">
        <f t="shared" si="0"/>
        <v>Areal-permanent græsCO2 - atmosfære</v>
      </c>
      <c r="E31" s="7">
        <v>1</v>
      </c>
      <c r="F31" s="3">
        <f t="shared" si="1"/>
        <v>0.92571419086847362</v>
      </c>
      <c r="G31" s="3">
        <f t="shared" si="2"/>
        <v>0.79064908335660733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E3" sqref="E3:E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04" t="s">
        <v>271</v>
      </c>
    </row>
    <row r="2" spans="1:9" ht="15.75" thickBot="1" x14ac:dyDescent="0.3">
      <c r="A2" s="289"/>
      <c r="B2" s="289"/>
      <c r="C2" s="289">
        <f>År1</f>
        <v>2019</v>
      </c>
      <c r="D2" s="289">
        <f>År2</f>
        <v>2030</v>
      </c>
      <c r="E2" s="289">
        <f>År3</f>
        <v>2050</v>
      </c>
      <c r="F2" s="289" t="s">
        <v>314</v>
      </c>
    </row>
    <row r="3" spans="1:9" x14ac:dyDescent="0.25">
      <c r="A3" s="290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426">
        <f>C3-(C3-E3)/($E$2-$C$2)*($D$2-$C$2)</f>
        <v>0.25802956461333793</v>
      </c>
      <c r="E3" s="427">
        <v>0</v>
      </c>
      <c r="I3" s="218"/>
    </row>
    <row r="4" spans="1:9" x14ac:dyDescent="0.25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88">
        <f t="shared" ref="D4:D17" si="0">C4-(C4-E4)/($E$2-$C$2)*($D$2-$C$2)</f>
        <v>1.1105844111871065E-2</v>
      </c>
      <c r="E4" s="288">
        <f t="shared" ref="E4:E16" si="1">C4</f>
        <v>1.1105844111871065E-2</v>
      </c>
      <c r="I4" s="218"/>
    </row>
    <row r="5" spans="1:9" x14ac:dyDescent="0.25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88">
        <f t="shared" si="0"/>
        <v>0</v>
      </c>
      <c r="E5" s="288">
        <f t="shared" si="1"/>
        <v>0</v>
      </c>
      <c r="I5" s="218"/>
    </row>
    <row r="6" spans="1:9" x14ac:dyDescent="0.25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88">
        <f t="shared" si="0"/>
        <v>3.4278740522131958E-2</v>
      </c>
      <c r="E6" s="427">
        <v>8.6999999999999994E-2</v>
      </c>
      <c r="I6" s="218"/>
    </row>
    <row r="7" spans="1:9" x14ac:dyDescent="0.25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88">
        <f t="shared" si="0"/>
        <v>9.683754317058306E-3</v>
      </c>
      <c r="E7" s="288">
        <f t="shared" si="1"/>
        <v>9.683754317058306E-3</v>
      </c>
      <c r="I7" s="218"/>
    </row>
    <row r="8" spans="1:9" x14ac:dyDescent="0.25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88">
        <f t="shared" si="0"/>
        <v>7.3092357195752522E-2</v>
      </c>
      <c r="E8" s="427">
        <v>0</v>
      </c>
      <c r="I8" s="218"/>
    </row>
    <row r="9" spans="1:9" x14ac:dyDescent="0.25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88">
        <f t="shared" si="0"/>
        <v>2.0464627973882481E-2</v>
      </c>
      <c r="E9" s="427">
        <v>2.8000000000000001E-2</v>
      </c>
      <c r="I9" s="218"/>
    </row>
    <row r="10" spans="1:9" x14ac:dyDescent="0.25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88">
        <f t="shared" si="0"/>
        <v>0</v>
      </c>
      <c r="E10" s="288">
        <f t="shared" si="1"/>
        <v>0</v>
      </c>
      <c r="I10" s="218"/>
    </row>
    <row r="11" spans="1:9" x14ac:dyDescent="0.25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88">
        <f t="shared" si="0"/>
        <v>0</v>
      </c>
      <c r="E11" s="288">
        <f t="shared" si="1"/>
        <v>0</v>
      </c>
      <c r="I11" s="218"/>
    </row>
    <row r="12" spans="1:9" x14ac:dyDescent="0.25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88">
        <f t="shared" si="0"/>
        <v>0.18797198199123152</v>
      </c>
      <c r="E12" s="427">
        <v>0.25</v>
      </c>
    </row>
    <row r="13" spans="1:9" x14ac:dyDescent="0.25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88">
        <f t="shared" si="0"/>
        <v>7.1213713227182666E-3</v>
      </c>
      <c r="E13" s="427">
        <v>0</v>
      </c>
    </row>
    <row r="14" spans="1:9" x14ac:dyDescent="0.25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0.16400000000000001</v>
      </c>
      <c r="E14" s="111">
        <f>ROUND('[1]Processer - data'!J$491/'[1]Processer - data'!J$490*E15*'[1]Processer - data'!$H$451/'[1]Processer - data'!$H$452,3)</f>
        <v>0.46200000000000002</v>
      </c>
      <c r="F14" s="1" t="s">
        <v>315</v>
      </c>
    </row>
    <row r="15" spans="1:9" x14ac:dyDescent="0.25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88">
        <f t="shared" si="0"/>
        <v>5.0990322580645162E-2</v>
      </c>
      <c r="E15" s="427">
        <v>0.14369999999999999</v>
      </c>
    </row>
    <row r="16" spans="1:9" x14ac:dyDescent="0.25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88">
        <f t="shared" si="0"/>
        <v>8.1939459605877979E-3</v>
      </c>
      <c r="E16" s="288">
        <f t="shared" si="1"/>
        <v>8.1939459605877979E-3</v>
      </c>
    </row>
    <row r="17" spans="1:6" ht="15.75" thickBot="1" x14ac:dyDescent="0.3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88">
        <f t="shared" si="0"/>
        <v>0.17501971483932133</v>
      </c>
      <c r="E17" s="427">
        <v>0</v>
      </c>
      <c r="F17" s="289"/>
    </row>
    <row r="18" spans="1:6" ht="15.75" thickBot="1" x14ac:dyDescent="0.3">
      <c r="A18" s="219" t="s">
        <v>30</v>
      </c>
      <c r="B18" s="219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2" t="s">
        <v>316</v>
      </c>
    </row>
    <row r="20" spans="1:6" x14ac:dyDescent="0.25">
      <c r="D20" s="392"/>
    </row>
    <row r="21" spans="1:6" x14ac:dyDescent="0.25">
      <c r="D21" s="392"/>
      <c r="E21" s="392"/>
    </row>
    <row r="22" spans="1:6" x14ac:dyDescent="0.25">
      <c r="D22" s="392"/>
      <c r="E22" s="392"/>
    </row>
    <row r="23" spans="1:6" x14ac:dyDescent="0.25">
      <c r="D23" s="392"/>
      <c r="E23" s="392"/>
    </row>
    <row r="24" spans="1:6" x14ac:dyDescent="0.25">
      <c r="D24" s="392"/>
      <c r="E24" s="392"/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60" sqref="D60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03" t="s">
        <v>271</v>
      </c>
    </row>
    <row r="2" spans="1:4" x14ac:dyDescent="0.25">
      <c r="A2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280</v>
      </c>
      <c r="B9" s="2"/>
      <c r="C9" s="188">
        <v>5.0000000000000001E-3</v>
      </c>
      <c r="D9" s="4"/>
    </row>
    <row r="10" spans="1:4" x14ac:dyDescent="0.25">
      <c r="A10" s="79"/>
      <c r="B10" s="79"/>
      <c r="C10" s="79"/>
      <c r="D10" s="81"/>
    </row>
    <row r="11" spans="1:4" x14ac:dyDescent="0.25">
      <c r="A11" s="2" t="s">
        <v>279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25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25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25">
      <c r="A16" s="2" t="s">
        <v>179</v>
      </c>
      <c r="B16" s="7">
        <v>0</v>
      </c>
      <c r="C16" s="8">
        <v>0.45</v>
      </c>
      <c r="D16" s="8">
        <v>0.45</v>
      </c>
    </row>
    <row r="17" spans="1:8" ht="15.75" thickBot="1" x14ac:dyDescent="0.3">
      <c r="A17" s="307" t="s">
        <v>180</v>
      </c>
      <c r="B17" s="308">
        <v>0</v>
      </c>
      <c r="C17" s="311">
        <v>0</v>
      </c>
      <c r="D17" s="311">
        <v>0</v>
      </c>
    </row>
    <row r="18" spans="1:8" ht="15.75" thickBot="1" x14ac:dyDescent="0.3">
      <c r="A18" s="309" t="s">
        <v>30</v>
      </c>
      <c r="B18" s="310"/>
      <c r="C18" s="310">
        <f>SUM(C13:C17)</f>
        <v>1</v>
      </c>
      <c r="D18" s="310">
        <f>SUM(D13:D17)</f>
        <v>1</v>
      </c>
    </row>
    <row r="19" spans="1:8" x14ac:dyDescent="0.25">
      <c r="B19" s="12"/>
      <c r="C19" s="12"/>
      <c r="D19" s="12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25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25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5990.8547557908014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3672.2025152281963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1058.8969643834553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692.58198008610782</v>
      </c>
    </row>
    <row r="24" spans="1:8" hidden="1" x14ac:dyDescent="0.25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602.03212367175934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3719.4227792491643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106.75219451005873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706.63266688518274</v>
      </c>
    </row>
    <row r="25" spans="1:8" hidden="1" x14ac:dyDescent="0.25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5990.8547557908014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1058.8969643834553</v>
      </c>
    </row>
    <row r="26" spans="1:8" hidden="1" x14ac:dyDescent="0.25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600.04669858305454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106.40013940050427</v>
      </c>
    </row>
    <row r="27" spans="1:8" hidden="1" x14ac:dyDescent="0.25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53925.95798889982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34274.402036728592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9531.5382604265742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6453.4988841159684</v>
      </c>
    </row>
    <row r="28" spans="1:8" hidden="1" x14ac:dyDescent="0.25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5410.0239262632222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33725.234224713757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959.30416961505148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6400.3081467191514</v>
      </c>
    </row>
    <row r="29" spans="1:8" hidden="1" x14ac:dyDescent="0.25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52603.55245068777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9297.7225933179252</v>
      </c>
    </row>
    <row r="30" spans="1:8" hidden="1" x14ac:dyDescent="0.25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5239.5520275308181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929.07613264421627</v>
      </c>
    </row>
    <row r="31" spans="1:8" hidden="1" x14ac:dyDescent="0.25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5990.8547557908014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3671.3116940007144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1058.8969643834553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692.42401987566257</v>
      </c>
    </row>
    <row r="32" spans="1:8" hidden="1" x14ac:dyDescent="0.25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602.03212367175934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3719.4227792491643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106.75219451005873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706.63266688518274</v>
      </c>
    </row>
    <row r="33" spans="1:10" hidden="1" x14ac:dyDescent="0.25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5990.8547557908014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1058.8969643834553</v>
      </c>
    </row>
    <row r="34" spans="1:10" hidden="1" x14ac:dyDescent="0.25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600.93751981053799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106.55809961094953</v>
      </c>
    </row>
    <row r="35" spans="1:10" hidden="1" x14ac:dyDescent="0.25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53929.586607487312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34380.26923722338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9532.181686220687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6473.7861562589387</v>
      </c>
    </row>
    <row r="36" spans="1:10" hidden="1" x14ac:dyDescent="0.25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5406.3953076757343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33825.331863169748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958.66074382093962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6416.4042061689133</v>
      </c>
    </row>
    <row r="37" spans="1:10" hidden="1" x14ac:dyDescent="0.25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52404.419555420332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9262.5507003715484</v>
      </c>
    </row>
    <row r="38" spans="1:10" hidden="1" x14ac:dyDescent="0.25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5232.7200838474982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927.86469399786017</v>
      </c>
    </row>
    <row r="39" spans="1:10" hidden="1" x14ac:dyDescent="0.25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37"/>
    </row>
    <row r="44" spans="1:10" hidden="1" x14ac:dyDescent="0.25">
      <c r="B44" s="137"/>
    </row>
    <row r="45" spans="1:10" hidden="1" x14ac:dyDescent="0.25">
      <c r="B45" s="137"/>
    </row>
    <row r="46" spans="1:10" hidden="1" x14ac:dyDescent="0.25"/>
    <row r="47" spans="1:10" hidden="1" x14ac:dyDescent="0.25">
      <c r="A47" s="440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25">
      <c r="A48" s="441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25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 t="shared" ref="H49:H54" si="1">SUM(B49,E49)</f>
        <v>562410</v>
      </c>
      <c r="I49" s="103">
        <f t="shared" ref="I49:J54" si="2">SUM(C49,F49)</f>
        <v>532239.27923287847</v>
      </c>
      <c r="J49" s="103">
        <f t="shared" si="2"/>
        <v>481469.23000787059</v>
      </c>
    </row>
    <row r="50" spans="1:10" hidden="1" x14ac:dyDescent="0.25">
      <c r="A50" s="2" t="s">
        <v>176</v>
      </c>
      <c r="B50" s="103">
        <f t="shared" si="0"/>
        <v>0</v>
      </c>
      <c r="C50" s="103">
        <f t="shared" ca="1" si="0"/>
        <v>6592.8868794625605</v>
      </c>
      <c r="D50" s="103">
        <f t="shared" ca="1" si="0"/>
        <v>13982.526748851216</v>
      </c>
      <c r="E50" s="103">
        <f t="shared" ca="1" si="0"/>
        <v>0</v>
      </c>
      <c r="F50" s="103">
        <f t="shared" ca="1" si="0"/>
        <v>1165.6491588935139</v>
      </c>
      <c r="G50" s="103">
        <f t="shared" ca="1" si="0"/>
        <v>2564.5117507552504</v>
      </c>
      <c r="H50" s="103">
        <f t="shared" ca="1" si="1"/>
        <v>0</v>
      </c>
      <c r="I50" s="103">
        <f t="shared" ca="1" si="2"/>
        <v>7758.5360383560746</v>
      </c>
      <c r="J50" s="103">
        <f t="shared" ca="1" si="2"/>
        <v>16547.038499606468</v>
      </c>
    </row>
    <row r="51" spans="1:10" hidden="1" x14ac:dyDescent="0.25">
      <c r="A51" s="2" t="s">
        <v>177</v>
      </c>
      <c r="B51" s="103">
        <f t="shared" si="0"/>
        <v>0</v>
      </c>
      <c r="C51" s="103">
        <f ca="1">SUMIF($A$22:$A$42,$A51,D$22:D$42)</f>
        <v>59335.981915163044</v>
      </c>
      <c r="D51" s="103">
        <f t="shared" ca="1" si="0"/>
        <v>125842.74073966095</v>
      </c>
      <c r="E51" s="103">
        <f t="shared" ca="1" si="0"/>
        <v>0</v>
      </c>
      <c r="F51" s="103">
        <f t="shared" ca="1" si="0"/>
        <v>10490.842430041626</v>
      </c>
      <c r="G51" s="103">
        <f t="shared" ca="1" si="0"/>
        <v>23080.60575679726</v>
      </c>
      <c r="H51" s="103">
        <f t="shared" ca="1" si="1"/>
        <v>0</v>
      </c>
      <c r="I51" s="103">
        <f t="shared" ca="1" si="2"/>
        <v>69826.824345204674</v>
      </c>
      <c r="J51" s="103">
        <f t="shared" ca="1" si="2"/>
        <v>148923.34649645822</v>
      </c>
    </row>
    <row r="52" spans="1:10" hidden="1" x14ac:dyDescent="0.25">
      <c r="A52" s="2" t="s">
        <v>178</v>
      </c>
      <c r="B52" s="103">
        <f t="shared" si="0"/>
        <v>0</v>
      </c>
      <c r="C52" s="103">
        <f t="shared" ca="1" si="0"/>
        <v>6592.8868794625605</v>
      </c>
      <c r="D52" s="103">
        <f t="shared" ca="1" si="0"/>
        <v>13982.526748851218</v>
      </c>
      <c r="E52" s="103">
        <f t="shared" ca="1" si="0"/>
        <v>0</v>
      </c>
      <c r="F52" s="103">
        <f t="shared" ca="1" si="0"/>
        <v>1165.6491588935139</v>
      </c>
      <c r="G52" s="103">
        <f t="shared" ca="1" si="0"/>
        <v>2564.5117507552504</v>
      </c>
      <c r="H52" s="103">
        <f t="shared" ca="1" si="1"/>
        <v>0</v>
      </c>
      <c r="I52" s="103">
        <f t="shared" ca="1" si="2"/>
        <v>7758.5360383560746</v>
      </c>
      <c r="J52" s="103">
        <f t="shared" ca="1" si="2"/>
        <v>16547.038499606468</v>
      </c>
    </row>
    <row r="53" spans="1:10" hidden="1" x14ac:dyDescent="0.25">
      <c r="A53" s="2" t="s">
        <v>179</v>
      </c>
      <c r="B53" s="103">
        <f t="shared" si="0"/>
        <v>0</v>
      </c>
      <c r="C53" s="103">
        <f t="shared" ca="1" si="0"/>
        <v>59335.981915163044</v>
      </c>
      <c r="D53" s="103">
        <f t="shared" ca="1" si="0"/>
        <v>125842.74073966096</v>
      </c>
      <c r="E53" s="103">
        <f t="shared" ca="1" si="0"/>
        <v>0</v>
      </c>
      <c r="F53" s="103">
        <f t="shared" ca="1" si="0"/>
        <v>10490.842430041626</v>
      </c>
      <c r="G53" s="103">
        <f t="shared" ca="1" si="0"/>
        <v>23080.605756797264</v>
      </c>
      <c r="H53" s="103">
        <f t="shared" ca="1" si="1"/>
        <v>0</v>
      </c>
      <c r="I53" s="103">
        <f t="shared" ca="1" si="2"/>
        <v>69826.824345204674</v>
      </c>
      <c r="J53" s="103">
        <f t="shared" ca="1" si="2"/>
        <v>148923.34649645822</v>
      </c>
    </row>
    <row r="54" spans="1:10" hidden="1" x14ac:dyDescent="0.25">
      <c r="A54" s="2" t="s">
        <v>180</v>
      </c>
      <c r="B54" s="103">
        <f t="shared" si="0"/>
        <v>0</v>
      </c>
      <c r="C54" s="103">
        <f t="shared" ca="1" si="0"/>
        <v>0</v>
      </c>
      <c r="D54" s="103">
        <f t="shared" ca="1" si="0"/>
        <v>0</v>
      </c>
      <c r="E54" s="103">
        <f t="shared" ca="1" si="0"/>
        <v>0</v>
      </c>
      <c r="F54" s="103">
        <f t="shared" ca="1" si="0"/>
        <v>0</v>
      </c>
      <c r="G54" s="103">
        <f t="shared" ca="1" si="0"/>
        <v>0</v>
      </c>
      <c r="H54" s="103">
        <f t="shared" ca="1" si="1"/>
        <v>0</v>
      </c>
      <c r="I54" s="103">
        <f t="shared" ca="1" si="2"/>
        <v>0</v>
      </c>
      <c r="J54" s="103">
        <f t="shared" ca="1" si="2"/>
        <v>0</v>
      </c>
    </row>
    <row r="55" spans="1:10" hidden="1" x14ac:dyDescent="0.25"/>
    <row r="57" spans="1:10" x14ac:dyDescent="0.25">
      <c r="A57" s="1" t="s">
        <v>327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12" t="s">
        <v>119</v>
      </c>
      <c r="B60" s="308">
        <f>'[1]Processer - data'!$H424</f>
        <v>0.52</v>
      </c>
      <c r="C60" s="311">
        <f>B60</f>
        <v>0.52</v>
      </c>
      <c r="D60" s="311">
        <f>C60</f>
        <v>0.52</v>
      </c>
    </row>
    <row r="61" spans="1:10" ht="15.75" thickBot="1" x14ac:dyDescent="0.3">
      <c r="A61" s="309" t="s">
        <v>30</v>
      </c>
      <c r="B61" s="310">
        <f>SUM(B59:B60)</f>
        <v>1</v>
      </c>
      <c r="C61" s="310">
        <f>SUM(C59:C60)</f>
        <v>1</v>
      </c>
      <c r="D61" s="310">
        <f>SUM(D59:D60)</f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5" x14ac:dyDescent="0.25"/>
  <cols>
    <col min="1" max="1" width="10.140625" bestFit="1" customWidth="1"/>
    <col min="2" max="2" width="12.7109375" bestFit="1" customWidth="1"/>
  </cols>
  <sheetData>
    <row r="1" spans="1:36" x14ac:dyDescent="0.25">
      <c r="D1" t="s">
        <v>329</v>
      </c>
      <c r="E1" t="s">
        <v>328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25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108.76613040576632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602.03212367175934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25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108.22229975373483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601.48829301972796</v>
      </c>
      <c r="G3">
        <f ca="1">IF($C3-G$1&lt;År1,0,F2*(1-VLOOKUP($A3,[1]Hugst!$R$5:$W$9,MATCH(ROUNDUP((G$1)/10,0)*10,[1]Hugst!$R$4:$W$4,0))))</f>
        <v>602.03212367175934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25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107.68118825496936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600.94718152096243</v>
      </c>
      <c r="G4">
        <f ca="1">IF($C4-G$1&lt;År1,0,F3*(1-VLOOKUP($A4,[1]Hugst!$R$5:$W$9,MATCH(ROUNDUP((G$1)/10,0)*10,[1]Hugst!$R$4:$W$4,0))))</f>
        <v>601.48829301972796</v>
      </c>
      <c r="H4">
        <f ca="1">IF($C4-H$1&lt;År1,0,G3*(1-VLOOKUP($A4,[1]Hugst!$R$5:$W$9,MATCH(ROUNDUP((H$1)/10,0)*10,[1]Hugst!$R$4:$W$4,0))))</f>
        <v>602.03212367175934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25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107.14278231369389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600.40877557968702</v>
      </c>
      <c r="G5">
        <f ca="1">IF($C5-G$1&lt;År1,0,F4*(1-VLOOKUP($A5,[1]Hugst!$R$5:$W$9,MATCH(ROUNDUP((G$1)/10,0)*10,[1]Hugst!$R$4:$W$4,0))))</f>
        <v>600.94718152096243</v>
      </c>
      <c r="H5">
        <f ca="1">IF($C5-H$1&lt;År1,0,G4*(1-VLOOKUP($A5,[1]Hugst!$R$5:$W$9,MATCH(ROUNDUP((H$1)/10,0)*10,[1]Hugst!$R$4:$W$4,0))))</f>
        <v>601.48829301972796</v>
      </c>
      <c r="I5">
        <f ca="1">IF($C5-I$1&lt;År1,0,H4*(1-VLOOKUP($A5,[1]Hugst!$R$5:$W$9,MATCH(ROUNDUP((I$1)/10,0)*10,[1]Hugst!$R$4:$W$4,0))))</f>
        <v>602.03212367175934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25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106.60706840212509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599.87306166811823</v>
      </c>
      <c r="G6">
        <f ca="1">IF($C6-G$1&lt;År1,0,F5*(1-VLOOKUP($A6,[1]Hugst!$R$5:$W$9,MATCH(ROUNDUP((G$1)/10,0)*10,[1]Hugst!$R$4:$W$4,0))))</f>
        <v>600.40877557968702</v>
      </c>
      <c r="H6">
        <f ca="1">IF($C6-H$1&lt;År1,0,G5*(1-VLOOKUP($A6,[1]Hugst!$R$5:$W$9,MATCH(ROUNDUP((H$1)/10,0)*10,[1]Hugst!$R$4:$W$4,0))))</f>
        <v>600.94718152096243</v>
      </c>
      <c r="I6">
        <f ca="1">IF($C6-I$1&lt;År1,0,H5*(1-VLOOKUP($A6,[1]Hugst!$R$5:$W$9,MATCH(ROUNDUP((I$1)/10,0)*10,[1]Hugst!$R$4:$W$4,0))))</f>
        <v>601.48829301972796</v>
      </c>
      <c r="J6">
        <f ca="1">IF($C6-J$1&lt;År1,0,I5*(1-VLOOKUP($A6,[1]Hugst!$R$5:$W$9,MATCH(ROUNDUP((J$1)/10,0)*10,[1]Hugst!$R$4:$W$4,0))))</f>
        <v>602.03212367175934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25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106.07403306011406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599.34002632610714</v>
      </c>
      <c r="G7">
        <f ca="1">IF($C7-G$1&lt;År1,0,F6*(1-VLOOKUP($A7,[1]Hugst!$R$5:$W$9,MATCH(ROUNDUP((G$1)/10,0)*10,[1]Hugst!$R$4:$W$4,0))))</f>
        <v>599.87306166811823</v>
      </c>
      <c r="H7">
        <f ca="1">IF($C7-H$1&lt;År1,0,G6*(1-VLOOKUP($A7,[1]Hugst!$R$5:$W$9,MATCH(ROUNDUP((H$1)/10,0)*10,[1]Hugst!$R$4:$W$4,0))))</f>
        <v>600.40877557968702</v>
      </c>
      <c r="I7">
        <f ca="1">IF($C7-I$1&lt;År1,0,H6*(1-VLOOKUP($A7,[1]Hugst!$R$5:$W$9,MATCH(ROUNDUP((I$1)/10,0)*10,[1]Hugst!$R$4:$W$4,0))))</f>
        <v>600.94718152096243</v>
      </c>
      <c r="J7">
        <f ca="1">IF($C7-J$1&lt;År1,0,I6*(1-VLOOKUP($A7,[1]Hugst!$R$5:$W$9,MATCH(ROUNDUP((J$1)/10,0)*10,[1]Hugst!$R$4:$W$4,0))))</f>
        <v>601.48829301972796</v>
      </c>
      <c r="K7">
        <f ca="1">IF($C7-K$1&lt;År1,0,J6*(1-VLOOKUP($A7,[1]Hugst!$R$5:$W$9,MATCH(ROUNDUP((K$1)/10,0)*10,[1]Hugst!$R$4:$W$4,0))))</f>
        <v>602.03212367175934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25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105.54366289481402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598.80965616080709</v>
      </c>
      <c r="G8">
        <f ca="1">IF($C8-G$1&lt;År1,0,F7*(1-VLOOKUP($A8,[1]Hugst!$R$5:$W$9,MATCH(ROUNDUP((G$1)/10,0)*10,[1]Hugst!$R$4:$W$4,0))))</f>
        <v>599.34002632610714</v>
      </c>
      <c r="H8">
        <f ca="1">IF($C8-H$1&lt;År1,0,G7*(1-VLOOKUP($A8,[1]Hugst!$R$5:$W$9,MATCH(ROUNDUP((H$1)/10,0)*10,[1]Hugst!$R$4:$W$4,0))))</f>
        <v>599.87306166811823</v>
      </c>
      <c r="I8">
        <f ca="1">IF($C8-I$1&lt;År1,0,H7*(1-VLOOKUP($A8,[1]Hugst!$R$5:$W$9,MATCH(ROUNDUP((I$1)/10,0)*10,[1]Hugst!$R$4:$W$4,0))))</f>
        <v>600.40877557968702</v>
      </c>
      <c r="J8">
        <f ca="1">IF($C8-J$1&lt;År1,0,I7*(1-VLOOKUP($A8,[1]Hugst!$R$5:$W$9,MATCH(ROUNDUP((J$1)/10,0)*10,[1]Hugst!$R$4:$W$4,0))))</f>
        <v>600.94718152096243</v>
      </c>
      <c r="K8">
        <f ca="1">IF($C8-K$1&lt;År1,0,J7*(1-VLOOKUP($A8,[1]Hugst!$R$5:$W$9,MATCH(ROUNDUP((K$1)/10,0)*10,[1]Hugst!$R$4:$W$4,0))))</f>
        <v>601.48829301972796</v>
      </c>
      <c r="L8">
        <f ca="1">IF($C8-L$1&lt;År1,0,K7*(1-VLOOKUP($A8,[1]Hugst!$R$5:$W$9,MATCH(ROUNDUP((L$1)/10,0)*10,[1]Hugst!$R$4:$W$4,0))))</f>
        <v>602.03212367175934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25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105.01594458034094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598.28193784633402</v>
      </c>
      <c r="G9">
        <f ca="1">IF($C9-G$1&lt;År1,0,F8*(1-VLOOKUP($A9,[1]Hugst!$R$5:$W$9,MATCH(ROUNDUP((G$1)/10,0)*10,[1]Hugst!$R$4:$W$4,0))))</f>
        <v>598.80965616080709</v>
      </c>
      <c r="H9">
        <f ca="1">IF($C9-H$1&lt;År1,0,G8*(1-VLOOKUP($A9,[1]Hugst!$R$5:$W$9,MATCH(ROUNDUP((H$1)/10,0)*10,[1]Hugst!$R$4:$W$4,0))))</f>
        <v>599.34002632610714</v>
      </c>
      <c r="I9">
        <f ca="1">IF($C9-I$1&lt;År1,0,H8*(1-VLOOKUP($A9,[1]Hugst!$R$5:$W$9,MATCH(ROUNDUP((I$1)/10,0)*10,[1]Hugst!$R$4:$W$4,0))))</f>
        <v>599.87306166811823</v>
      </c>
      <c r="J9">
        <f ca="1">IF($C9-J$1&lt;År1,0,I8*(1-VLOOKUP($A9,[1]Hugst!$R$5:$W$9,MATCH(ROUNDUP((J$1)/10,0)*10,[1]Hugst!$R$4:$W$4,0))))</f>
        <v>600.40877557968702</v>
      </c>
      <c r="K9">
        <f ca="1">IF($C9-K$1&lt;År1,0,J8*(1-VLOOKUP($A9,[1]Hugst!$R$5:$W$9,MATCH(ROUNDUP((K$1)/10,0)*10,[1]Hugst!$R$4:$W$4,0))))</f>
        <v>600.94718152096243</v>
      </c>
      <c r="L9">
        <f ca="1">IF($C9-L$1&lt;År1,0,K8*(1-VLOOKUP($A9,[1]Hugst!$R$5:$W$9,MATCH(ROUNDUP((L$1)/10,0)*10,[1]Hugst!$R$4:$W$4,0))))</f>
        <v>601.48829301972796</v>
      </c>
      <c r="M9">
        <f ca="1">IF($C9-M$1&lt;År1,0,L8*(1-VLOOKUP($A9,[1]Hugst!$R$5:$W$9,MATCH(ROUNDUP((M$1)/10,0)*10,[1]Hugst!$R$4:$W$4,0))))</f>
        <v>602.03212367175934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25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104.49086485744044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597.75685812343352</v>
      </c>
      <c r="G10">
        <f ca="1">IF($C10-G$1&lt;År1,0,F9*(1-VLOOKUP($A10,[1]Hugst!$R$5:$W$9,MATCH(ROUNDUP((G$1)/10,0)*10,[1]Hugst!$R$4:$W$4,0))))</f>
        <v>598.28193784633402</v>
      </c>
      <c r="H10">
        <f ca="1">IF($C10-H$1&lt;År1,0,G9*(1-VLOOKUP($A10,[1]Hugst!$R$5:$W$9,MATCH(ROUNDUP((H$1)/10,0)*10,[1]Hugst!$R$4:$W$4,0))))</f>
        <v>598.80965616080709</v>
      </c>
      <c r="I10">
        <f ca="1">IF($C10-I$1&lt;År1,0,H9*(1-VLOOKUP($A10,[1]Hugst!$R$5:$W$9,MATCH(ROUNDUP((I$1)/10,0)*10,[1]Hugst!$R$4:$W$4,0))))</f>
        <v>599.34002632610714</v>
      </c>
      <c r="J10">
        <f ca="1">IF($C10-J$1&lt;År1,0,I9*(1-VLOOKUP($A10,[1]Hugst!$R$5:$W$9,MATCH(ROUNDUP((J$1)/10,0)*10,[1]Hugst!$R$4:$W$4,0))))</f>
        <v>599.87306166811823</v>
      </c>
      <c r="K10">
        <f ca="1">IF($C10-K$1&lt;År1,0,J9*(1-VLOOKUP($A10,[1]Hugst!$R$5:$W$9,MATCH(ROUNDUP((K$1)/10,0)*10,[1]Hugst!$R$4:$W$4,0))))</f>
        <v>600.40877557968702</v>
      </c>
      <c r="L10">
        <f ca="1">IF($C10-L$1&lt;År1,0,K9*(1-VLOOKUP($A10,[1]Hugst!$R$5:$W$9,MATCH(ROUNDUP((L$1)/10,0)*10,[1]Hugst!$R$4:$W$4,0))))</f>
        <v>600.94718152096243</v>
      </c>
      <c r="M10">
        <f ca="1">IF($C10-M$1&lt;År1,0,L9*(1-VLOOKUP($A10,[1]Hugst!$R$5:$W$9,MATCH(ROUNDUP((M$1)/10,0)*10,[1]Hugst!$R$4:$W$4,0))))</f>
        <v>601.48829301972796</v>
      </c>
      <c r="N10">
        <f ca="1">IF($C10-N$1&lt;År1,0,M9*(1-VLOOKUP($A10,[1]Hugst!$R$5:$W$9,MATCH(ROUNDUP((N$1)/10,0)*10,[1]Hugst!$R$4:$W$4,0))))</f>
        <v>602.03212367175934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25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103.96841053314847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597.23440379914155</v>
      </c>
      <c r="G11">
        <f ca="1">IF($C11-G$1&lt;År1,0,F10*(1-VLOOKUP($A11,[1]Hugst!$R$5:$W$9,MATCH(ROUNDUP((G$1)/10,0)*10,[1]Hugst!$R$4:$W$4,0))))</f>
        <v>597.75685812343352</v>
      </c>
      <c r="H11">
        <f ca="1">IF($C11-H$1&lt;År1,0,G10*(1-VLOOKUP($A11,[1]Hugst!$R$5:$W$9,MATCH(ROUNDUP((H$1)/10,0)*10,[1]Hugst!$R$4:$W$4,0))))</f>
        <v>598.28193784633402</v>
      </c>
      <c r="I11">
        <f ca="1">IF($C11-I$1&lt;År1,0,H10*(1-VLOOKUP($A11,[1]Hugst!$R$5:$W$9,MATCH(ROUNDUP((I$1)/10,0)*10,[1]Hugst!$R$4:$W$4,0))))</f>
        <v>598.80965616080709</v>
      </c>
      <c r="J11">
        <f ca="1">IF($C11-J$1&lt;År1,0,I10*(1-VLOOKUP($A11,[1]Hugst!$R$5:$W$9,MATCH(ROUNDUP((J$1)/10,0)*10,[1]Hugst!$R$4:$W$4,0))))</f>
        <v>599.34002632610714</v>
      </c>
      <c r="K11">
        <f ca="1">IF($C11-K$1&lt;År1,0,J10*(1-VLOOKUP($A11,[1]Hugst!$R$5:$W$9,MATCH(ROUNDUP((K$1)/10,0)*10,[1]Hugst!$R$4:$W$4,0))))</f>
        <v>599.87306166811823</v>
      </c>
      <c r="L11">
        <f ca="1">IF($C11-L$1&lt;År1,0,K10*(1-VLOOKUP($A11,[1]Hugst!$R$5:$W$9,MATCH(ROUNDUP((L$1)/10,0)*10,[1]Hugst!$R$4:$W$4,0))))</f>
        <v>600.40877557968702</v>
      </c>
      <c r="M11">
        <f ca="1">IF($C11-M$1&lt;År1,0,L10*(1-VLOOKUP($A11,[1]Hugst!$R$5:$W$9,MATCH(ROUNDUP((M$1)/10,0)*10,[1]Hugst!$R$4:$W$4,0))))</f>
        <v>600.94718152096243</v>
      </c>
      <c r="N11">
        <f ca="1">IF($C11-N$1&lt;År1,0,M10*(1-VLOOKUP($A11,[1]Hugst!$R$5:$W$9,MATCH(ROUNDUP((N$1)/10,0)*10,[1]Hugst!$R$4:$W$4,0))))</f>
        <v>601.48829301972796</v>
      </c>
      <c r="O11">
        <f ca="1">IF($C11-O$1&lt;År1,0,N10*(1-VLOOKUP($A11,[1]Hugst!$R$5:$W$9,MATCH(ROUNDUP((O$1)/10,0)*10,[1]Hugst!$R$4:$W$4,0))))</f>
        <v>602.03212367175934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25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103.44856848048812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596.71456174648119</v>
      </c>
      <c r="G12">
        <f ca="1">IF($C12-G$1&lt;År1,0,F11*(1-VLOOKUP($A12,[1]Hugst!$R$5:$W$9,MATCH(ROUNDUP((G$1)/10,0)*10,[1]Hugst!$R$4:$W$4,0))))</f>
        <v>597.23440379914155</v>
      </c>
      <c r="H12">
        <f ca="1">IF($C12-H$1&lt;År1,0,G11*(1-VLOOKUP($A12,[1]Hugst!$R$5:$W$9,MATCH(ROUNDUP((H$1)/10,0)*10,[1]Hugst!$R$4:$W$4,0))))</f>
        <v>597.75685812343352</v>
      </c>
      <c r="I12">
        <f ca="1">IF($C12-I$1&lt;År1,0,H11*(1-VLOOKUP($A12,[1]Hugst!$R$5:$W$9,MATCH(ROUNDUP((I$1)/10,0)*10,[1]Hugst!$R$4:$W$4,0))))</f>
        <v>598.28193784633402</v>
      </c>
      <c r="J12">
        <f ca="1">IF($C12-J$1&lt;År1,0,I11*(1-VLOOKUP($A12,[1]Hugst!$R$5:$W$9,MATCH(ROUNDUP((J$1)/10,0)*10,[1]Hugst!$R$4:$W$4,0))))</f>
        <v>598.80965616080709</v>
      </c>
      <c r="K12">
        <f ca="1">IF($C12-K$1&lt;År1,0,J11*(1-VLOOKUP($A12,[1]Hugst!$R$5:$W$9,MATCH(ROUNDUP((K$1)/10,0)*10,[1]Hugst!$R$4:$W$4,0))))</f>
        <v>599.34002632610714</v>
      </c>
      <c r="L12">
        <f ca="1">IF($C12-L$1&lt;År1,0,K11*(1-VLOOKUP($A12,[1]Hugst!$R$5:$W$9,MATCH(ROUNDUP((L$1)/10,0)*10,[1]Hugst!$R$4:$W$4,0))))</f>
        <v>599.87306166811823</v>
      </c>
      <c r="M12">
        <f ca="1">IF($C12-M$1&lt;År1,0,L11*(1-VLOOKUP($A12,[1]Hugst!$R$5:$W$9,MATCH(ROUNDUP((M$1)/10,0)*10,[1]Hugst!$R$4:$W$4,0))))</f>
        <v>600.40877557968702</v>
      </c>
      <c r="N12">
        <f ca="1">IF($C12-N$1&lt;År1,0,M11*(1-VLOOKUP($A12,[1]Hugst!$R$5:$W$9,MATCH(ROUNDUP((N$1)/10,0)*10,[1]Hugst!$R$4:$W$4,0))))</f>
        <v>600.94718152096243</v>
      </c>
      <c r="O12">
        <f ca="1">IF($C12-O$1&lt;År1,0,N11*(1-VLOOKUP($A12,[1]Hugst!$R$5:$W$9,MATCH(ROUNDUP((O$1)/10,0)*10,[1]Hugst!$R$4:$W$4,0))))</f>
        <v>601.48829301972796</v>
      </c>
      <c r="P12">
        <f ca="1">IF($C12-P$1&lt;År1,0,O11*(1-VLOOKUP($A12,[1]Hugst!$R$5:$W$9,MATCH(ROUNDUP((P$1)/10,0)*10,[1]Hugst!$R$4:$W$4,0))))</f>
        <v>602.03212367175934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25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102.93132563807899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374.22762193437535</v>
      </c>
      <c r="G13">
        <f ca="1">IF($C13-G$1&lt;År1,0,F12*(1-VLOOKUP($A13,[1]Hugst!$R$5:$W$9,MATCH(ROUNDUP((G$1)/10,0)*10,[1]Hugst!$R$4:$W$4,0))))</f>
        <v>596.71456174648119</v>
      </c>
      <c r="H13">
        <f ca="1">IF($C13-H$1&lt;År1,0,G12*(1-VLOOKUP($A13,[1]Hugst!$R$5:$W$9,MATCH(ROUNDUP((H$1)/10,0)*10,[1]Hugst!$R$4:$W$4,0))))</f>
        <v>597.23440379914155</v>
      </c>
      <c r="I13">
        <f ca="1">IF($C13-I$1&lt;År1,0,H12*(1-VLOOKUP($A13,[1]Hugst!$R$5:$W$9,MATCH(ROUNDUP((I$1)/10,0)*10,[1]Hugst!$R$4:$W$4,0))))</f>
        <v>597.75685812343352</v>
      </c>
      <c r="J13">
        <f ca="1">IF($C13-J$1&lt;År1,0,I12*(1-VLOOKUP($A13,[1]Hugst!$R$5:$W$9,MATCH(ROUNDUP((J$1)/10,0)*10,[1]Hugst!$R$4:$W$4,0))))</f>
        <v>598.28193784633402</v>
      </c>
      <c r="K13">
        <f ca="1">IF($C13-K$1&lt;År1,0,J12*(1-VLOOKUP($A13,[1]Hugst!$R$5:$W$9,MATCH(ROUNDUP((K$1)/10,0)*10,[1]Hugst!$R$4:$W$4,0))))</f>
        <v>598.80965616080709</v>
      </c>
      <c r="L13">
        <f ca="1">IF($C13-L$1&lt;År1,0,K12*(1-VLOOKUP($A13,[1]Hugst!$R$5:$W$9,MATCH(ROUNDUP((L$1)/10,0)*10,[1]Hugst!$R$4:$W$4,0))))</f>
        <v>599.34002632610714</v>
      </c>
      <c r="M13">
        <f ca="1">IF($C13-M$1&lt;År1,0,L12*(1-VLOOKUP($A13,[1]Hugst!$R$5:$W$9,MATCH(ROUNDUP((M$1)/10,0)*10,[1]Hugst!$R$4:$W$4,0))))</f>
        <v>599.87306166811823</v>
      </c>
      <c r="N13">
        <f ca="1">IF($C13-N$1&lt;År1,0,M12*(1-VLOOKUP($A13,[1]Hugst!$R$5:$W$9,MATCH(ROUNDUP((N$1)/10,0)*10,[1]Hugst!$R$4:$W$4,0))))</f>
        <v>600.40877557968702</v>
      </c>
      <c r="O13">
        <f ca="1">IF($C13-O$1&lt;År1,0,N12*(1-VLOOKUP($A13,[1]Hugst!$R$5:$W$9,MATCH(ROUNDUP((O$1)/10,0)*10,[1]Hugst!$R$4:$W$4,0))))</f>
        <v>600.94718152096243</v>
      </c>
      <c r="P13">
        <f ca="1">IF($C13-P$1&lt;År1,0,O12*(1-VLOOKUP($A13,[1]Hugst!$R$5:$W$9,MATCH(ROUNDUP((P$1)/10,0)*10,[1]Hugst!$R$4:$W$4,0))))</f>
        <v>601.48829301972796</v>
      </c>
      <c r="Q13">
        <f ca="1">IF($C13-Q$1&lt;År1,0,P12*(1-VLOOKUP($A13,[1]Hugst!$R$5:$W$9,MATCH(ROUNDUP((Q$1)/10,0)*10,[1]Hugst!$R$4:$W$4,0))))</f>
        <v>602.03212367175934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25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102.41666900989367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373.71296530619003</v>
      </c>
      <c r="G14">
        <f ca="1">IF($C14-G$1&lt;År1,0,F13*(1-VLOOKUP($A14,[1]Hugst!$R$5:$W$9,MATCH(ROUNDUP((G$1)/10,0)*10,[1]Hugst!$R$4:$W$4,0))))</f>
        <v>374.22762193437535</v>
      </c>
      <c r="H14">
        <f ca="1">IF($C14-H$1&lt;År1,0,G13*(1-VLOOKUP($A14,[1]Hugst!$R$5:$W$9,MATCH(ROUNDUP((H$1)/10,0)*10,[1]Hugst!$R$4:$W$4,0))))</f>
        <v>596.71456174648119</v>
      </c>
      <c r="I14">
        <f ca="1">IF($C14-I$1&lt;År1,0,H13*(1-VLOOKUP($A14,[1]Hugst!$R$5:$W$9,MATCH(ROUNDUP((I$1)/10,0)*10,[1]Hugst!$R$4:$W$4,0))))</f>
        <v>597.23440379914155</v>
      </c>
      <c r="J14">
        <f ca="1">IF($C14-J$1&lt;År1,0,I13*(1-VLOOKUP($A14,[1]Hugst!$R$5:$W$9,MATCH(ROUNDUP((J$1)/10,0)*10,[1]Hugst!$R$4:$W$4,0))))</f>
        <v>597.75685812343352</v>
      </c>
      <c r="K14">
        <f ca="1">IF($C14-K$1&lt;År1,0,J13*(1-VLOOKUP($A14,[1]Hugst!$R$5:$W$9,MATCH(ROUNDUP((K$1)/10,0)*10,[1]Hugst!$R$4:$W$4,0))))</f>
        <v>598.28193784633402</v>
      </c>
      <c r="L14">
        <f ca="1">IF($C14-L$1&lt;År1,0,K13*(1-VLOOKUP($A14,[1]Hugst!$R$5:$W$9,MATCH(ROUNDUP((L$1)/10,0)*10,[1]Hugst!$R$4:$W$4,0))))</f>
        <v>598.80965616080709</v>
      </c>
      <c r="M14">
        <f ca="1">IF($C14-M$1&lt;År1,0,L13*(1-VLOOKUP($A14,[1]Hugst!$R$5:$W$9,MATCH(ROUNDUP((M$1)/10,0)*10,[1]Hugst!$R$4:$W$4,0))))</f>
        <v>599.34002632610714</v>
      </c>
      <c r="N14">
        <f ca="1">IF($C14-N$1&lt;År1,0,M13*(1-VLOOKUP($A14,[1]Hugst!$R$5:$W$9,MATCH(ROUNDUP((N$1)/10,0)*10,[1]Hugst!$R$4:$W$4,0))))</f>
        <v>599.87306166811823</v>
      </c>
      <c r="O14">
        <f ca="1">IF($C14-O$1&lt;År1,0,N13*(1-VLOOKUP($A14,[1]Hugst!$R$5:$W$9,MATCH(ROUNDUP((O$1)/10,0)*10,[1]Hugst!$R$4:$W$4,0))))</f>
        <v>600.40877557968702</v>
      </c>
      <c r="P14">
        <f ca="1">IF($C14-P$1&lt;År1,0,O13*(1-VLOOKUP($A14,[1]Hugst!$R$5:$W$9,MATCH(ROUNDUP((P$1)/10,0)*10,[1]Hugst!$R$4:$W$4,0))))</f>
        <v>600.94718152096243</v>
      </c>
      <c r="Q14">
        <f ca="1">IF($C14-Q$1&lt;År1,0,P13*(1-VLOOKUP($A14,[1]Hugst!$R$5:$W$9,MATCH(ROUNDUP((Q$1)/10,0)*10,[1]Hugst!$R$4:$W$4,0))))</f>
        <v>601.48829301972796</v>
      </c>
      <c r="R14">
        <f ca="1">IF($C14-R$1&lt;År1,0,Q13*(1-VLOOKUP($A14,[1]Hugst!$R$5:$W$9,MATCH(ROUNDUP((R$1)/10,0)*10,[1]Hugst!$R$4:$W$4,0))))</f>
        <v>602.03212367175934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25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101.90458566484153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373.2008819611379</v>
      </c>
      <c r="G15">
        <f ca="1">IF($C15-G$1&lt;År1,0,F14*(1-VLOOKUP($A15,[1]Hugst!$R$5:$W$9,MATCH(ROUNDUP((G$1)/10,0)*10,[1]Hugst!$R$4:$W$4,0))))</f>
        <v>373.71296530619003</v>
      </c>
      <c r="H15">
        <f ca="1">IF($C15-H$1&lt;År1,0,G14*(1-VLOOKUP($A15,[1]Hugst!$R$5:$W$9,MATCH(ROUNDUP((H$1)/10,0)*10,[1]Hugst!$R$4:$W$4,0))))</f>
        <v>374.22762193437535</v>
      </c>
      <c r="I15">
        <f ca="1">IF($C15-I$1&lt;År1,0,H14*(1-VLOOKUP($A15,[1]Hugst!$R$5:$W$9,MATCH(ROUNDUP((I$1)/10,0)*10,[1]Hugst!$R$4:$W$4,0))))</f>
        <v>596.71456174648119</v>
      </c>
      <c r="J15">
        <f ca="1">IF($C15-J$1&lt;År1,0,I14*(1-VLOOKUP($A15,[1]Hugst!$R$5:$W$9,MATCH(ROUNDUP((J$1)/10,0)*10,[1]Hugst!$R$4:$W$4,0))))</f>
        <v>597.23440379914155</v>
      </c>
      <c r="K15">
        <f ca="1">IF($C15-K$1&lt;År1,0,J14*(1-VLOOKUP($A15,[1]Hugst!$R$5:$W$9,MATCH(ROUNDUP((K$1)/10,0)*10,[1]Hugst!$R$4:$W$4,0))))</f>
        <v>597.75685812343352</v>
      </c>
      <c r="L15">
        <f ca="1">IF($C15-L$1&lt;År1,0,K14*(1-VLOOKUP($A15,[1]Hugst!$R$5:$W$9,MATCH(ROUNDUP((L$1)/10,0)*10,[1]Hugst!$R$4:$W$4,0))))</f>
        <v>598.28193784633402</v>
      </c>
      <c r="M15">
        <f ca="1">IF($C15-M$1&lt;År1,0,L14*(1-VLOOKUP($A15,[1]Hugst!$R$5:$W$9,MATCH(ROUNDUP((M$1)/10,0)*10,[1]Hugst!$R$4:$W$4,0))))</f>
        <v>598.80965616080709</v>
      </c>
      <c r="N15">
        <f ca="1">IF($C15-N$1&lt;År1,0,M14*(1-VLOOKUP($A15,[1]Hugst!$R$5:$W$9,MATCH(ROUNDUP((N$1)/10,0)*10,[1]Hugst!$R$4:$W$4,0))))</f>
        <v>599.34002632610714</v>
      </c>
      <c r="O15">
        <f ca="1">IF($C15-O$1&lt;År1,0,N14*(1-VLOOKUP($A15,[1]Hugst!$R$5:$W$9,MATCH(ROUNDUP((O$1)/10,0)*10,[1]Hugst!$R$4:$W$4,0))))</f>
        <v>599.87306166811823</v>
      </c>
      <c r="P15">
        <f ca="1">IF($C15-P$1&lt;År1,0,O14*(1-VLOOKUP($A15,[1]Hugst!$R$5:$W$9,MATCH(ROUNDUP((P$1)/10,0)*10,[1]Hugst!$R$4:$W$4,0))))</f>
        <v>600.40877557968702</v>
      </c>
      <c r="Q15">
        <f ca="1">IF($C15-Q$1&lt;År1,0,P14*(1-VLOOKUP($A15,[1]Hugst!$R$5:$W$9,MATCH(ROUNDUP((Q$1)/10,0)*10,[1]Hugst!$R$4:$W$4,0))))</f>
        <v>600.94718152096243</v>
      </c>
      <c r="R15">
        <f ca="1">IF($C15-R$1&lt;År1,0,Q14*(1-VLOOKUP($A15,[1]Hugst!$R$5:$W$9,MATCH(ROUNDUP((R$1)/10,0)*10,[1]Hugst!$R$4:$W$4,0))))</f>
        <v>601.48829301972796</v>
      </c>
      <c r="S15">
        <f ca="1">IF($C15-S$1&lt;År1,0,R14*(1-VLOOKUP($A15,[1]Hugst!$R$5:$W$9,MATCH(ROUNDUP((S$1)/10,0)*10,[1]Hugst!$R$4:$W$4,0))))</f>
        <v>602.03212367175934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25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101.39506273651773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372.69135903281409</v>
      </c>
      <c r="G16">
        <f ca="1">IF($C16-G$1&lt;År1,0,F15*(1-VLOOKUP($A16,[1]Hugst!$R$5:$W$9,MATCH(ROUNDUP((G$1)/10,0)*10,[1]Hugst!$R$4:$W$4,0))))</f>
        <v>373.2008819611379</v>
      </c>
      <c r="H16">
        <f ca="1">IF($C16-H$1&lt;År1,0,G15*(1-VLOOKUP($A16,[1]Hugst!$R$5:$W$9,MATCH(ROUNDUP((H$1)/10,0)*10,[1]Hugst!$R$4:$W$4,0))))</f>
        <v>373.71296530619003</v>
      </c>
      <c r="I16">
        <f ca="1">IF($C16-I$1&lt;År1,0,H15*(1-VLOOKUP($A16,[1]Hugst!$R$5:$W$9,MATCH(ROUNDUP((I$1)/10,0)*10,[1]Hugst!$R$4:$W$4,0))))</f>
        <v>374.22762193437535</v>
      </c>
      <c r="J16">
        <f ca="1">IF($C16-J$1&lt;År1,0,I15*(1-VLOOKUP($A16,[1]Hugst!$R$5:$W$9,MATCH(ROUNDUP((J$1)/10,0)*10,[1]Hugst!$R$4:$W$4,0))))</f>
        <v>596.71456174648119</v>
      </c>
      <c r="K16">
        <f ca="1">IF($C16-K$1&lt;År1,0,J15*(1-VLOOKUP($A16,[1]Hugst!$R$5:$W$9,MATCH(ROUNDUP((K$1)/10,0)*10,[1]Hugst!$R$4:$W$4,0))))</f>
        <v>597.23440379914155</v>
      </c>
      <c r="L16">
        <f ca="1">IF($C16-L$1&lt;År1,0,K15*(1-VLOOKUP($A16,[1]Hugst!$R$5:$W$9,MATCH(ROUNDUP((L$1)/10,0)*10,[1]Hugst!$R$4:$W$4,0))))</f>
        <v>597.75685812343352</v>
      </c>
      <c r="M16">
        <f ca="1">IF($C16-M$1&lt;År1,0,L15*(1-VLOOKUP($A16,[1]Hugst!$R$5:$W$9,MATCH(ROUNDUP((M$1)/10,0)*10,[1]Hugst!$R$4:$W$4,0))))</f>
        <v>598.28193784633402</v>
      </c>
      <c r="N16">
        <f ca="1">IF($C16-N$1&lt;År1,0,M15*(1-VLOOKUP($A16,[1]Hugst!$R$5:$W$9,MATCH(ROUNDUP((N$1)/10,0)*10,[1]Hugst!$R$4:$W$4,0))))</f>
        <v>598.80965616080709</v>
      </c>
      <c r="O16">
        <f ca="1">IF($C16-O$1&lt;År1,0,N15*(1-VLOOKUP($A16,[1]Hugst!$R$5:$W$9,MATCH(ROUNDUP((O$1)/10,0)*10,[1]Hugst!$R$4:$W$4,0))))</f>
        <v>599.34002632610714</v>
      </c>
      <c r="P16">
        <f ca="1">IF($C16-P$1&lt;År1,0,O15*(1-VLOOKUP($A16,[1]Hugst!$R$5:$W$9,MATCH(ROUNDUP((P$1)/10,0)*10,[1]Hugst!$R$4:$W$4,0))))</f>
        <v>599.87306166811823</v>
      </c>
      <c r="Q16">
        <f ca="1">IF($C16-Q$1&lt;År1,0,P15*(1-VLOOKUP($A16,[1]Hugst!$R$5:$W$9,MATCH(ROUNDUP((Q$1)/10,0)*10,[1]Hugst!$R$4:$W$4,0))))</f>
        <v>600.40877557968702</v>
      </c>
      <c r="R16">
        <f ca="1">IF($C16-R$1&lt;År1,0,Q15*(1-VLOOKUP($A16,[1]Hugst!$R$5:$W$9,MATCH(ROUNDUP((R$1)/10,0)*10,[1]Hugst!$R$4:$W$4,0))))</f>
        <v>600.94718152096243</v>
      </c>
      <c r="S16">
        <f ca="1">IF($C16-S$1&lt;År1,0,R15*(1-VLOOKUP($A16,[1]Hugst!$R$5:$W$9,MATCH(ROUNDUP((S$1)/10,0)*10,[1]Hugst!$R$4:$W$4,0))))</f>
        <v>601.48829301972796</v>
      </c>
      <c r="T16">
        <f ca="1">IF($C16-T$1&lt;År1,0,S15*(1-VLOOKUP($A16,[1]Hugst!$R$5:$W$9,MATCH(ROUNDUP((T$1)/10,0)*10,[1]Hugst!$R$4:$W$4,0))))</f>
        <v>602.03212367175934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25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100.88808742283732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372.18438371913368</v>
      </c>
      <c r="G17">
        <f ca="1">IF($C17-G$1&lt;År1,0,F16*(1-VLOOKUP($A17,[1]Hugst!$R$5:$W$9,MATCH(ROUNDUP((G$1)/10,0)*10,[1]Hugst!$R$4:$W$4,0))))</f>
        <v>372.69135903281409</v>
      </c>
      <c r="H17">
        <f ca="1">IF($C17-H$1&lt;År1,0,G16*(1-VLOOKUP($A17,[1]Hugst!$R$5:$W$9,MATCH(ROUNDUP((H$1)/10,0)*10,[1]Hugst!$R$4:$W$4,0))))</f>
        <v>373.2008819611379</v>
      </c>
      <c r="I17">
        <f ca="1">IF($C17-I$1&lt;År1,0,H16*(1-VLOOKUP($A17,[1]Hugst!$R$5:$W$9,MATCH(ROUNDUP((I$1)/10,0)*10,[1]Hugst!$R$4:$W$4,0))))</f>
        <v>373.71296530619003</v>
      </c>
      <c r="J17">
        <f ca="1">IF($C17-J$1&lt;År1,0,I16*(1-VLOOKUP($A17,[1]Hugst!$R$5:$W$9,MATCH(ROUNDUP((J$1)/10,0)*10,[1]Hugst!$R$4:$W$4,0))))</f>
        <v>374.22762193437535</v>
      </c>
      <c r="K17">
        <f ca="1">IF($C17-K$1&lt;År1,0,J16*(1-VLOOKUP($A17,[1]Hugst!$R$5:$W$9,MATCH(ROUNDUP((K$1)/10,0)*10,[1]Hugst!$R$4:$W$4,0))))</f>
        <v>596.71456174648119</v>
      </c>
      <c r="L17">
        <f ca="1">IF($C17-L$1&lt;År1,0,K16*(1-VLOOKUP($A17,[1]Hugst!$R$5:$W$9,MATCH(ROUNDUP((L$1)/10,0)*10,[1]Hugst!$R$4:$W$4,0))))</f>
        <v>597.23440379914155</v>
      </c>
      <c r="M17">
        <f ca="1">IF($C17-M$1&lt;År1,0,L16*(1-VLOOKUP($A17,[1]Hugst!$R$5:$W$9,MATCH(ROUNDUP((M$1)/10,0)*10,[1]Hugst!$R$4:$W$4,0))))</f>
        <v>597.75685812343352</v>
      </c>
      <c r="N17">
        <f ca="1">IF($C17-N$1&lt;År1,0,M16*(1-VLOOKUP($A17,[1]Hugst!$R$5:$W$9,MATCH(ROUNDUP((N$1)/10,0)*10,[1]Hugst!$R$4:$W$4,0))))</f>
        <v>598.28193784633402</v>
      </c>
      <c r="O17">
        <f ca="1">IF($C17-O$1&lt;År1,0,N16*(1-VLOOKUP($A17,[1]Hugst!$R$5:$W$9,MATCH(ROUNDUP((O$1)/10,0)*10,[1]Hugst!$R$4:$W$4,0))))</f>
        <v>598.80965616080709</v>
      </c>
      <c r="P17">
        <f ca="1">IF($C17-P$1&lt;År1,0,O16*(1-VLOOKUP($A17,[1]Hugst!$R$5:$W$9,MATCH(ROUNDUP((P$1)/10,0)*10,[1]Hugst!$R$4:$W$4,0))))</f>
        <v>599.34002632610714</v>
      </c>
      <c r="Q17">
        <f ca="1">IF($C17-Q$1&lt;År1,0,P16*(1-VLOOKUP($A17,[1]Hugst!$R$5:$W$9,MATCH(ROUNDUP((Q$1)/10,0)*10,[1]Hugst!$R$4:$W$4,0))))</f>
        <v>599.87306166811823</v>
      </c>
      <c r="R17">
        <f ca="1">IF($C17-R$1&lt;År1,0,Q16*(1-VLOOKUP($A17,[1]Hugst!$R$5:$W$9,MATCH(ROUNDUP((R$1)/10,0)*10,[1]Hugst!$R$4:$W$4,0))))</f>
        <v>600.40877557968702</v>
      </c>
      <c r="S17">
        <f ca="1">IF($C17-S$1&lt;År1,0,R16*(1-VLOOKUP($A17,[1]Hugst!$R$5:$W$9,MATCH(ROUNDUP((S$1)/10,0)*10,[1]Hugst!$R$4:$W$4,0))))</f>
        <v>600.94718152096243</v>
      </c>
      <c r="T17">
        <f ca="1">IF($C17-T$1&lt;År1,0,S16*(1-VLOOKUP($A17,[1]Hugst!$R$5:$W$9,MATCH(ROUNDUP((T$1)/10,0)*10,[1]Hugst!$R$4:$W$4,0))))</f>
        <v>601.48829301972796</v>
      </c>
      <c r="U17">
        <f ca="1">IF($C17-U$1&lt;År1,0,T16*(1-VLOOKUP($A17,[1]Hugst!$R$5:$W$9,MATCH(ROUNDUP((U$1)/10,0)*10,[1]Hugst!$R$4:$W$4,0))))</f>
        <v>602.03212367175934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25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100.38364698572263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371.679943282019</v>
      </c>
      <c r="G18">
        <f ca="1">IF($C18-G$1&lt;År1,0,F17*(1-VLOOKUP($A18,[1]Hugst!$R$5:$W$9,MATCH(ROUNDUP((G$1)/10,0)*10,[1]Hugst!$R$4:$W$4,0))))</f>
        <v>372.18438371913368</v>
      </c>
      <c r="H18">
        <f ca="1">IF($C18-H$1&lt;År1,0,G17*(1-VLOOKUP($A18,[1]Hugst!$R$5:$W$9,MATCH(ROUNDUP((H$1)/10,0)*10,[1]Hugst!$R$4:$W$4,0))))</f>
        <v>372.69135903281409</v>
      </c>
      <c r="I18">
        <f ca="1">IF($C18-I$1&lt;År1,0,H17*(1-VLOOKUP($A18,[1]Hugst!$R$5:$W$9,MATCH(ROUNDUP((I$1)/10,0)*10,[1]Hugst!$R$4:$W$4,0))))</f>
        <v>373.2008819611379</v>
      </c>
      <c r="J18">
        <f ca="1">IF($C18-J$1&lt;År1,0,I17*(1-VLOOKUP($A18,[1]Hugst!$R$5:$W$9,MATCH(ROUNDUP((J$1)/10,0)*10,[1]Hugst!$R$4:$W$4,0))))</f>
        <v>373.71296530619003</v>
      </c>
      <c r="K18">
        <f ca="1">IF($C18-K$1&lt;År1,0,J17*(1-VLOOKUP($A18,[1]Hugst!$R$5:$W$9,MATCH(ROUNDUP((K$1)/10,0)*10,[1]Hugst!$R$4:$W$4,0))))</f>
        <v>374.22762193437535</v>
      </c>
      <c r="L18">
        <f ca="1">IF($C18-L$1&lt;År1,0,K17*(1-VLOOKUP($A18,[1]Hugst!$R$5:$W$9,MATCH(ROUNDUP((L$1)/10,0)*10,[1]Hugst!$R$4:$W$4,0))))</f>
        <v>596.71456174648119</v>
      </c>
      <c r="M18">
        <f ca="1">IF($C18-M$1&lt;År1,0,L17*(1-VLOOKUP($A18,[1]Hugst!$R$5:$W$9,MATCH(ROUNDUP((M$1)/10,0)*10,[1]Hugst!$R$4:$W$4,0))))</f>
        <v>597.23440379914155</v>
      </c>
      <c r="N18">
        <f ca="1">IF($C18-N$1&lt;År1,0,M17*(1-VLOOKUP($A18,[1]Hugst!$R$5:$W$9,MATCH(ROUNDUP((N$1)/10,0)*10,[1]Hugst!$R$4:$W$4,0))))</f>
        <v>597.75685812343352</v>
      </c>
      <c r="O18">
        <f ca="1">IF($C18-O$1&lt;År1,0,N17*(1-VLOOKUP($A18,[1]Hugst!$R$5:$W$9,MATCH(ROUNDUP((O$1)/10,0)*10,[1]Hugst!$R$4:$W$4,0))))</f>
        <v>598.28193784633402</v>
      </c>
      <c r="P18">
        <f ca="1">IF($C18-P$1&lt;År1,0,O17*(1-VLOOKUP($A18,[1]Hugst!$R$5:$W$9,MATCH(ROUNDUP((P$1)/10,0)*10,[1]Hugst!$R$4:$W$4,0))))</f>
        <v>598.80965616080709</v>
      </c>
      <c r="Q18">
        <f ca="1">IF($C18-Q$1&lt;År1,0,P17*(1-VLOOKUP($A18,[1]Hugst!$R$5:$W$9,MATCH(ROUNDUP((Q$1)/10,0)*10,[1]Hugst!$R$4:$W$4,0))))</f>
        <v>599.34002632610714</v>
      </c>
      <c r="R18">
        <f ca="1">IF($C18-R$1&lt;År1,0,Q17*(1-VLOOKUP($A18,[1]Hugst!$R$5:$W$9,MATCH(ROUNDUP((R$1)/10,0)*10,[1]Hugst!$R$4:$W$4,0))))</f>
        <v>599.87306166811823</v>
      </c>
      <c r="S18">
        <f ca="1">IF($C18-S$1&lt;År1,0,R17*(1-VLOOKUP($A18,[1]Hugst!$R$5:$W$9,MATCH(ROUNDUP((S$1)/10,0)*10,[1]Hugst!$R$4:$W$4,0))))</f>
        <v>600.40877557968702</v>
      </c>
      <c r="T18">
        <f ca="1">IF($C18-T$1&lt;År1,0,S17*(1-VLOOKUP($A18,[1]Hugst!$R$5:$W$9,MATCH(ROUNDUP((T$1)/10,0)*10,[1]Hugst!$R$4:$W$4,0))))</f>
        <v>600.94718152096243</v>
      </c>
      <c r="U18">
        <f ca="1">IF($C18-U$1&lt;År1,0,T17*(1-VLOOKUP($A18,[1]Hugst!$R$5:$W$9,MATCH(ROUNDUP((U$1)/10,0)*10,[1]Hugst!$R$4:$W$4,0))))</f>
        <v>601.48829301972796</v>
      </c>
      <c r="V18">
        <f ca="1">IF($C18-V$1&lt;År1,0,U17*(1-VLOOKUP($A18,[1]Hugst!$R$5:$W$9,MATCH(ROUNDUP((V$1)/10,0)*10,[1]Hugst!$R$4:$W$4,0))))</f>
        <v>602.03212367175934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25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99.881728750793172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371.17802504708953</v>
      </c>
      <c r="G19">
        <f ca="1">IF($C19-G$1&lt;År1,0,F18*(1-VLOOKUP($A19,[1]Hugst!$R$5:$W$9,MATCH(ROUNDUP((G$1)/10,0)*10,[1]Hugst!$R$4:$W$4,0))))</f>
        <v>371.679943282019</v>
      </c>
      <c r="H19">
        <f ca="1">IF($C19-H$1&lt;År1,0,G18*(1-VLOOKUP($A19,[1]Hugst!$R$5:$W$9,MATCH(ROUNDUP((H$1)/10,0)*10,[1]Hugst!$R$4:$W$4,0))))</f>
        <v>372.18438371913368</v>
      </c>
      <c r="I19">
        <f ca="1">IF($C19-I$1&lt;År1,0,H18*(1-VLOOKUP($A19,[1]Hugst!$R$5:$W$9,MATCH(ROUNDUP((I$1)/10,0)*10,[1]Hugst!$R$4:$W$4,0))))</f>
        <v>372.69135903281409</v>
      </c>
      <c r="J19">
        <f ca="1">IF($C19-J$1&lt;År1,0,I18*(1-VLOOKUP($A19,[1]Hugst!$R$5:$W$9,MATCH(ROUNDUP((J$1)/10,0)*10,[1]Hugst!$R$4:$W$4,0))))</f>
        <v>373.2008819611379</v>
      </c>
      <c r="K19">
        <f ca="1">IF($C19-K$1&lt;År1,0,J18*(1-VLOOKUP($A19,[1]Hugst!$R$5:$W$9,MATCH(ROUNDUP((K$1)/10,0)*10,[1]Hugst!$R$4:$W$4,0))))</f>
        <v>373.71296530619003</v>
      </c>
      <c r="L19">
        <f ca="1">IF($C19-L$1&lt;År1,0,K18*(1-VLOOKUP($A19,[1]Hugst!$R$5:$W$9,MATCH(ROUNDUP((L$1)/10,0)*10,[1]Hugst!$R$4:$W$4,0))))</f>
        <v>374.22762193437535</v>
      </c>
      <c r="M19">
        <f ca="1">IF($C19-M$1&lt;År1,0,L18*(1-VLOOKUP($A19,[1]Hugst!$R$5:$W$9,MATCH(ROUNDUP((M$1)/10,0)*10,[1]Hugst!$R$4:$W$4,0))))</f>
        <v>596.71456174648119</v>
      </c>
      <c r="N19">
        <f ca="1">IF($C19-N$1&lt;År1,0,M18*(1-VLOOKUP($A19,[1]Hugst!$R$5:$W$9,MATCH(ROUNDUP((N$1)/10,0)*10,[1]Hugst!$R$4:$W$4,0))))</f>
        <v>597.23440379914155</v>
      </c>
      <c r="O19">
        <f ca="1">IF($C19-O$1&lt;År1,0,N18*(1-VLOOKUP($A19,[1]Hugst!$R$5:$W$9,MATCH(ROUNDUP((O$1)/10,0)*10,[1]Hugst!$R$4:$W$4,0))))</f>
        <v>597.75685812343352</v>
      </c>
      <c r="P19">
        <f ca="1">IF($C19-P$1&lt;År1,0,O18*(1-VLOOKUP($A19,[1]Hugst!$R$5:$W$9,MATCH(ROUNDUP((P$1)/10,0)*10,[1]Hugst!$R$4:$W$4,0))))</f>
        <v>598.28193784633402</v>
      </c>
      <c r="Q19">
        <f ca="1">IF($C19-Q$1&lt;År1,0,P18*(1-VLOOKUP($A19,[1]Hugst!$R$5:$W$9,MATCH(ROUNDUP((Q$1)/10,0)*10,[1]Hugst!$R$4:$W$4,0))))</f>
        <v>598.80965616080709</v>
      </c>
      <c r="R19">
        <f ca="1">IF($C19-R$1&lt;År1,0,Q18*(1-VLOOKUP($A19,[1]Hugst!$R$5:$W$9,MATCH(ROUNDUP((R$1)/10,0)*10,[1]Hugst!$R$4:$W$4,0))))</f>
        <v>599.34002632610714</v>
      </c>
      <c r="S19">
        <f ca="1">IF($C19-S$1&lt;År1,0,R18*(1-VLOOKUP($A19,[1]Hugst!$R$5:$W$9,MATCH(ROUNDUP((S$1)/10,0)*10,[1]Hugst!$R$4:$W$4,0))))</f>
        <v>599.87306166811823</v>
      </c>
      <c r="T19">
        <f ca="1">IF($C19-T$1&lt;År1,0,S18*(1-VLOOKUP($A19,[1]Hugst!$R$5:$W$9,MATCH(ROUNDUP((T$1)/10,0)*10,[1]Hugst!$R$4:$W$4,0))))</f>
        <v>600.40877557968702</v>
      </c>
      <c r="U19">
        <f ca="1">IF($C19-U$1&lt;År1,0,T18*(1-VLOOKUP($A19,[1]Hugst!$R$5:$W$9,MATCH(ROUNDUP((U$1)/10,0)*10,[1]Hugst!$R$4:$W$4,0))))</f>
        <v>600.94718152096243</v>
      </c>
      <c r="V19">
        <f ca="1">IF($C19-V$1&lt;År1,0,U18*(1-VLOOKUP($A19,[1]Hugst!$R$5:$W$9,MATCH(ROUNDUP((V$1)/10,0)*10,[1]Hugst!$R$4:$W$4,0))))</f>
        <v>601.48829301972796</v>
      </c>
      <c r="W19">
        <f ca="1">IF($C19-W$1&lt;År1,0,V18*(1-VLOOKUP($A19,[1]Hugst!$R$5:$W$9,MATCH(ROUNDUP((W$1)/10,0)*10,[1]Hugst!$R$4:$W$4,0))))</f>
        <v>602.03212367175934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25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99.38232010704246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370.67861640333882</v>
      </c>
      <c r="G20">
        <f ca="1">IF($C20-G$1&lt;År1,0,F19*(1-VLOOKUP($A20,[1]Hugst!$R$5:$W$9,MATCH(ROUNDUP((G$1)/10,0)*10,[1]Hugst!$R$4:$W$4,0))))</f>
        <v>371.17802504708953</v>
      </c>
      <c r="H20">
        <f ca="1">IF($C20-H$1&lt;År1,0,G19*(1-VLOOKUP($A20,[1]Hugst!$R$5:$W$9,MATCH(ROUNDUP((H$1)/10,0)*10,[1]Hugst!$R$4:$W$4,0))))</f>
        <v>371.679943282019</v>
      </c>
      <c r="I20">
        <f ca="1">IF($C20-I$1&lt;År1,0,H19*(1-VLOOKUP($A20,[1]Hugst!$R$5:$W$9,MATCH(ROUNDUP((I$1)/10,0)*10,[1]Hugst!$R$4:$W$4,0))))</f>
        <v>372.18438371913368</v>
      </c>
      <c r="J20">
        <f ca="1">IF($C20-J$1&lt;År1,0,I19*(1-VLOOKUP($A20,[1]Hugst!$R$5:$W$9,MATCH(ROUNDUP((J$1)/10,0)*10,[1]Hugst!$R$4:$W$4,0))))</f>
        <v>372.69135903281409</v>
      </c>
      <c r="K20">
        <f ca="1">IF($C20-K$1&lt;År1,0,J19*(1-VLOOKUP($A20,[1]Hugst!$R$5:$W$9,MATCH(ROUNDUP((K$1)/10,0)*10,[1]Hugst!$R$4:$W$4,0))))</f>
        <v>373.2008819611379</v>
      </c>
      <c r="L20">
        <f ca="1">IF($C20-L$1&lt;År1,0,K19*(1-VLOOKUP($A20,[1]Hugst!$R$5:$W$9,MATCH(ROUNDUP((L$1)/10,0)*10,[1]Hugst!$R$4:$W$4,0))))</f>
        <v>373.71296530619003</v>
      </c>
      <c r="M20">
        <f ca="1">IF($C20-M$1&lt;År1,0,L19*(1-VLOOKUP($A20,[1]Hugst!$R$5:$W$9,MATCH(ROUNDUP((M$1)/10,0)*10,[1]Hugst!$R$4:$W$4,0))))</f>
        <v>374.22762193437535</v>
      </c>
      <c r="N20">
        <f ca="1">IF($C20-N$1&lt;År1,0,M19*(1-VLOOKUP($A20,[1]Hugst!$R$5:$W$9,MATCH(ROUNDUP((N$1)/10,0)*10,[1]Hugst!$R$4:$W$4,0))))</f>
        <v>596.71456174648119</v>
      </c>
      <c r="O20">
        <f ca="1">IF($C20-O$1&lt;År1,0,N19*(1-VLOOKUP($A20,[1]Hugst!$R$5:$W$9,MATCH(ROUNDUP((O$1)/10,0)*10,[1]Hugst!$R$4:$W$4,0))))</f>
        <v>597.23440379914155</v>
      </c>
      <c r="P20">
        <f ca="1">IF($C20-P$1&lt;År1,0,O19*(1-VLOOKUP($A20,[1]Hugst!$R$5:$W$9,MATCH(ROUNDUP((P$1)/10,0)*10,[1]Hugst!$R$4:$W$4,0))))</f>
        <v>597.75685812343352</v>
      </c>
      <c r="Q20">
        <f ca="1">IF($C20-Q$1&lt;År1,0,P19*(1-VLOOKUP($A20,[1]Hugst!$R$5:$W$9,MATCH(ROUNDUP((Q$1)/10,0)*10,[1]Hugst!$R$4:$W$4,0))))</f>
        <v>598.28193784633402</v>
      </c>
      <c r="R20">
        <f ca="1">IF($C20-R$1&lt;År1,0,Q19*(1-VLOOKUP($A20,[1]Hugst!$R$5:$W$9,MATCH(ROUNDUP((R$1)/10,0)*10,[1]Hugst!$R$4:$W$4,0))))</f>
        <v>598.80965616080709</v>
      </c>
      <c r="S20">
        <f ca="1">IF($C20-S$1&lt;År1,0,R19*(1-VLOOKUP($A20,[1]Hugst!$R$5:$W$9,MATCH(ROUNDUP((S$1)/10,0)*10,[1]Hugst!$R$4:$W$4,0))))</f>
        <v>599.34002632610714</v>
      </c>
      <c r="T20">
        <f ca="1">IF($C20-T$1&lt;År1,0,S19*(1-VLOOKUP($A20,[1]Hugst!$R$5:$W$9,MATCH(ROUNDUP((T$1)/10,0)*10,[1]Hugst!$R$4:$W$4,0))))</f>
        <v>599.87306166811823</v>
      </c>
      <c r="U20">
        <f ca="1">IF($C20-U$1&lt;År1,0,T19*(1-VLOOKUP($A20,[1]Hugst!$R$5:$W$9,MATCH(ROUNDUP((U$1)/10,0)*10,[1]Hugst!$R$4:$W$4,0))))</f>
        <v>600.40877557968702</v>
      </c>
      <c r="V20">
        <f ca="1">IF($C20-V$1&lt;År1,0,U19*(1-VLOOKUP($A20,[1]Hugst!$R$5:$W$9,MATCH(ROUNDUP((V$1)/10,0)*10,[1]Hugst!$R$4:$W$4,0))))</f>
        <v>600.94718152096243</v>
      </c>
      <c r="W20">
        <f ca="1">IF($C20-W$1&lt;År1,0,V19*(1-VLOOKUP($A20,[1]Hugst!$R$5:$W$9,MATCH(ROUNDUP((W$1)/10,0)*10,[1]Hugst!$R$4:$W$4,0))))</f>
        <v>601.48829301972796</v>
      </c>
      <c r="X20">
        <f ca="1">IF($C20-X$1&lt;År1,0,W19*(1-VLOOKUP($A20,[1]Hugst!$R$5:$W$9,MATCH(ROUNDUP((X$1)/10,0)*10,[1]Hugst!$R$4:$W$4,0))))</f>
        <v>602.03212367175934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25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98.885408506501562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370.18170480279792</v>
      </c>
      <c r="G21">
        <f ca="1">IF($C21-G$1&lt;År1,0,F20*(1-VLOOKUP($A21,[1]Hugst!$R$5:$W$9,MATCH(ROUNDUP((G$1)/10,0)*10,[1]Hugst!$R$4:$W$4,0))))</f>
        <v>370.67861640333882</v>
      </c>
      <c r="H21">
        <f ca="1">IF($C21-H$1&lt;År1,0,G20*(1-VLOOKUP($A21,[1]Hugst!$R$5:$W$9,MATCH(ROUNDUP((H$1)/10,0)*10,[1]Hugst!$R$4:$W$4,0))))</f>
        <v>371.17802504708953</v>
      </c>
      <c r="I21">
        <f ca="1">IF($C21-I$1&lt;År1,0,H20*(1-VLOOKUP($A21,[1]Hugst!$R$5:$W$9,MATCH(ROUNDUP((I$1)/10,0)*10,[1]Hugst!$R$4:$W$4,0))))</f>
        <v>371.679943282019</v>
      </c>
      <c r="J21">
        <f ca="1">IF($C21-J$1&lt;År1,0,I20*(1-VLOOKUP($A21,[1]Hugst!$R$5:$W$9,MATCH(ROUNDUP((J$1)/10,0)*10,[1]Hugst!$R$4:$W$4,0))))</f>
        <v>372.18438371913368</v>
      </c>
      <c r="K21">
        <f ca="1">IF($C21-K$1&lt;År1,0,J20*(1-VLOOKUP($A21,[1]Hugst!$R$5:$W$9,MATCH(ROUNDUP((K$1)/10,0)*10,[1]Hugst!$R$4:$W$4,0))))</f>
        <v>372.69135903281409</v>
      </c>
      <c r="L21">
        <f ca="1">IF($C21-L$1&lt;År1,0,K20*(1-VLOOKUP($A21,[1]Hugst!$R$5:$W$9,MATCH(ROUNDUP((L$1)/10,0)*10,[1]Hugst!$R$4:$W$4,0))))</f>
        <v>373.2008819611379</v>
      </c>
      <c r="M21">
        <f ca="1">IF($C21-M$1&lt;År1,0,L20*(1-VLOOKUP($A21,[1]Hugst!$R$5:$W$9,MATCH(ROUNDUP((M$1)/10,0)*10,[1]Hugst!$R$4:$W$4,0))))</f>
        <v>373.71296530619003</v>
      </c>
      <c r="N21">
        <f ca="1">IF($C21-N$1&lt;År1,0,M20*(1-VLOOKUP($A21,[1]Hugst!$R$5:$W$9,MATCH(ROUNDUP((N$1)/10,0)*10,[1]Hugst!$R$4:$W$4,0))))</f>
        <v>374.22762193437535</v>
      </c>
      <c r="O21">
        <f ca="1">IF($C21-O$1&lt;År1,0,N20*(1-VLOOKUP($A21,[1]Hugst!$R$5:$W$9,MATCH(ROUNDUP((O$1)/10,0)*10,[1]Hugst!$R$4:$W$4,0))))</f>
        <v>596.71456174648119</v>
      </c>
      <c r="P21">
        <f ca="1">IF($C21-P$1&lt;År1,0,O20*(1-VLOOKUP($A21,[1]Hugst!$R$5:$W$9,MATCH(ROUNDUP((P$1)/10,0)*10,[1]Hugst!$R$4:$W$4,0))))</f>
        <v>597.23440379914155</v>
      </c>
      <c r="Q21">
        <f ca="1">IF($C21-Q$1&lt;År1,0,P20*(1-VLOOKUP($A21,[1]Hugst!$R$5:$W$9,MATCH(ROUNDUP((Q$1)/10,0)*10,[1]Hugst!$R$4:$W$4,0))))</f>
        <v>597.75685812343352</v>
      </c>
      <c r="R21">
        <f ca="1">IF($C21-R$1&lt;År1,0,Q20*(1-VLOOKUP($A21,[1]Hugst!$R$5:$W$9,MATCH(ROUNDUP((R$1)/10,0)*10,[1]Hugst!$R$4:$W$4,0))))</f>
        <v>598.28193784633402</v>
      </c>
      <c r="S21">
        <f ca="1">IF($C21-S$1&lt;År1,0,R20*(1-VLOOKUP($A21,[1]Hugst!$R$5:$W$9,MATCH(ROUNDUP((S$1)/10,0)*10,[1]Hugst!$R$4:$W$4,0))))</f>
        <v>598.80965616080709</v>
      </c>
      <c r="T21">
        <f ca="1">IF($C21-T$1&lt;År1,0,S20*(1-VLOOKUP($A21,[1]Hugst!$R$5:$W$9,MATCH(ROUNDUP((T$1)/10,0)*10,[1]Hugst!$R$4:$W$4,0))))</f>
        <v>599.34002632610714</v>
      </c>
      <c r="U21">
        <f ca="1">IF($C21-U$1&lt;År1,0,T20*(1-VLOOKUP($A21,[1]Hugst!$R$5:$W$9,MATCH(ROUNDUP((U$1)/10,0)*10,[1]Hugst!$R$4:$W$4,0))))</f>
        <v>599.87306166811823</v>
      </c>
      <c r="V21">
        <f ca="1">IF($C21-V$1&lt;År1,0,U20*(1-VLOOKUP($A21,[1]Hugst!$R$5:$W$9,MATCH(ROUNDUP((V$1)/10,0)*10,[1]Hugst!$R$4:$W$4,0))))</f>
        <v>600.40877557968702</v>
      </c>
      <c r="W21">
        <f ca="1">IF($C21-W$1&lt;År1,0,V20*(1-VLOOKUP($A21,[1]Hugst!$R$5:$W$9,MATCH(ROUNDUP((W$1)/10,0)*10,[1]Hugst!$R$4:$W$4,0))))</f>
        <v>600.94718152096243</v>
      </c>
      <c r="X21">
        <f ca="1">IF($C21-X$1&lt;År1,0,W20*(1-VLOOKUP($A21,[1]Hugst!$R$5:$W$9,MATCH(ROUNDUP((X$1)/10,0)*10,[1]Hugst!$R$4:$W$4,0))))</f>
        <v>601.48829301972796</v>
      </c>
      <c r="Y21">
        <f ca="1">IF($C21-Y$1&lt;År1,0,X20*(1-VLOOKUP($A21,[1]Hugst!$R$5:$W$9,MATCH(ROUNDUP((Y$1)/10,0)*10,[1]Hugst!$R$4:$W$4,0))))</f>
        <v>602.03212367175934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25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98.390981463971457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369.68727776026782</v>
      </c>
      <c r="G22">
        <f ca="1">IF($C22-G$1&lt;År1,0,F21*(1-VLOOKUP($A22,[1]Hugst!$R$5:$W$9,MATCH(ROUNDUP((G$1)/10,0)*10,[1]Hugst!$R$4:$W$4,0))))</f>
        <v>370.18170480279792</v>
      </c>
      <c r="H22">
        <f ca="1">IF($C22-H$1&lt;År1,0,G21*(1-VLOOKUP($A22,[1]Hugst!$R$5:$W$9,MATCH(ROUNDUP((H$1)/10,0)*10,[1]Hugst!$R$4:$W$4,0))))</f>
        <v>370.67861640333882</v>
      </c>
      <c r="I22">
        <f ca="1">IF($C22-I$1&lt;År1,0,H21*(1-VLOOKUP($A22,[1]Hugst!$R$5:$W$9,MATCH(ROUNDUP((I$1)/10,0)*10,[1]Hugst!$R$4:$W$4,0))))</f>
        <v>371.17802504708953</v>
      </c>
      <c r="J22">
        <f ca="1">IF($C22-J$1&lt;År1,0,I21*(1-VLOOKUP($A22,[1]Hugst!$R$5:$W$9,MATCH(ROUNDUP((J$1)/10,0)*10,[1]Hugst!$R$4:$W$4,0))))</f>
        <v>371.679943282019</v>
      </c>
      <c r="K22">
        <f ca="1">IF($C22-K$1&lt;År1,0,J21*(1-VLOOKUP($A22,[1]Hugst!$R$5:$W$9,MATCH(ROUNDUP((K$1)/10,0)*10,[1]Hugst!$R$4:$W$4,0))))</f>
        <v>372.18438371913368</v>
      </c>
      <c r="L22">
        <f ca="1">IF($C22-L$1&lt;År1,0,K21*(1-VLOOKUP($A22,[1]Hugst!$R$5:$W$9,MATCH(ROUNDUP((L$1)/10,0)*10,[1]Hugst!$R$4:$W$4,0))))</f>
        <v>372.69135903281409</v>
      </c>
      <c r="M22">
        <f ca="1">IF($C22-M$1&lt;År1,0,L21*(1-VLOOKUP($A22,[1]Hugst!$R$5:$W$9,MATCH(ROUNDUP((M$1)/10,0)*10,[1]Hugst!$R$4:$W$4,0))))</f>
        <v>373.2008819611379</v>
      </c>
      <c r="N22">
        <f ca="1">IF($C22-N$1&lt;År1,0,M21*(1-VLOOKUP($A22,[1]Hugst!$R$5:$W$9,MATCH(ROUNDUP((N$1)/10,0)*10,[1]Hugst!$R$4:$W$4,0))))</f>
        <v>373.71296530619003</v>
      </c>
      <c r="O22">
        <f ca="1">IF($C22-O$1&lt;År1,0,N21*(1-VLOOKUP($A22,[1]Hugst!$R$5:$W$9,MATCH(ROUNDUP((O$1)/10,0)*10,[1]Hugst!$R$4:$W$4,0))))</f>
        <v>374.22762193437535</v>
      </c>
      <c r="P22">
        <f ca="1">IF($C22-P$1&lt;År1,0,O21*(1-VLOOKUP($A22,[1]Hugst!$R$5:$W$9,MATCH(ROUNDUP((P$1)/10,0)*10,[1]Hugst!$R$4:$W$4,0))))</f>
        <v>596.71456174648119</v>
      </c>
      <c r="Q22">
        <f ca="1">IF($C22-Q$1&lt;År1,0,P21*(1-VLOOKUP($A22,[1]Hugst!$R$5:$W$9,MATCH(ROUNDUP((Q$1)/10,0)*10,[1]Hugst!$R$4:$W$4,0))))</f>
        <v>597.23440379914155</v>
      </c>
      <c r="R22">
        <f ca="1">IF($C22-R$1&lt;År1,0,Q21*(1-VLOOKUP($A22,[1]Hugst!$R$5:$W$9,MATCH(ROUNDUP((R$1)/10,0)*10,[1]Hugst!$R$4:$W$4,0))))</f>
        <v>597.75685812343352</v>
      </c>
      <c r="S22">
        <f ca="1">IF($C22-S$1&lt;År1,0,R21*(1-VLOOKUP($A22,[1]Hugst!$R$5:$W$9,MATCH(ROUNDUP((S$1)/10,0)*10,[1]Hugst!$R$4:$W$4,0))))</f>
        <v>598.28193784633402</v>
      </c>
      <c r="T22">
        <f ca="1">IF($C22-T$1&lt;År1,0,S21*(1-VLOOKUP($A22,[1]Hugst!$R$5:$W$9,MATCH(ROUNDUP((T$1)/10,0)*10,[1]Hugst!$R$4:$W$4,0))))</f>
        <v>598.80965616080709</v>
      </c>
      <c r="U22">
        <f ca="1">IF($C22-U$1&lt;År1,0,T21*(1-VLOOKUP($A22,[1]Hugst!$R$5:$W$9,MATCH(ROUNDUP((U$1)/10,0)*10,[1]Hugst!$R$4:$W$4,0))))</f>
        <v>599.34002632610714</v>
      </c>
      <c r="V22">
        <f ca="1">IF($C22-V$1&lt;År1,0,U21*(1-VLOOKUP($A22,[1]Hugst!$R$5:$W$9,MATCH(ROUNDUP((V$1)/10,0)*10,[1]Hugst!$R$4:$W$4,0))))</f>
        <v>599.87306166811823</v>
      </c>
      <c r="W22">
        <f ca="1">IF($C22-W$1&lt;År1,0,V21*(1-VLOOKUP($A22,[1]Hugst!$R$5:$W$9,MATCH(ROUNDUP((W$1)/10,0)*10,[1]Hugst!$R$4:$W$4,0))))</f>
        <v>600.40877557968702</v>
      </c>
      <c r="X22">
        <f ca="1">IF($C22-X$1&lt;År1,0,W21*(1-VLOOKUP($A22,[1]Hugst!$R$5:$W$9,MATCH(ROUNDUP((X$1)/10,0)*10,[1]Hugst!$R$4:$W$4,0))))</f>
        <v>600.94718152096243</v>
      </c>
      <c r="Y22">
        <f ca="1">IF($C22-Y$1&lt;År1,0,X21*(1-VLOOKUP($A22,[1]Hugst!$R$5:$W$9,MATCH(ROUNDUP((Y$1)/10,0)*10,[1]Hugst!$R$4:$W$4,0))))</f>
        <v>601.48829301972796</v>
      </c>
      <c r="Z22">
        <f ca="1">IF($C22-Z$1&lt;År1,0,Y21*(1-VLOOKUP($A22,[1]Hugst!$R$5:$W$9,MATCH(ROUNDUP((Z$1)/10,0)*10,[1]Hugst!$R$4:$W$4,0))))</f>
        <v>602.03212367175934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25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97.899026556653553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369.19532285294991</v>
      </c>
      <c r="G23">
        <f ca="1">IF($C23-G$1&lt;År1,0,F22*(1-VLOOKUP($A23,[1]Hugst!$R$5:$W$9,MATCH(ROUNDUP((G$1)/10,0)*10,[1]Hugst!$R$4:$W$4,0))))</f>
        <v>369.68727776026782</v>
      </c>
      <c r="H23">
        <f ca="1">IF($C23-H$1&lt;År1,0,G22*(1-VLOOKUP($A23,[1]Hugst!$R$5:$W$9,MATCH(ROUNDUP((H$1)/10,0)*10,[1]Hugst!$R$4:$W$4,0))))</f>
        <v>370.18170480279792</v>
      </c>
      <c r="I23">
        <f ca="1">IF($C23-I$1&lt;År1,0,H22*(1-VLOOKUP($A23,[1]Hugst!$R$5:$W$9,MATCH(ROUNDUP((I$1)/10,0)*10,[1]Hugst!$R$4:$W$4,0))))</f>
        <v>370.67861640333882</v>
      </c>
      <c r="J23">
        <f ca="1">IF($C23-J$1&lt;År1,0,I22*(1-VLOOKUP($A23,[1]Hugst!$R$5:$W$9,MATCH(ROUNDUP((J$1)/10,0)*10,[1]Hugst!$R$4:$W$4,0))))</f>
        <v>371.17802504708953</v>
      </c>
      <c r="K23">
        <f ca="1">IF($C23-K$1&lt;År1,0,J22*(1-VLOOKUP($A23,[1]Hugst!$R$5:$W$9,MATCH(ROUNDUP((K$1)/10,0)*10,[1]Hugst!$R$4:$W$4,0))))</f>
        <v>371.679943282019</v>
      </c>
      <c r="L23">
        <f ca="1">IF($C23-L$1&lt;År1,0,K22*(1-VLOOKUP($A23,[1]Hugst!$R$5:$W$9,MATCH(ROUNDUP((L$1)/10,0)*10,[1]Hugst!$R$4:$W$4,0))))</f>
        <v>372.18438371913368</v>
      </c>
      <c r="M23">
        <f ca="1">IF($C23-M$1&lt;År1,0,L22*(1-VLOOKUP($A23,[1]Hugst!$R$5:$W$9,MATCH(ROUNDUP((M$1)/10,0)*10,[1]Hugst!$R$4:$W$4,0))))</f>
        <v>372.69135903281409</v>
      </c>
      <c r="N23">
        <f ca="1">IF($C23-N$1&lt;År1,0,M22*(1-VLOOKUP($A23,[1]Hugst!$R$5:$W$9,MATCH(ROUNDUP((N$1)/10,0)*10,[1]Hugst!$R$4:$W$4,0))))</f>
        <v>373.2008819611379</v>
      </c>
      <c r="O23">
        <f ca="1">IF($C23-O$1&lt;År1,0,N22*(1-VLOOKUP($A23,[1]Hugst!$R$5:$W$9,MATCH(ROUNDUP((O$1)/10,0)*10,[1]Hugst!$R$4:$W$4,0))))</f>
        <v>373.71296530619003</v>
      </c>
      <c r="P23">
        <f ca="1">IF($C23-P$1&lt;År1,0,O22*(1-VLOOKUP($A23,[1]Hugst!$R$5:$W$9,MATCH(ROUNDUP((P$1)/10,0)*10,[1]Hugst!$R$4:$W$4,0))))</f>
        <v>374.22762193437535</v>
      </c>
      <c r="Q23">
        <f ca="1">IF($C23-Q$1&lt;År1,0,P22*(1-VLOOKUP($A23,[1]Hugst!$R$5:$W$9,MATCH(ROUNDUP((Q$1)/10,0)*10,[1]Hugst!$R$4:$W$4,0))))</f>
        <v>596.71456174648119</v>
      </c>
      <c r="R23">
        <f ca="1">IF($C23-R$1&lt;År1,0,Q22*(1-VLOOKUP($A23,[1]Hugst!$R$5:$W$9,MATCH(ROUNDUP((R$1)/10,0)*10,[1]Hugst!$R$4:$W$4,0))))</f>
        <v>597.23440379914155</v>
      </c>
      <c r="S23">
        <f ca="1">IF($C23-S$1&lt;År1,0,R22*(1-VLOOKUP($A23,[1]Hugst!$R$5:$W$9,MATCH(ROUNDUP((S$1)/10,0)*10,[1]Hugst!$R$4:$W$4,0))))</f>
        <v>597.75685812343352</v>
      </c>
      <c r="T23">
        <f ca="1">IF($C23-T$1&lt;År1,0,S22*(1-VLOOKUP($A23,[1]Hugst!$R$5:$W$9,MATCH(ROUNDUP((T$1)/10,0)*10,[1]Hugst!$R$4:$W$4,0))))</f>
        <v>598.28193784633402</v>
      </c>
      <c r="U23">
        <f ca="1">IF($C23-U$1&lt;År1,0,T22*(1-VLOOKUP($A23,[1]Hugst!$R$5:$W$9,MATCH(ROUNDUP((U$1)/10,0)*10,[1]Hugst!$R$4:$W$4,0))))</f>
        <v>598.80965616080709</v>
      </c>
      <c r="V23">
        <f ca="1">IF($C23-V$1&lt;År1,0,U22*(1-VLOOKUP($A23,[1]Hugst!$R$5:$W$9,MATCH(ROUNDUP((V$1)/10,0)*10,[1]Hugst!$R$4:$W$4,0))))</f>
        <v>599.34002632610714</v>
      </c>
      <c r="W23">
        <f ca="1">IF($C23-W$1&lt;År1,0,V22*(1-VLOOKUP($A23,[1]Hugst!$R$5:$W$9,MATCH(ROUNDUP((W$1)/10,0)*10,[1]Hugst!$R$4:$W$4,0))))</f>
        <v>599.87306166811823</v>
      </c>
      <c r="X23">
        <f ca="1">IF($C23-X$1&lt;År1,0,W22*(1-VLOOKUP($A23,[1]Hugst!$R$5:$W$9,MATCH(ROUNDUP((X$1)/10,0)*10,[1]Hugst!$R$4:$W$4,0))))</f>
        <v>600.40877557968702</v>
      </c>
      <c r="Y23">
        <f ca="1">IF($C23-Y$1&lt;År1,0,X22*(1-VLOOKUP($A23,[1]Hugst!$R$5:$W$9,MATCH(ROUNDUP((Y$1)/10,0)*10,[1]Hugst!$R$4:$W$4,0))))</f>
        <v>600.94718152096243</v>
      </c>
      <c r="Z23">
        <f ca="1">IF($C23-Z$1&lt;År1,0,Y22*(1-VLOOKUP($A23,[1]Hugst!$R$5:$W$9,MATCH(ROUNDUP((Z$1)/10,0)*10,[1]Hugst!$R$4:$W$4,0))))</f>
        <v>601.48829301972796</v>
      </c>
      <c r="AA23">
        <f ca="1">IF($C23-AA$1&lt;År1,0,Z22*(1-VLOOKUP($A23,[1]Hugst!$R$5:$W$9,MATCH(ROUNDUP((AA$1)/10,0)*10,[1]Hugst!$R$4:$W$4,0))))</f>
        <v>602.03212367175934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25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97.409531423868884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368.70582772016525</v>
      </c>
      <c r="G24">
        <f ca="1">IF($C24-G$1&lt;År1,0,F23*(1-VLOOKUP($A24,[1]Hugst!$R$5:$W$9,MATCH(ROUNDUP((G$1)/10,0)*10,[1]Hugst!$R$4:$W$4,0))))</f>
        <v>369.19532285294991</v>
      </c>
      <c r="H24">
        <f ca="1">IF($C24-H$1&lt;År1,0,G23*(1-VLOOKUP($A24,[1]Hugst!$R$5:$W$9,MATCH(ROUNDUP((H$1)/10,0)*10,[1]Hugst!$R$4:$W$4,0))))</f>
        <v>369.68727776026782</v>
      </c>
      <c r="I24">
        <f ca="1">IF($C24-I$1&lt;År1,0,H23*(1-VLOOKUP($A24,[1]Hugst!$R$5:$W$9,MATCH(ROUNDUP((I$1)/10,0)*10,[1]Hugst!$R$4:$W$4,0))))</f>
        <v>370.18170480279792</v>
      </c>
      <c r="J24">
        <f ca="1">IF($C24-J$1&lt;År1,0,I23*(1-VLOOKUP($A24,[1]Hugst!$R$5:$W$9,MATCH(ROUNDUP((J$1)/10,0)*10,[1]Hugst!$R$4:$W$4,0))))</f>
        <v>370.67861640333882</v>
      </c>
      <c r="K24">
        <f ca="1">IF($C24-K$1&lt;År1,0,J23*(1-VLOOKUP($A24,[1]Hugst!$R$5:$W$9,MATCH(ROUNDUP((K$1)/10,0)*10,[1]Hugst!$R$4:$W$4,0))))</f>
        <v>371.17802504708953</v>
      </c>
      <c r="L24">
        <f ca="1">IF($C24-L$1&lt;År1,0,K23*(1-VLOOKUP($A24,[1]Hugst!$R$5:$W$9,MATCH(ROUNDUP((L$1)/10,0)*10,[1]Hugst!$R$4:$W$4,0))))</f>
        <v>371.679943282019</v>
      </c>
      <c r="M24">
        <f ca="1">IF($C24-M$1&lt;År1,0,L23*(1-VLOOKUP($A24,[1]Hugst!$R$5:$W$9,MATCH(ROUNDUP((M$1)/10,0)*10,[1]Hugst!$R$4:$W$4,0))))</f>
        <v>372.18438371913368</v>
      </c>
      <c r="N24">
        <f ca="1">IF($C24-N$1&lt;År1,0,M23*(1-VLOOKUP($A24,[1]Hugst!$R$5:$W$9,MATCH(ROUNDUP((N$1)/10,0)*10,[1]Hugst!$R$4:$W$4,0))))</f>
        <v>372.69135903281409</v>
      </c>
      <c r="O24">
        <f ca="1">IF($C24-O$1&lt;År1,0,N23*(1-VLOOKUP($A24,[1]Hugst!$R$5:$W$9,MATCH(ROUNDUP((O$1)/10,0)*10,[1]Hugst!$R$4:$W$4,0))))</f>
        <v>373.2008819611379</v>
      </c>
      <c r="P24">
        <f ca="1">IF($C24-P$1&lt;År1,0,O23*(1-VLOOKUP($A24,[1]Hugst!$R$5:$W$9,MATCH(ROUNDUP((P$1)/10,0)*10,[1]Hugst!$R$4:$W$4,0))))</f>
        <v>373.71296530619003</v>
      </c>
      <c r="Q24">
        <f ca="1">IF($C24-Q$1&lt;År1,0,P23*(1-VLOOKUP($A24,[1]Hugst!$R$5:$W$9,MATCH(ROUNDUP((Q$1)/10,0)*10,[1]Hugst!$R$4:$W$4,0))))</f>
        <v>374.22762193437535</v>
      </c>
      <c r="R24">
        <f ca="1">IF($C24-R$1&lt;År1,0,Q23*(1-VLOOKUP($A24,[1]Hugst!$R$5:$W$9,MATCH(ROUNDUP((R$1)/10,0)*10,[1]Hugst!$R$4:$W$4,0))))</f>
        <v>596.71456174648119</v>
      </c>
      <c r="S24">
        <f ca="1">IF($C24-S$1&lt;År1,0,R23*(1-VLOOKUP($A24,[1]Hugst!$R$5:$W$9,MATCH(ROUNDUP((S$1)/10,0)*10,[1]Hugst!$R$4:$W$4,0))))</f>
        <v>597.23440379914155</v>
      </c>
      <c r="T24">
        <f ca="1">IF($C24-T$1&lt;År1,0,S23*(1-VLOOKUP($A24,[1]Hugst!$R$5:$W$9,MATCH(ROUNDUP((T$1)/10,0)*10,[1]Hugst!$R$4:$W$4,0))))</f>
        <v>597.75685812343352</v>
      </c>
      <c r="U24">
        <f ca="1">IF($C24-U$1&lt;År1,0,T23*(1-VLOOKUP($A24,[1]Hugst!$R$5:$W$9,MATCH(ROUNDUP((U$1)/10,0)*10,[1]Hugst!$R$4:$W$4,0))))</f>
        <v>598.28193784633402</v>
      </c>
      <c r="V24">
        <f ca="1">IF($C24-V$1&lt;År1,0,U23*(1-VLOOKUP($A24,[1]Hugst!$R$5:$W$9,MATCH(ROUNDUP((V$1)/10,0)*10,[1]Hugst!$R$4:$W$4,0))))</f>
        <v>598.80965616080709</v>
      </c>
      <c r="W24">
        <f ca="1">IF($C24-W$1&lt;År1,0,V23*(1-VLOOKUP($A24,[1]Hugst!$R$5:$W$9,MATCH(ROUNDUP((W$1)/10,0)*10,[1]Hugst!$R$4:$W$4,0))))</f>
        <v>599.34002632610714</v>
      </c>
      <c r="X24">
        <f ca="1">IF($C24-X$1&lt;År1,0,W23*(1-VLOOKUP($A24,[1]Hugst!$R$5:$W$9,MATCH(ROUNDUP((X$1)/10,0)*10,[1]Hugst!$R$4:$W$4,0))))</f>
        <v>599.87306166811823</v>
      </c>
      <c r="Y24">
        <f ca="1">IF($C24-Y$1&lt;År1,0,X23*(1-VLOOKUP($A24,[1]Hugst!$R$5:$W$9,MATCH(ROUNDUP((Y$1)/10,0)*10,[1]Hugst!$R$4:$W$4,0))))</f>
        <v>600.40877557968702</v>
      </c>
      <c r="Z24">
        <f ca="1">IF($C24-Z$1&lt;År1,0,Y23*(1-VLOOKUP($A24,[1]Hugst!$R$5:$W$9,MATCH(ROUNDUP((Z$1)/10,0)*10,[1]Hugst!$R$4:$W$4,0))))</f>
        <v>600.94718152096243</v>
      </c>
      <c r="AA24">
        <f ca="1">IF($C24-AA$1&lt;År1,0,Z23*(1-VLOOKUP($A24,[1]Hugst!$R$5:$W$9,MATCH(ROUNDUP((AA$1)/10,0)*10,[1]Hugst!$R$4:$W$4,0))))</f>
        <v>601.48829301972796</v>
      </c>
      <c r="AB24">
        <f ca="1">IF($C24-AB$1&lt;År1,0,AA23*(1-VLOOKUP($A24,[1]Hugst!$R$5:$W$9,MATCH(ROUNDUP((AB$1)/10,0)*10,[1]Hugst!$R$4:$W$4,0))))</f>
        <v>602.03212367175934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25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96.922483766748428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368.21878006304479</v>
      </c>
      <c r="G25">
        <f ca="1">IF($C25-G$1&lt;År1,0,F24*(1-VLOOKUP($A25,[1]Hugst!$R$5:$W$9,MATCH(ROUNDUP((G$1)/10,0)*10,[1]Hugst!$R$4:$W$4,0))))</f>
        <v>368.70582772016525</v>
      </c>
      <c r="H25">
        <f ca="1">IF($C25-H$1&lt;År1,0,G24*(1-VLOOKUP($A25,[1]Hugst!$R$5:$W$9,MATCH(ROUNDUP((H$1)/10,0)*10,[1]Hugst!$R$4:$W$4,0))))</f>
        <v>369.19532285294991</v>
      </c>
      <c r="I25">
        <f ca="1">IF($C25-I$1&lt;År1,0,H24*(1-VLOOKUP($A25,[1]Hugst!$R$5:$W$9,MATCH(ROUNDUP((I$1)/10,0)*10,[1]Hugst!$R$4:$W$4,0))))</f>
        <v>369.68727776026782</v>
      </c>
      <c r="J25">
        <f ca="1">IF($C25-J$1&lt;År1,0,I24*(1-VLOOKUP($A25,[1]Hugst!$R$5:$W$9,MATCH(ROUNDUP((J$1)/10,0)*10,[1]Hugst!$R$4:$W$4,0))))</f>
        <v>370.18170480279792</v>
      </c>
      <c r="K25">
        <f ca="1">IF($C25-K$1&lt;År1,0,J24*(1-VLOOKUP($A25,[1]Hugst!$R$5:$W$9,MATCH(ROUNDUP((K$1)/10,0)*10,[1]Hugst!$R$4:$W$4,0))))</f>
        <v>370.67861640333882</v>
      </c>
      <c r="L25">
        <f ca="1">IF($C25-L$1&lt;År1,0,K24*(1-VLOOKUP($A25,[1]Hugst!$R$5:$W$9,MATCH(ROUNDUP((L$1)/10,0)*10,[1]Hugst!$R$4:$W$4,0))))</f>
        <v>371.17802504708953</v>
      </c>
      <c r="M25">
        <f ca="1">IF($C25-M$1&lt;År1,0,L24*(1-VLOOKUP($A25,[1]Hugst!$R$5:$W$9,MATCH(ROUNDUP((M$1)/10,0)*10,[1]Hugst!$R$4:$W$4,0))))</f>
        <v>371.679943282019</v>
      </c>
      <c r="N25">
        <f ca="1">IF($C25-N$1&lt;År1,0,M24*(1-VLOOKUP($A25,[1]Hugst!$R$5:$W$9,MATCH(ROUNDUP((N$1)/10,0)*10,[1]Hugst!$R$4:$W$4,0))))</f>
        <v>372.18438371913368</v>
      </c>
      <c r="O25">
        <f ca="1">IF($C25-O$1&lt;År1,0,N24*(1-VLOOKUP($A25,[1]Hugst!$R$5:$W$9,MATCH(ROUNDUP((O$1)/10,0)*10,[1]Hugst!$R$4:$W$4,0))))</f>
        <v>372.69135903281409</v>
      </c>
      <c r="P25">
        <f ca="1">IF($C25-P$1&lt;År1,0,O24*(1-VLOOKUP($A25,[1]Hugst!$R$5:$W$9,MATCH(ROUNDUP((P$1)/10,0)*10,[1]Hugst!$R$4:$W$4,0))))</f>
        <v>373.2008819611379</v>
      </c>
      <c r="Q25">
        <f ca="1">IF($C25-Q$1&lt;År1,0,P24*(1-VLOOKUP($A25,[1]Hugst!$R$5:$W$9,MATCH(ROUNDUP((Q$1)/10,0)*10,[1]Hugst!$R$4:$W$4,0))))</f>
        <v>373.71296530619003</v>
      </c>
      <c r="R25">
        <f ca="1">IF($C25-R$1&lt;År1,0,Q24*(1-VLOOKUP($A25,[1]Hugst!$R$5:$W$9,MATCH(ROUNDUP((R$1)/10,0)*10,[1]Hugst!$R$4:$W$4,0))))</f>
        <v>374.22762193437535</v>
      </c>
      <c r="S25">
        <f ca="1">IF($C25-S$1&lt;År1,0,R24*(1-VLOOKUP($A25,[1]Hugst!$R$5:$W$9,MATCH(ROUNDUP((S$1)/10,0)*10,[1]Hugst!$R$4:$W$4,0))))</f>
        <v>596.71456174648119</v>
      </c>
      <c r="T25">
        <f ca="1">IF($C25-T$1&lt;År1,0,S24*(1-VLOOKUP($A25,[1]Hugst!$R$5:$W$9,MATCH(ROUNDUP((T$1)/10,0)*10,[1]Hugst!$R$4:$W$4,0))))</f>
        <v>597.23440379914155</v>
      </c>
      <c r="U25">
        <f ca="1">IF($C25-U$1&lt;År1,0,T24*(1-VLOOKUP($A25,[1]Hugst!$R$5:$W$9,MATCH(ROUNDUP((U$1)/10,0)*10,[1]Hugst!$R$4:$W$4,0))))</f>
        <v>597.75685812343352</v>
      </c>
      <c r="V25">
        <f ca="1">IF($C25-V$1&lt;År1,0,U24*(1-VLOOKUP($A25,[1]Hugst!$R$5:$W$9,MATCH(ROUNDUP((V$1)/10,0)*10,[1]Hugst!$R$4:$W$4,0))))</f>
        <v>598.28193784633402</v>
      </c>
      <c r="W25">
        <f ca="1">IF($C25-W$1&lt;År1,0,V24*(1-VLOOKUP($A25,[1]Hugst!$R$5:$W$9,MATCH(ROUNDUP((W$1)/10,0)*10,[1]Hugst!$R$4:$W$4,0))))</f>
        <v>598.80965616080709</v>
      </c>
      <c r="X25">
        <f ca="1">IF($C25-X$1&lt;År1,0,W24*(1-VLOOKUP($A25,[1]Hugst!$R$5:$W$9,MATCH(ROUNDUP((X$1)/10,0)*10,[1]Hugst!$R$4:$W$4,0))))</f>
        <v>599.34002632610714</v>
      </c>
      <c r="Y25">
        <f ca="1">IF($C25-Y$1&lt;År1,0,X24*(1-VLOOKUP($A25,[1]Hugst!$R$5:$W$9,MATCH(ROUNDUP((Y$1)/10,0)*10,[1]Hugst!$R$4:$W$4,0))))</f>
        <v>599.87306166811823</v>
      </c>
      <c r="Z25">
        <f ca="1">IF($C25-Z$1&lt;År1,0,Y24*(1-VLOOKUP($A25,[1]Hugst!$R$5:$W$9,MATCH(ROUNDUP((Z$1)/10,0)*10,[1]Hugst!$R$4:$W$4,0))))</f>
        <v>600.40877557968702</v>
      </c>
      <c r="AA25">
        <f ca="1">IF($C25-AA$1&lt;År1,0,Z24*(1-VLOOKUP($A25,[1]Hugst!$R$5:$W$9,MATCH(ROUNDUP((AA$1)/10,0)*10,[1]Hugst!$R$4:$W$4,0))))</f>
        <v>600.94718152096243</v>
      </c>
      <c r="AB25">
        <f ca="1">IF($C25-AB$1&lt;År1,0,AA24*(1-VLOOKUP($A25,[1]Hugst!$R$5:$W$9,MATCH(ROUNDUP((AB$1)/10,0)*10,[1]Hugst!$R$4:$W$4,0))))</f>
        <v>601.48829301972796</v>
      </c>
      <c r="AC25">
        <f ca="1">IF($C25-AC$1&lt;År1,0,AB24*(1-VLOOKUP($A25,[1]Hugst!$R$5:$W$9,MATCH(ROUNDUP((AC$1)/10,0)*10,[1]Hugst!$R$4:$W$4,0))))</f>
        <v>602.03212367175934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25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96.437871347915006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367.73416764421137</v>
      </c>
      <c r="G26">
        <f ca="1">IF($C26-G$1&lt;År1,0,F25*(1-VLOOKUP($A26,[1]Hugst!$R$5:$W$9,MATCH(ROUNDUP((G$1)/10,0)*10,[1]Hugst!$R$4:$W$4,0))))</f>
        <v>368.21878006304479</v>
      </c>
      <c r="H26">
        <f ca="1">IF($C26-H$1&lt;År1,0,G25*(1-VLOOKUP($A26,[1]Hugst!$R$5:$W$9,MATCH(ROUNDUP((H$1)/10,0)*10,[1]Hugst!$R$4:$W$4,0))))</f>
        <v>368.70582772016525</v>
      </c>
      <c r="I26">
        <f ca="1">IF($C26-I$1&lt;År1,0,H25*(1-VLOOKUP($A26,[1]Hugst!$R$5:$W$9,MATCH(ROUNDUP((I$1)/10,0)*10,[1]Hugst!$R$4:$W$4,0))))</f>
        <v>369.19532285294991</v>
      </c>
      <c r="J26">
        <f ca="1">IF($C26-J$1&lt;År1,0,I25*(1-VLOOKUP($A26,[1]Hugst!$R$5:$W$9,MATCH(ROUNDUP((J$1)/10,0)*10,[1]Hugst!$R$4:$W$4,0))))</f>
        <v>369.68727776026782</v>
      </c>
      <c r="K26">
        <f ca="1">IF($C26-K$1&lt;År1,0,J25*(1-VLOOKUP($A26,[1]Hugst!$R$5:$W$9,MATCH(ROUNDUP((K$1)/10,0)*10,[1]Hugst!$R$4:$W$4,0))))</f>
        <v>370.18170480279792</v>
      </c>
      <c r="L26">
        <f ca="1">IF($C26-L$1&lt;År1,0,K25*(1-VLOOKUP($A26,[1]Hugst!$R$5:$W$9,MATCH(ROUNDUP((L$1)/10,0)*10,[1]Hugst!$R$4:$W$4,0))))</f>
        <v>370.67861640333882</v>
      </c>
      <c r="M26">
        <f ca="1">IF($C26-M$1&lt;År1,0,L25*(1-VLOOKUP($A26,[1]Hugst!$R$5:$W$9,MATCH(ROUNDUP((M$1)/10,0)*10,[1]Hugst!$R$4:$W$4,0))))</f>
        <v>371.17802504708953</v>
      </c>
      <c r="N26">
        <f ca="1">IF($C26-N$1&lt;År1,0,M25*(1-VLOOKUP($A26,[1]Hugst!$R$5:$W$9,MATCH(ROUNDUP((N$1)/10,0)*10,[1]Hugst!$R$4:$W$4,0))))</f>
        <v>371.679943282019</v>
      </c>
      <c r="O26">
        <f ca="1">IF($C26-O$1&lt;År1,0,N25*(1-VLOOKUP($A26,[1]Hugst!$R$5:$W$9,MATCH(ROUNDUP((O$1)/10,0)*10,[1]Hugst!$R$4:$W$4,0))))</f>
        <v>372.18438371913368</v>
      </c>
      <c r="P26">
        <f ca="1">IF($C26-P$1&lt;År1,0,O25*(1-VLOOKUP($A26,[1]Hugst!$R$5:$W$9,MATCH(ROUNDUP((P$1)/10,0)*10,[1]Hugst!$R$4:$W$4,0))))</f>
        <v>372.69135903281409</v>
      </c>
      <c r="Q26">
        <f ca="1">IF($C26-Q$1&lt;År1,0,P25*(1-VLOOKUP($A26,[1]Hugst!$R$5:$W$9,MATCH(ROUNDUP((Q$1)/10,0)*10,[1]Hugst!$R$4:$W$4,0))))</f>
        <v>373.2008819611379</v>
      </c>
      <c r="R26">
        <f ca="1">IF($C26-R$1&lt;År1,0,Q25*(1-VLOOKUP($A26,[1]Hugst!$R$5:$W$9,MATCH(ROUNDUP((R$1)/10,0)*10,[1]Hugst!$R$4:$W$4,0))))</f>
        <v>373.71296530619003</v>
      </c>
      <c r="S26">
        <f ca="1">IF($C26-S$1&lt;År1,0,R25*(1-VLOOKUP($A26,[1]Hugst!$R$5:$W$9,MATCH(ROUNDUP((S$1)/10,0)*10,[1]Hugst!$R$4:$W$4,0))))</f>
        <v>374.22762193437535</v>
      </c>
      <c r="T26">
        <f ca="1">IF($C26-T$1&lt;År1,0,S25*(1-VLOOKUP($A26,[1]Hugst!$R$5:$W$9,MATCH(ROUNDUP((T$1)/10,0)*10,[1]Hugst!$R$4:$W$4,0))))</f>
        <v>596.71456174648119</v>
      </c>
      <c r="U26">
        <f ca="1">IF($C26-U$1&lt;År1,0,T25*(1-VLOOKUP($A26,[1]Hugst!$R$5:$W$9,MATCH(ROUNDUP((U$1)/10,0)*10,[1]Hugst!$R$4:$W$4,0))))</f>
        <v>597.23440379914155</v>
      </c>
      <c r="V26">
        <f ca="1">IF($C26-V$1&lt;År1,0,U25*(1-VLOOKUP($A26,[1]Hugst!$R$5:$W$9,MATCH(ROUNDUP((V$1)/10,0)*10,[1]Hugst!$R$4:$W$4,0))))</f>
        <v>597.75685812343352</v>
      </c>
      <c r="W26">
        <f ca="1">IF($C26-W$1&lt;År1,0,V25*(1-VLOOKUP($A26,[1]Hugst!$R$5:$W$9,MATCH(ROUNDUP((W$1)/10,0)*10,[1]Hugst!$R$4:$W$4,0))))</f>
        <v>598.28193784633402</v>
      </c>
      <c r="X26">
        <f ca="1">IF($C26-X$1&lt;År1,0,W25*(1-VLOOKUP($A26,[1]Hugst!$R$5:$W$9,MATCH(ROUNDUP((X$1)/10,0)*10,[1]Hugst!$R$4:$W$4,0))))</f>
        <v>598.80965616080709</v>
      </c>
      <c r="Y26">
        <f ca="1">IF($C26-Y$1&lt;År1,0,X25*(1-VLOOKUP($A26,[1]Hugst!$R$5:$W$9,MATCH(ROUNDUP((Y$1)/10,0)*10,[1]Hugst!$R$4:$W$4,0))))</f>
        <v>599.34002632610714</v>
      </c>
      <c r="Z26">
        <f ca="1">IF($C26-Z$1&lt;År1,0,Y25*(1-VLOOKUP($A26,[1]Hugst!$R$5:$W$9,MATCH(ROUNDUP((Z$1)/10,0)*10,[1]Hugst!$R$4:$W$4,0))))</f>
        <v>599.87306166811823</v>
      </c>
      <c r="AA26">
        <f ca="1">IF($C26-AA$1&lt;År1,0,Z25*(1-VLOOKUP($A26,[1]Hugst!$R$5:$W$9,MATCH(ROUNDUP((AA$1)/10,0)*10,[1]Hugst!$R$4:$W$4,0))))</f>
        <v>600.40877557968702</v>
      </c>
      <c r="AB26">
        <f ca="1">IF($C26-AB$1&lt;År1,0,AA25*(1-VLOOKUP($A26,[1]Hugst!$R$5:$W$9,MATCH(ROUNDUP((AB$1)/10,0)*10,[1]Hugst!$R$4:$W$4,0))))</f>
        <v>600.94718152096243</v>
      </c>
      <c r="AC26">
        <f ca="1">IF($C26-AC$1&lt;År1,0,AB25*(1-VLOOKUP($A26,[1]Hugst!$R$5:$W$9,MATCH(ROUNDUP((AC$1)/10,0)*10,[1]Hugst!$R$4:$W$4,0))))</f>
        <v>601.48829301972796</v>
      </c>
      <c r="AD26">
        <f ca="1">IF($C26-AD$1&lt;År1,0,AC25*(1-VLOOKUP($A26,[1]Hugst!$R$5:$W$9,MATCH(ROUNDUP((AD$1)/10,0)*10,[1]Hugst!$R$4:$W$4,0))))</f>
        <v>602.03212367175934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25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95.955681991175425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367.25197828747179</v>
      </c>
      <c r="G27">
        <f ca="1">IF($C27-G$1&lt;År1,0,F26*(1-VLOOKUP($A27,[1]Hugst!$R$5:$W$9,MATCH(ROUNDUP((G$1)/10,0)*10,[1]Hugst!$R$4:$W$4,0))))</f>
        <v>367.73416764421137</v>
      </c>
      <c r="H27">
        <f ca="1">IF($C27-H$1&lt;År1,0,G26*(1-VLOOKUP($A27,[1]Hugst!$R$5:$W$9,MATCH(ROUNDUP((H$1)/10,0)*10,[1]Hugst!$R$4:$W$4,0))))</f>
        <v>368.21878006304479</v>
      </c>
      <c r="I27">
        <f ca="1">IF($C27-I$1&lt;År1,0,H26*(1-VLOOKUP($A27,[1]Hugst!$R$5:$W$9,MATCH(ROUNDUP((I$1)/10,0)*10,[1]Hugst!$R$4:$W$4,0))))</f>
        <v>368.70582772016525</v>
      </c>
      <c r="J27">
        <f ca="1">IF($C27-J$1&lt;År1,0,I26*(1-VLOOKUP($A27,[1]Hugst!$R$5:$W$9,MATCH(ROUNDUP((J$1)/10,0)*10,[1]Hugst!$R$4:$W$4,0))))</f>
        <v>369.19532285294991</v>
      </c>
      <c r="K27">
        <f ca="1">IF($C27-K$1&lt;År1,0,J26*(1-VLOOKUP($A27,[1]Hugst!$R$5:$W$9,MATCH(ROUNDUP((K$1)/10,0)*10,[1]Hugst!$R$4:$W$4,0))))</f>
        <v>369.68727776026782</v>
      </c>
      <c r="L27">
        <f ca="1">IF($C27-L$1&lt;År1,0,K26*(1-VLOOKUP($A27,[1]Hugst!$R$5:$W$9,MATCH(ROUNDUP((L$1)/10,0)*10,[1]Hugst!$R$4:$W$4,0))))</f>
        <v>370.18170480279792</v>
      </c>
      <c r="M27">
        <f ca="1">IF($C27-M$1&lt;År1,0,L26*(1-VLOOKUP($A27,[1]Hugst!$R$5:$W$9,MATCH(ROUNDUP((M$1)/10,0)*10,[1]Hugst!$R$4:$W$4,0))))</f>
        <v>370.67861640333882</v>
      </c>
      <c r="N27">
        <f ca="1">IF($C27-N$1&lt;År1,0,M26*(1-VLOOKUP($A27,[1]Hugst!$R$5:$W$9,MATCH(ROUNDUP((N$1)/10,0)*10,[1]Hugst!$R$4:$W$4,0))))</f>
        <v>371.17802504708953</v>
      </c>
      <c r="O27">
        <f ca="1">IF($C27-O$1&lt;År1,0,N26*(1-VLOOKUP($A27,[1]Hugst!$R$5:$W$9,MATCH(ROUNDUP((O$1)/10,0)*10,[1]Hugst!$R$4:$W$4,0))))</f>
        <v>371.679943282019</v>
      </c>
      <c r="P27">
        <f ca="1">IF($C27-P$1&lt;År1,0,O26*(1-VLOOKUP($A27,[1]Hugst!$R$5:$W$9,MATCH(ROUNDUP((P$1)/10,0)*10,[1]Hugst!$R$4:$W$4,0))))</f>
        <v>372.18438371913368</v>
      </c>
      <c r="Q27">
        <f ca="1">IF($C27-Q$1&lt;År1,0,P26*(1-VLOOKUP($A27,[1]Hugst!$R$5:$W$9,MATCH(ROUNDUP((Q$1)/10,0)*10,[1]Hugst!$R$4:$W$4,0))))</f>
        <v>372.69135903281409</v>
      </c>
      <c r="R27">
        <f ca="1">IF($C27-R$1&lt;År1,0,Q26*(1-VLOOKUP($A27,[1]Hugst!$R$5:$W$9,MATCH(ROUNDUP((R$1)/10,0)*10,[1]Hugst!$R$4:$W$4,0))))</f>
        <v>373.2008819611379</v>
      </c>
      <c r="S27">
        <f ca="1">IF($C27-S$1&lt;År1,0,R26*(1-VLOOKUP($A27,[1]Hugst!$R$5:$W$9,MATCH(ROUNDUP((S$1)/10,0)*10,[1]Hugst!$R$4:$W$4,0))))</f>
        <v>373.71296530619003</v>
      </c>
      <c r="T27">
        <f ca="1">IF($C27-T$1&lt;År1,0,S26*(1-VLOOKUP($A27,[1]Hugst!$R$5:$W$9,MATCH(ROUNDUP((T$1)/10,0)*10,[1]Hugst!$R$4:$W$4,0))))</f>
        <v>374.22762193437535</v>
      </c>
      <c r="U27">
        <f ca="1">IF($C27-U$1&lt;År1,0,T26*(1-VLOOKUP($A27,[1]Hugst!$R$5:$W$9,MATCH(ROUNDUP((U$1)/10,0)*10,[1]Hugst!$R$4:$W$4,0))))</f>
        <v>596.71456174648119</v>
      </c>
      <c r="V27">
        <f ca="1">IF($C27-V$1&lt;År1,0,U26*(1-VLOOKUP($A27,[1]Hugst!$R$5:$W$9,MATCH(ROUNDUP((V$1)/10,0)*10,[1]Hugst!$R$4:$W$4,0))))</f>
        <v>597.23440379914155</v>
      </c>
      <c r="W27">
        <f ca="1">IF($C27-W$1&lt;År1,0,V26*(1-VLOOKUP($A27,[1]Hugst!$R$5:$W$9,MATCH(ROUNDUP((W$1)/10,0)*10,[1]Hugst!$R$4:$W$4,0))))</f>
        <v>597.75685812343352</v>
      </c>
      <c r="X27">
        <f ca="1">IF($C27-X$1&lt;År1,0,W26*(1-VLOOKUP($A27,[1]Hugst!$R$5:$W$9,MATCH(ROUNDUP((X$1)/10,0)*10,[1]Hugst!$R$4:$W$4,0))))</f>
        <v>598.28193784633402</v>
      </c>
      <c r="Y27">
        <f ca="1">IF($C27-Y$1&lt;År1,0,X26*(1-VLOOKUP($A27,[1]Hugst!$R$5:$W$9,MATCH(ROUNDUP((Y$1)/10,0)*10,[1]Hugst!$R$4:$W$4,0))))</f>
        <v>598.80965616080709</v>
      </c>
      <c r="Z27">
        <f ca="1">IF($C27-Z$1&lt;År1,0,Y26*(1-VLOOKUP($A27,[1]Hugst!$R$5:$W$9,MATCH(ROUNDUP((Z$1)/10,0)*10,[1]Hugst!$R$4:$W$4,0))))</f>
        <v>599.34002632610714</v>
      </c>
      <c r="AA27">
        <f ca="1">IF($C27-AA$1&lt;År1,0,Z26*(1-VLOOKUP($A27,[1]Hugst!$R$5:$W$9,MATCH(ROUNDUP((AA$1)/10,0)*10,[1]Hugst!$R$4:$W$4,0))))</f>
        <v>599.87306166811823</v>
      </c>
      <c r="AB27">
        <f ca="1">IF($C27-AB$1&lt;År1,0,AA26*(1-VLOOKUP($A27,[1]Hugst!$R$5:$W$9,MATCH(ROUNDUP((AB$1)/10,0)*10,[1]Hugst!$R$4:$W$4,0))))</f>
        <v>600.40877557968702</v>
      </c>
      <c r="AC27">
        <f ca="1">IF($C27-AC$1&lt;År1,0,AB26*(1-VLOOKUP($A27,[1]Hugst!$R$5:$W$9,MATCH(ROUNDUP((AC$1)/10,0)*10,[1]Hugst!$R$4:$W$4,0))))</f>
        <v>600.94718152096243</v>
      </c>
      <c r="AD27">
        <f ca="1">IF($C27-AD$1&lt;År1,0,AC26*(1-VLOOKUP($A27,[1]Hugst!$R$5:$W$9,MATCH(ROUNDUP((AD$1)/10,0)*10,[1]Hugst!$R$4:$W$4,0))))</f>
        <v>601.48829301972796</v>
      </c>
      <c r="AE27">
        <f ca="1">IF($C27-AE$1&lt;År1,0,AD26*(1-VLOOKUP($A27,[1]Hugst!$R$5:$W$9,MATCH(ROUNDUP((AE$1)/10,0)*10,[1]Hugst!$R$4:$W$4,0))))</f>
        <v>602.03212367175934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25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95.47590358122261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366.77219987751897</v>
      </c>
      <c r="G28">
        <f ca="1">IF($C28-G$1&lt;År1,0,F27*(1-VLOOKUP($A28,[1]Hugst!$R$5:$W$9,MATCH(ROUNDUP((G$1)/10,0)*10,[1]Hugst!$R$4:$W$4,0))))</f>
        <v>367.25197828747179</v>
      </c>
      <c r="H28">
        <f ca="1">IF($C28-H$1&lt;År1,0,G27*(1-VLOOKUP($A28,[1]Hugst!$R$5:$W$9,MATCH(ROUNDUP((H$1)/10,0)*10,[1]Hugst!$R$4:$W$4,0))))</f>
        <v>367.73416764421137</v>
      </c>
      <c r="I28">
        <f ca="1">IF($C28-I$1&lt;År1,0,H27*(1-VLOOKUP($A28,[1]Hugst!$R$5:$W$9,MATCH(ROUNDUP((I$1)/10,0)*10,[1]Hugst!$R$4:$W$4,0))))</f>
        <v>368.21878006304479</v>
      </c>
      <c r="J28">
        <f ca="1">IF($C28-J$1&lt;År1,0,I27*(1-VLOOKUP($A28,[1]Hugst!$R$5:$W$9,MATCH(ROUNDUP((J$1)/10,0)*10,[1]Hugst!$R$4:$W$4,0))))</f>
        <v>368.70582772016525</v>
      </c>
      <c r="K28">
        <f ca="1">IF($C28-K$1&lt;År1,0,J27*(1-VLOOKUP($A28,[1]Hugst!$R$5:$W$9,MATCH(ROUNDUP((K$1)/10,0)*10,[1]Hugst!$R$4:$W$4,0))))</f>
        <v>369.19532285294991</v>
      </c>
      <c r="L28">
        <f ca="1">IF($C28-L$1&lt;År1,0,K27*(1-VLOOKUP($A28,[1]Hugst!$R$5:$W$9,MATCH(ROUNDUP((L$1)/10,0)*10,[1]Hugst!$R$4:$W$4,0))))</f>
        <v>369.68727776026782</v>
      </c>
      <c r="M28">
        <f ca="1">IF($C28-M$1&lt;År1,0,L27*(1-VLOOKUP($A28,[1]Hugst!$R$5:$W$9,MATCH(ROUNDUP((M$1)/10,0)*10,[1]Hugst!$R$4:$W$4,0))))</f>
        <v>370.18170480279792</v>
      </c>
      <c r="N28">
        <f ca="1">IF($C28-N$1&lt;År1,0,M27*(1-VLOOKUP($A28,[1]Hugst!$R$5:$W$9,MATCH(ROUNDUP((N$1)/10,0)*10,[1]Hugst!$R$4:$W$4,0))))</f>
        <v>370.67861640333882</v>
      </c>
      <c r="O28">
        <f ca="1">IF($C28-O$1&lt;År1,0,N27*(1-VLOOKUP($A28,[1]Hugst!$R$5:$W$9,MATCH(ROUNDUP((O$1)/10,0)*10,[1]Hugst!$R$4:$W$4,0))))</f>
        <v>371.17802504708953</v>
      </c>
      <c r="P28">
        <f ca="1">IF($C28-P$1&lt;År1,0,O27*(1-VLOOKUP($A28,[1]Hugst!$R$5:$W$9,MATCH(ROUNDUP((P$1)/10,0)*10,[1]Hugst!$R$4:$W$4,0))))</f>
        <v>371.679943282019</v>
      </c>
      <c r="Q28">
        <f ca="1">IF($C28-Q$1&lt;År1,0,P27*(1-VLOOKUP($A28,[1]Hugst!$R$5:$W$9,MATCH(ROUNDUP((Q$1)/10,0)*10,[1]Hugst!$R$4:$W$4,0))))</f>
        <v>372.18438371913368</v>
      </c>
      <c r="R28">
        <f ca="1">IF($C28-R$1&lt;År1,0,Q27*(1-VLOOKUP($A28,[1]Hugst!$R$5:$W$9,MATCH(ROUNDUP((R$1)/10,0)*10,[1]Hugst!$R$4:$W$4,0))))</f>
        <v>372.69135903281409</v>
      </c>
      <c r="S28">
        <f ca="1">IF($C28-S$1&lt;År1,0,R27*(1-VLOOKUP($A28,[1]Hugst!$R$5:$W$9,MATCH(ROUNDUP((S$1)/10,0)*10,[1]Hugst!$R$4:$W$4,0))))</f>
        <v>373.2008819611379</v>
      </c>
      <c r="T28">
        <f ca="1">IF($C28-T$1&lt;År1,0,S27*(1-VLOOKUP($A28,[1]Hugst!$R$5:$W$9,MATCH(ROUNDUP((T$1)/10,0)*10,[1]Hugst!$R$4:$W$4,0))))</f>
        <v>373.71296530619003</v>
      </c>
      <c r="U28">
        <f ca="1">IF($C28-U$1&lt;År1,0,T27*(1-VLOOKUP($A28,[1]Hugst!$R$5:$W$9,MATCH(ROUNDUP((U$1)/10,0)*10,[1]Hugst!$R$4:$W$4,0))))</f>
        <v>374.22762193437535</v>
      </c>
      <c r="V28">
        <f ca="1">IF($C28-V$1&lt;År1,0,U27*(1-VLOOKUP($A28,[1]Hugst!$R$5:$W$9,MATCH(ROUNDUP((V$1)/10,0)*10,[1]Hugst!$R$4:$W$4,0))))</f>
        <v>596.71456174648119</v>
      </c>
      <c r="W28">
        <f ca="1">IF($C28-W$1&lt;År1,0,V27*(1-VLOOKUP($A28,[1]Hugst!$R$5:$W$9,MATCH(ROUNDUP((W$1)/10,0)*10,[1]Hugst!$R$4:$W$4,0))))</f>
        <v>597.23440379914155</v>
      </c>
      <c r="X28">
        <f ca="1">IF($C28-X$1&lt;År1,0,W27*(1-VLOOKUP($A28,[1]Hugst!$R$5:$W$9,MATCH(ROUNDUP((X$1)/10,0)*10,[1]Hugst!$R$4:$W$4,0))))</f>
        <v>597.75685812343352</v>
      </c>
      <c r="Y28">
        <f ca="1">IF($C28-Y$1&lt;År1,0,X27*(1-VLOOKUP($A28,[1]Hugst!$R$5:$W$9,MATCH(ROUNDUP((Y$1)/10,0)*10,[1]Hugst!$R$4:$W$4,0))))</f>
        <v>598.28193784633402</v>
      </c>
      <c r="Z28">
        <f ca="1">IF($C28-Z$1&lt;År1,0,Y27*(1-VLOOKUP($A28,[1]Hugst!$R$5:$W$9,MATCH(ROUNDUP((Z$1)/10,0)*10,[1]Hugst!$R$4:$W$4,0))))</f>
        <v>598.80965616080709</v>
      </c>
      <c r="AA28">
        <f ca="1">IF($C28-AA$1&lt;År1,0,Z27*(1-VLOOKUP($A28,[1]Hugst!$R$5:$W$9,MATCH(ROUNDUP((AA$1)/10,0)*10,[1]Hugst!$R$4:$W$4,0))))</f>
        <v>599.34002632610714</v>
      </c>
      <c r="AB28">
        <f ca="1">IF($C28-AB$1&lt;År1,0,AA27*(1-VLOOKUP($A28,[1]Hugst!$R$5:$W$9,MATCH(ROUNDUP((AB$1)/10,0)*10,[1]Hugst!$R$4:$W$4,0))))</f>
        <v>599.87306166811823</v>
      </c>
      <c r="AC28">
        <f ca="1">IF($C28-AC$1&lt;År1,0,AB27*(1-VLOOKUP($A28,[1]Hugst!$R$5:$W$9,MATCH(ROUNDUP((AC$1)/10,0)*10,[1]Hugst!$R$4:$W$4,0))))</f>
        <v>600.40877557968702</v>
      </c>
      <c r="AD28">
        <f ca="1">IF($C28-AD$1&lt;År1,0,AC27*(1-VLOOKUP($A28,[1]Hugst!$R$5:$W$9,MATCH(ROUNDUP((AD$1)/10,0)*10,[1]Hugst!$R$4:$W$4,0))))</f>
        <v>600.94718152096243</v>
      </c>
      <c r="AE28">
        <f ca="1">IF($C28-AE$1&lt;År1,0,AD27*(1-VLOOKUP($A28,[1]Hugst!$R$5:$W$9,MATCH(ROUNDUP((AE$1)/10,0)*10,[1]Hugst!$R$4:$W$4,0))))</f>
        <v>601.48829301972796</v>
      </c>
      <c r="AF28">
        <f ca="1">IF($C28-AF$1&lt;År1,0,AE27*(1-VLOOKUP($A28,[1]Hugst!$R$5:$W$9,MATCH(ROUNDUP((AF$1)/10,0)*10,[1]Hugst!$R$4:$W$4,0))))</f>
        <v>602.03212367175934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25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94.99852406331047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366.29482035960683</v>
      </c>
      <c r="G29">
        <f ca="1">IF($C29-G$1&lt;År1,0,F28*(1-VLOOKUP($A29,[1]Hugst!$R$5:$W$9,MATCH(ROUNDUP((G$1)/10,0)*10,[1]Hugst!$R$4:$W$4,0))))</f>
        <v>366.77219987751897</v>
      </c>
      <c r="H29">
        <f ca="1">IF($C29-H$1&lt;År1,0,G28*(1-VLOOKUP($A29,[1]Hugst!$R$5:$W$9,MATCH(ROUNDUP((H$1)/10,0)*10,[1]Hugst!$R$4:$W$4,0))))</f>
        <v>367.25197828747179</v>
      </c>
      <c r="I29">
        <f ca="1">IF($C29-I$1&lt;År1,0,H28*(1-VLOOKUP($A29,[1]Hugst!$R$5:$W$9,MATCH(ROUNDUP((I$1)/10,0)*10,[1]Hugst!$R$4:$W$4,0))))</f>
        <v>367.73416764421137</v>
      </c>
      <c r="J29">
        <f ca="1">IF($C29-J$1&lt;År1,0,I28*(1-VLOOKUP($A29,[1]Hugst!$R$5:$W$9,MATCH(ROUNDUP((J$1)/10,0)*10,[1]Hugst!$R$4:$W$4,0))))</f>
        <v>368.21878006304479</v>
      </c>
      <c r="K29">
        <f ca="1">IF($C29-K$1&lt;År1,0,J28*(1-VLOOKUP($A29,[1]Hugst!$R$5:$W$9,MATCH(ROUNDUP((K$1)/10,0)*10,[1]Hugst!$R$4:$W$4,0))))</f>
        <v>368.70582772016525</v>
      </c>
      <c r="L29">
        <f ca="1">IF($C29-L$1&lt;År1,0,K28*(1-VLOOKUP($A29,[1]Hugst!$R$5:$W$9,MATCH(ROUNDUP((L$1)/10,0)*10,[1]Hugst!$R$4:$W$4,0))))</f>
        <v>369.19532285294991</v>
      </c>
      <c r="M29">
        <f ca="1">IF($C29-M$1&lt;År1,0,L28*(1-VLOOKUP($A29,[1]Hugst!$R$5:$W$9,MATCH(ROUNDUP((M$1)/10,0)*10,[1]Hugst!$R$4:$W$4,0))))</f>
        <v>369.68727776026782</v>
      </c>
      <c r="N29">
        <f ca="1">IF($C29-N$1&lt;År1,0,M28*(1-VLOOKUP($A29,[1]Hugst!$R$5:$W$9,MATCH(ROUNDUP((N$1)/10,0)*10,[1]Hugst!$R$4:$W$4,0))))</f>
        <v>370.18170480279792</v>
      </c>
      <c r="O29">
        <f ca="1">IF($C29-O$1&lt;År1,0,N28*(1-VLOOKUP($A29,[1]Hugst!$R$5:$W$9,MATCH(ROUNDUP((O$1)/10,0)*10,[1]Hugst!$R$4:$W$4,0))))</f>
        <v>370.67861640333882</v>
      </c>
      <c r="P29">
        <f ca="1">IF($C29-P$1&lt;År1,0,O28*(1-VLOOKUP($A29,[1]Hugst!$R$5:$W$9,MATCH(ROUNDUP((P$1)/10,0)*10,[1]Hugst!$R$4:$W$4,0))))</f>
        <v>371.17802504708953</v>
      </c>
      <c r="Q29">
        <f ca="1">IF($C29-Q$1&lt;År1,0,P28*(1-VLOOKUP($A29,[1]Hugst!$R$5:$W$9,MATCH(ROUNDUP((Q$1)/10,0)*10,[1]Hugst!$R$4:$W$4,0))))</f>
        <v>371.679943282019</v>
      </c>
      <c r="R29">
        <f ca="1">IF($C29-R$1&lt;År1,0,Q28*(1-VLOOKUP($A29,[1]Hugst!$R$5:$W$9,MATCH(ROUNDUP((R$1)/10,0)*10,[1]Hugst!$R$4:$W$4,0))))</f>
        <v>372.18438371913368</v>
      </c>
      <c r="S29">
        <f ca="1">IF($C29-S$1&lt;År1,0,R28*(1-VLOOKUP($A29,[1]Hugst!$R$5:$W$9,MATCH(ROUNDUP((S$1)/10,0)*10,[1]Hugst!$R$4:$W$4,0))))</f>
        <v>372.69135903281409</v>
      </c>
      <c r="T29">
        <f ca="1">IF($C29-T$1&lt;År1,0,S28*(1-VLOOKUP($A29,[1]Hugst!$R$5:$W$9,MATCH(ROUNDUP((T$1)/10,0)*10,[1]Hugst!$R$4:$W$4,0))))</f>
        <v>373.2008819611379</v>
      </c>
      <c r="U29">
        <f ca="1">IF($C29-U$1&lt;År1,0,T28*(1-VLOOKUP($A29,[1]Hugst!$R$5:$W$9,MATCH(ROUNDUP((U$1)/10,0)*10,[1]Hugst!$R$4:$W$4,0))))</f>
        <v>373.71296530619003</v>
      </c>
      <c r="V29">
        <f ca="1">IF($C29-V$1&lt;År1,0,U28*(1-VLOOKUP($A29,[1]Hugst!$R$5:$W$9,MATCH(ROUNDUP((V$1)/10,0)*10,[1]Hugst!$R$4:$W$4,0))))</f>
        <v>374.22762193437535</v>
      </c>
      <c r="W29">
        <f ca="1">IF($C29-W$1&lt;År1,0,V28*(1-VLOOKUP($A29,[1]Hugst!$R$5:$W$9,MATCH(ROUNDUP((W$1)/10,0)*10,[1]Hugst!$R$4:$W$4,0))))</f>
        <v>596.71456174648119</v>
      </c>
      <c r="X29">
        <f ca="1">IF($C29-X$1&lt;År1,0,W28*(1-VLOOKUP($A29,[1]Hugst!$R$5:$W$9,MATCH(ROUNDUP((X$1)/10,0)*10,[1]Hugst!$R$4:$W$4,0))))</f>
        <v>597.23440379914155</v>
      </c>
      <c r="Y29">
        <f ca="1">IF($C29-Y$1&lt;År1,0,X28*(1-VLOOKUP($A29,[1]Hugst!$R$5:$W$9,MATCH(ROUNDUP((Y$1)/10,0)*10,[1]Hugst!$R$4:$W$4,0))))</f>
        <v>597.75685812343352</v>
      </c>
      <c r="Z29">
        <f ca="1">IF($C29-Z$1&lt;År1,0,Y28*(1-VLOOKUP($A29,[1]Hugst!$R$5:$W$9,MATCH(ROUNDUP((Z$1)/10,0)*10,[1]Hugst!$R$4:$W$4,0))))</f>
        <v>598.28193784633402</v>
      </c>
      <c r="AA29">
        <f ca="1">IF($C29-AA$1&lt;År1,0,Z28*(1-VLOOKUP($A29,[1]Hugst!$R$5:$W$9,MATCH(ROUNDUP((AA$1)/10,0)*10,[1]Hugst!$R$4:$W$4,0))))</f>
        <v>598.80965616080709</v>
      </c>
      <c r="AB29">
        <f ca="1">IF($C29-AB$1&lt;År1,0,AA28*(1-VLOOKUP($A29,[1]Hugst!$R$5:$W$9,MATCH(ROUNDUP((AB$1)/10,0)*10,[1]Hugst!$R$4:$W$4,0))))</f>
        <v>599.34002632610714</v>
      </c>
      <c r="AC29">
        <f ca="1">IF($C29-AC$1&lt;År1,0,AB28*(1-VLOOKUP($A29,[1]Hugst!$R$5:$W$9,MATCH(ROUNDUP((AC$1)/10,0)*10,[1]Hugst!$R$4:$W$4,0))))</f>
        <v>599.87306166811823</v>
      </c>
      <c r="AD29">
        <f ca="1">IF($C29-AD$1&lt;År1,0,AC28*(1-VLOOKUP($A29,[1]Hugst!$R$5:$W$9,MATCH(ROUNDUP((AD$1)/10,0)*10,[1]Hugst!$R$4:$W$4,0))))</f>
        <v>600.40877557968702</v>
      </c>
      <c r="AE29">
        <f ca="1">IF($C29-AE$1&lt;År1,0,AD28*(1-VLOOKUP($A29,[1]Hugst!$R$5:$W$9,MATCH(ROUNDUP((AE$1)/10,0)*10,[1]Hugst!$R$4:$W$4,0))))</f>
        <v>600.94718152096243</v>
      </c>
      <c r="AF29">
        <f ca="1">IF($C29-AF$1&lt;År1,0,AE28*(1-VLOOKUP($A29,[1]Hugst!$R$5:$W$9,MATCH(ROUNDUP((AF$1)/10,0)*10,[1]Hugst!$R$4:$W$4,0))))</f>
        <v>601.48829301972796</v>
      </c>
      <c r="AG29">
        <f ca="1">IF($C29-AG$1&lt;År1,0,AF28*(1-VLOOKUP($A29,[1]Hugst!$R$5:$W$9,MATCH(ROUNDUP((AG$1)/10,0)*10,[1]Hugst!$R$4:$W$4,0))))</f>
        <v>602.03212367175934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25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94.523531442996955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365.81982773929332</v>
      </c>
      <c r="G30">
        <f ca="1">IF($C30-G$1&lt;År1,0,F29*(1-VLOOKUP($A30,[1]Hugst!$R$5:$W$9,MATCH(ROUNDUP((G$1)/10,0)*10,[1]Hugst!$R$4:$W$4,0))))</f>
        <v>366.29482035960683</v>
      </c>
      <c r="H30">
        <f ca="1">IF($C30-H$1&lt;År1,0,G29*(1-VLOOKUP($A30,[1]Hugst!$R$5:$W$9,MATCH(ROUNDUP((H$1)/10,0)*10,[1]Hugst!$R$4:$W$4,0))))</f>
        <v>366.77219987751897</v>
      </c>
      <c r="I30">
        <f ca="1">IF($C30-I$1&lt;År1,0,H29*(1-VLOOKUP($A30,[1]Hugst!$R$5:$W$9,MATCH(ROUNDUP((I$1)/10,0)*10,[1]Hugst!$R$4:$W$4,0))))</f>
        <v>367.25197828747179</v>
      </c>
      <c r="J30">
        <f ca="1">IF($C30-J$1&lt;År1,0,I29*(1-VLOOKUP($A30,[1]Hugst!$R$5:$W$9,MATCH(ROUNDUP((J$1)/10,0)*10,[1]Hugst!$R$4:$W$4,0))))</f>
        <v>367.73416764421137</v>
      </c>
      <c r="K30">
        <f ca="1">IF($C30-K$1&lt;År1,0,J29*(1-VLOOKUP($A30,[1]Hugst!$R$5:$W$9,MATCH(ROUNDUP((K$1)/10,0)*10,[1]Hugst!$R$4:$W$4,0))))</f>
        <v>368.21878006304479</v>
      </c>
      <c r="L30">
        <f ca="1">IF($C30-L$1&lt;År1,0,K29*(1-VLOOKUP($A30,[1]Hugst!$R$5:$W$9,MATCH(ROUNDUP((L$1)/10,0)*10,[1]Hugst!$R$4:$W$4,0))))</f>
        <v>368.70582772016525</v>
      </c>
      <c r="M30">
        <f ca="1">IF($C30-M$1&lt;År1,0,L29*(1-VLOOKUP($A30,[1]Hugst!$R$5:$W$9,MATCH(ROUNDUP((M$1)/10,0)*10,[1]Hugst!$R$4:$W$4,0))))</f>
        <v>369.19532285294991</v>
      </c>
      <c r="N30">
        <f ca="1">IF($C30-N$1&lt;År1,0,M29*(1-VLOOKUP($A30,[1]Hugst!$R$5:$W$9,MATCH(ROUNDUP((N$1)/10,0)*10,[1]Hugst!$R$4:$W$4,0))))</f>
        <v>369.68727776026782</v>
      </c>
      <c r="O30">
        <f ca="1">IF($C30-O$1&lt;År1,0,N29*(1-VLOOKUP($A30,[1]Hugst!$R$5:$W$9,MATCH(ROUNDUP((O$1)/10,0)*10,[1]Hugst!$R$4:$W$4,0))))</f>
        <v>370.18170480279792</v>
      </c>
      <c r="P30">
        <f ca="1">IF($C30-P$1&lt;År1,0,O29*(1-VLOOKUP($A30,[1]Hugst!$R$5:$W$9,MATCH(ROUNDUP((P$1)/10,0)*10,[1]Hugst!$R$4:$W$4,0))))</f>
        <v>370.67861640333882</v>
      </c>
      <c r="Q30">
        <f ca="1">IF($C30-Q$1&lt;År1,0,P29*(1-VLOOKUP($A30,[1]Hugst!$R$5:$W$9,MATCH(ROUNDUP((Q$1)/10,0)*10,[1]Hugst!$R$4:$W$4,0))))</f>
        <v>371.17802504708953</v>
      </c>
      <c r="R30">
        <f ca="1">IF($C30-R$1&lt;År1,0,Q29*(1-VLOOKUP($A30,[1]Hugst!$R$5:$W$9,MATCH(ROUNDUP((R$1)/10,0)*10,[1]Hugst!$R$4:$W$4,0))))</f>
        <v>371.679943282019</v>
      </c>
      <c r="S30">
        <f ca="1">IF($C30-S$1&lt;År1,0,R29*(1-VLOOKUP($A30,[1]Hugst!$R$5:$W$9,MATCH(ROUNDUP((S$1)/10,0)*10,[1]Hugst!$R$4:$W$4,0))))</f>
        <v>372.18438371913368</v>
      </c>
      <c r="T30">
        <f ca="1">IF($C30-T$1&lt;År1,0,S29*(1-VLOOKUP($A30,[1]Hugst!$R$5:$W$9,MATCH(ROUNDUP((T$1)/10,0)*10,[1]Hugst!$R$4:$W$4,0))))</f>
        <v>372.69135903281409</v>
      </c>
      <c r="U30">
        <f ca="1">IF($C30-U$1&lt;År1,0,T29*(1-VLOOKUP($A30,[1]Hugst!$R$5:$W$9,MATCH(ROUNDUP((U$1)/10,0)*10,[1]Hugst!$R$4:$W$4,0))))</f>
        <v>373.2008819611379</v>
      </c>
      <c r="V30">
        <f ca="1">IF($C30-V$1&lt;År1,0,U29*(1-VLOOKUP($A30,[1]Hugst!$R$5:$W$9,MATCH(ROUNDUP((V$1)/10,0)*10,[1]Hugst!$R$4:$W$4,0))))</f>
        <v>373.71296530619003</v>
      </c>
      <c r="W30">
        <f ca="1">IF($C30-W$1&lt;År1,0,V29*(1-VLOOKUP($A30,[1]Hugst!$R$5:$W$9,MATCH(ROUNDUP((W$1)/10,0)*10,[1]Hugst!$R$4:$W$4,0))))</f>
        <v>374.22762193437535</v>
      </c>
      <c r="X30">
        <f ca="1">IF($C30-X$1&lt;År1,0,W29*(1-VLOOKUP($A30,[1]Hugst!$R$5:$W$9,MATCH(ROUNDUP((X$1)/10,0)*10,[1]Hugst!$R$4:$W$4,0))))</f>
        <v>596.71456174648119</v>
      </c>
      <c r="Y30">
        <f ca="1">IF($C30-Y$1&lt;År1,0,X29*(1-VLOOKUP($A30,[1]Hugst!$R$5:$W$9,MATCH(ROUNDUP((Y$1)/10,0)*10,[1]Hugst!$R$4:$W$4,0))))</f>
        <v>597.23440379914155</v>
      </c>
      <c r="Z30">
        <f ca="1">IF($C30-Z$1&lt;År1,0,Y29*(1-VLOOKUP($A30,[1]Hugst!$R$5:$W$9,MATCH(ROUNDUP((Z$1)/10,0)*10,[1]Hugst!$R$4:$W$4,0))))</f>
        <v>597.75685812343352</v>
      </c>
      <c r="AA30">
        <f ca="1">IF($C30-AA$1&lt;År1,0,Z29*(1-VLOOKUP($A30,[1]Hugst!$R$5:$W$9,MATCH(ROUNDUP((AA$1)/10,0)*10,[1]Hugst!$R$4:$W$4,0))))</f>
        <v>598.28193784633402</v>
      </c>
      <c r="AB30">
        <f ca="1">IF($C30-AB$1&lt;År1,0,AA29*(1-VLOOKUP($A30,[1]Hugst!$R$5:$W$9,MATCH(ROUNDUP((AB$1)/10,0)*10,[1]Hugst!$R$4:$W$4,0))))</f>
        <v>598.80965616080709</v>
      </c>
      <c r="AC30">
        <f ca="1">IF($C30-AC$1&lt;År1,0,AB29*(1-VLOOKUP($A30,[1]Hugst!$R$5:$W$9,MATCH(ROUNDUP((AC$1)/10,0)*10,[1]Hugst!$R$4:$W$4,0))))</f>
        <v>599.34002632610714</v>
      </c>
      <c r="AD30">
        <f ca="1">IF($C30-AD$1&lt;År1,0,AC29*(1-VLOOKUP($A30,[1]Hugst!$R$5:$W$9,MATCH(ROUNDUP((AD$1)/10,0)*10,[1]Hugst!$R$4:$W$4,0))))</f>
        <v>599.87306166811823</v>
      </c>
      <c r="AE30">
        <f ca="1">IF($C30-AE$1&lt;År1,0,AD29*(1-VLOOKUP($A30,[1]Hugst!$R$5:$W$9,MATCH(ROUNDUP((AE$1)/10,0)*10,[1]Hugst!$R$4:$W$4,0))))</f>
        <v>600.40877557968702</v>
      </c>
      <c r="AF30">
        <f ca="1">IF($C30-AF$1&lt;År1,0,AE29*(1-VLOOKUP($A30,[1]Hugst!$R$5:$W$9,MATCH(ROUNDUP((AF$1)/10,0)*10,[1]Hugst!$R$4:$W$4,0))))</f>
        <v>600.94718152096243</v>
      </c>
      <c r="AG30">
        <f ca="1">IF($C30-AG$1&lt;År1,0,AF29*(1-VLOOKUP($A30,[1]Hugst!$R$5:$W$9,MATCH(ROUNDUP((AG$1)/10,0)*10,[1]Hugst!$R$4:$W$4,0))))</f>
        <v>601.48829301972796</v>
      </c>
      <c r="AH30">
        <f ca="1">IF($C30-AH$1&lt;År1,0,AG29*(1-VLOOKUP($A30,[1]Hugst!$R$5:$W$9,MATCH(ROUNDUP((AH$1)/10,0)*10,[1]Hugst!$R$4:$W$4,0))))</f>
        <v>602.03212367175934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25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94.050913785782086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365.34721008207845</v>
      </c>
      <c r="G31">
        <f ca="1">IF($C31-G$1&lt;År1,0,F30*(1-VLOOKUP($A31,[1]Hugst!$R$5:$W$9,MATCH(ROUNDUP((G$1)/10,0)*10,[1]Hugst!$R$4:$W$4,0))))</f>
        <v>365.81982773929332</v>
      </c>
      <c r="H31">
        <f ca="1">IF($C31-H$1&lt;År1,0,G30*(1-VLOOKUP($A31,[1]Hugst!$R$5:$W$9,MATCH(ROUNDUP((H$1)/10,0)*10,[1]Hugst!$R$4:$W$4,0))))</f>
        <v>366.29482035960683</v>
      </c>
      <c r="I31">
        <f ca="1">IF($C31-I$1&lt;År1,0,H30*(1-VLOOKUP($A31,[1]Hugst!$R$5:$W$9,MATCH(ROUNDUP((I$1)/10,0)*10,[1]Hugst!$R$4:$W$4,0))))</f>
        <v>366.77219987751897</v>
      </c>
      <c r="J31">
        <f ca="1">IF($C31-J$1&lt;År1,0,I30*(1-VLOOKUP($A31,[1]Hugst!$R$5:$W$9,MATCH(ROUNDUP((J$1)/10,0)*10,[1]Hugst!$R$4:$W$4,0))))</f>
        <v>367.25197828747179</v>
      </c>
      <c r="K31">
        <f ca="1">IF($C31-K$1&lt;År1,0,J30*(1-VLOOKUP($A31,[1]Hugst!$R$5:$W$9,MATCH(ROUNDUP((K$1)/10,0)*10,[1]Hugst!$R$4:$W$4,0))))</f>
        <v>367.73416764421137</v>
      </c>
      <c r="L31">
        <f ca="1">IF($C31-L$1&lt;År1,0,K30*(1-VLOOKUP($A31,[1]Hugst!$R$5:$W$9,MATCH(ROUNDUP((L$1)/10,0)*10,[1]Hugst!$R$4:$W$4,0))))</f>
        <v>368.21878006304479</v>
      </c>
      <c r="M31">
        <f ca="1">IF($C31-M$1&lt;År1,0,L30*(1-VLOOKUP($A31,[1]Hugst!$R$5:$W$9,MATCH(ROUNDUP((M$1)/10,0)*10,[1]Hugst!$R$4:$W$4,0))))</f>
        <v>368.70582772016525</v>
      </c>
      <c r="N31">
        <f ca="1">IF($C31-N$1&lt;År1,0,M30*(1-VLOOKUP($A31,[1]Hugst!$R$5:$W$9,MATCH(ROUNDUP((N$1)/10,0)*10,[1]Hugst!$R$4:$W$4,0))))</f>
        <v>369.19532285294991</v>
      </c>
      <c r="O31">
        <f ca="1">IF($C31-O$1&lt;År1,0,N30*(1-VLOOKUP($A31,[1]Hugst!$R$5:$W$9,MATCH(ROUNDUP((O$1)/10,0)*10,[1]Hugst!$R$4:$W$4,0))))</f>
        <v>369.68727776026782</v>
      </c>
      <c r="P31">
        <f ca="1">IF($C31-P$1&lt;År1,0,O30*(1-VLOOKUP($A31,[1]Hugst!$R$5:$W$9,MATCH(ROUNDUP((P$1)/10,0)*10,[1]Hugst!$R$4:$W$4,0))))</f>
        <v>370.18170480279792</v>
      </c>
      <c r="Q31">
        <f ca="1">IF($C31-Q$1&lt;År1,0,P30*(1-VLOOKUP($A31,[1]Hugst!$R$5:$W$9,MATCH(ROUNDUP((Q$1)/10,0)*10,[1]Hugst!$R$4:$W$4,0))))</f>
        <v>370.67861640333882</v>
      </c>
      <c r="R31">
        <f ca="1">IF($C31-R$1&lt;År1,0,Q30*(1-VLOOKUP($A31,[1]Hugst!$R$5:$W$9,MATCH(ROUNDUP((R$1)/10,0)*10,[1]Hugst!$R$4:$W$4,0))))</f>
        <v>371.17802504708953</v>
      </c>
      <c r="S31">
        <f ca="1">IF($C31-S$1&lt;År1,0,R30*(1-VLOOKUP($A31,[1]Hugst!$R$5:$W$9,MATCH(ROUNDUP((S$1)/10,0)*10,[1]Hugst!$R$4:$W$4,0))))</f>
        <v>371.679943282019</v>
      </c>
      <c r="T31">
        <f ca="1">IF($C31-T$1&lt;År1,0,S30*(1-VLOOKUP($A31,[1]Hugst!$R$5:$W$9,MATCH(ROUNDUP((T$1)/10,0)*10,[1]Hugst!$R$4:$W$4,0))))</f>
        <v>372.18438371913368</v>
      </c>
      <c r="U31">
        <f ca="1">IF($C31-U$1&lt;År1,0,T30*(1-VLOOKUP($A31,[1]Hugst!$R$5:$W$9,MATCH(ROUNDUP((U$1)/10,0)*10,[1]Hugst!$R$4:$W$4,0))))</f>
        <v>372.69135903281409</v>
      </c>
      <c r="V31">
        <f ca="1">IF($C31-V$1&lt;År1,0,U30*(1-VLOOKUP($A31,[1]Hugst!$R$5:$W$9,MATCH(ROUNDUP((V$1)/10,0)*10,[1]Hugst!$R$4:$W$4,0))))</f>
        <v>373.2008819611379</v>
      </c>
      <c r="W31">
        <f ca="1">IF($C31-W$1&lt;År1,0,V30*(1-VLOOKUP($A31,[1]Hugst!$R$5:$W$9,MATCH(ROUNDUP((W$1)/10,0)*10,[1]Hugst!$R$4:$W$4,0))))</f>
        <v>373.71296530619003</v>
      </c>
      <c r="X31">
        <f ca="1">IF($C31-X$1&lt;År1,0,W30*(1-VLOOKUP($A31,[1]Hugst!$R$5:$W$9,MATCH(ROUNDUP((X$1)/10,0)*10,[1]Hugst!$R$4:$W$4,0))))</f>
        <v>374.22762193437535</v>
      </c>
      <c r="Y31">
        <f ca="1">IF($C31-Y$1&lt;År1,0,X30*(1-VLOOKUP($A31,[1]Hugst!$R$5:$W$9,MATCH(ROUNDUP((Y$1)/10,0)*10,[1]Hugst!$R$4:$W$4,0))))</f>
        <v>596.71456174648119</v>
      </c>
      <c r="Z31">
        <f ca="1">IF($C31-Z$1&lt;År1,0,Y30*(1-VLOOKUP($A31,[1]Hugst!$R$5:$W$9,MATCH(ROUNDUP((Z$1)/10,0)*10,[1]Hugst!$R$4:$W$4,0))))</f>
        <v>597.23440379914155</v>
      </c>
      <c r="AA31">
        <f ca="1">IF($C31-AA$1&lt;År1,0,Z30*(1-VLOOKUP($A31,[1]Hugst!$R$5:$W$9,MATCH(ROUNDUP((AA$1)/10,0)*10,[1]Hugst!$R$4:$W$4,0))))</f>
        <v>597.75685812343352</v>
      </c>
      <c r="AB31">
        <f ca="1">IF($C31-AB$1&lt;År1,0,AA30*(1-VLOOKUP($A31,[1]Hugst!$R$5:$W$9,MATCH(ROUNDUP((AB$1)/10,0)*10,[1]Hugst!$R$4:$W$4,0))))</f>
        <v>598.28193784633402</v>
      </c>
      <c r="AC31">
        <f ca="1">IF($C31-AC$1&lt;År1,0,AB30*(1-VLOOKUP($A31,[1]Hugst!$R$5:$W$9,MATCH(ROUNDUP((AC$1)/10,0)*10,[1]Hugst!$R$4:$W$4,0))))</f>
        <v>598.80965616080709</v>
      </c>
      <c r="AD31">
        <f ca="1">IF($C31-AD$1&lt;År1,0,AC30*(1-VLOOKUP($A31,[1]Hugst!$R$5:$W$9,MATCH(ROUNDUP((AD$1)/10,0)*10,[1]Hugst!$R$4:$W$4,0))))</f>
        <v>599.34002632610714</v>
      </c>
      <c r="AE31">
        <f ca="1">IF($C31-AE$1&lt;År1,0,AD30*(1-VLOOKUP($A31,[1]Hugst!$R$5:$W$9,MATCH(ROUNDUP((AE$1)/10,0)*10,[1]Hugst!$R$4:$W$4,0))))</f>
        <v>599.87306166811823</v>
      </c>
      <c r="AF31">
        <f ca="1">IF($C31-AF$1&lt;År1,0,AE30*(1-VLOOKUP($A31,[1]Hugst!$R$5:$W$9,MATCH(ROUNDUP((AF$1)/10,0)*10,[1]Hugst!$R$4:$W$4,0))))</f>
        <v>600.40877557968702</v>
      </c>
      <c r="AG31">
        <f ca="1">IF($C31-AG$1&lt;År1,0,AF30*(1-VLOOKUP($A31,[1]Hugst!$R$5:$W$9,MATCH(ROUNDUP((AG$1)/10,0)*10,[1]Hugst!$R$4:$W$4,0))))</f>
        <v>600.94718152096243</v>
      </c>
      <c r="AH31">
        <f ca="1">IF($C31-AH$1&lt;År1,0,AG30*(1-VLOOKUP($A31,[1]Hugst!$R$5:$W$9,MATCH(ROUNDUP((AH$1)/10,0)*10,[1]Hugst!$R$4:$W$4,0))))</f>
        <v>601.48829301972796</v>
      </c>
      <c r="AI31">
        <f ca="1">IF($C31-AI$1&lt;År1,0,AH30*(1-VLOOKUP($A31,[1]Hugst!$R$5:$W$9,MATCH(ROUNDUP((AI$1)/10,0)*10,[1]Hugst!$R$4:$W$4,0))))</f>
        <v>602.03212367175934</v>
      </c>
      <c r="AJ31">
        <f>IF($C31-AJ$1&lt;År1,0,AI30*(1-VLOOKUP($A31,[1]Hugst!$R$5:$W$9,MATCH(ROUNDUP((AJ$1)/10,0)*10,[1]Hugst!$R$4:$W$4,0))))</f>
        <v>0</v>
      </c>
    </row>
    <row r="32" spans="1:38" x14ac:dyDescent="0.25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93.580659216854656</v>
      </c>
      <c r="E32">
        <f t="shared" ca="1" si="0"/>
        <v>1.9854250887037779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366.8623806018548</v>
      </c>
      <c r="G32">
        <f ca="1">IF($C32-G$1&lt;År1,0,F31*(1-VLOOKUP($A32,[1]Hugst!$R$5:$W$9,MATCH(ROUNDUP((G$1)/10,0)*10,[1]Hugst!$R$4:$W$4,0))))</f>
        <v>365.34721008207845</v>
      </c>
      <c r="H32">
        <f ca="1">IF($C32-H$1&lt;År1,0,G31*(1-VLOOKUP($A32,[1]Hugst!$R$5:$W$9,MATCH(ROUNDUP((H$1)/10,0)*10,[1]Hugst!$R$4:$W$4,0))))</f>
        <v>365.81982773929332</v>
      </c>
      <c r="I32">
        <f ca="1">IF($C32-I$1&lt;År1,0,H31*(1-VLOOKUP($A32,[1]Hugst!$R$5:$W$9,MATCH(ROUNDUP((I$1)/10,0)*10,[1]Hugst!$R$4:$W$4,0))))</f>
        <v>366.29482035960683</v>
      </c>
      <c r="J32">
        <f ca="1">IF($C32-J$1&lt;År1,0,I31*(1-VLOOKUP($A32,[1]Hugst!$R$5:$W$9,MATCH(ROUNDUP((J$1)/10,0)*10,[1]Hugst!$R$4:$W$4,0))))</f>
        <v>366.77219987751897</v>
      </c>
      <c r="K32">
        <f ca="1">IF($C32-K$1&lt;År1,0,J31*(1-VLOOKUP($A32,[1]Hugst!$R$5:$W$9,MATCH(ROUNDUP((K$1)/10,0)*10,[1]Hugst!$R$4:$W$4,0))))</f>
        <v>367.25197828747179</v>
      </c>
      <c r="L32">
        <f ca="1">IF($C32-L$1&lt;År1,0,K31*(1-VLOOKUP($A32,[1]Hugst!$R$5:$W$9,MATCH(ROUNDUP((L$1)/10,0)*10,[1]Hugst!$R$4:$W$4,0))))</f>
        <v>367.73416764421137</v>
      </c>
      <c r="M32">
        <f ca="1">IF($C32-M$1&lt;År1,0,L31*(1-VLOOKUP($A32,[1]Hugst!$R$5:$W$9,MATCH(ROUNDUP((M$1)/10,0)*10,[1]Hugst!$R$4:$W$4,0))))</f>
        <v>368.21878006304479</v>
      </c>
      <c r="N32">
        <f ca="1">IF($C32-N$1&lt;År1,0,M31*(1-VLOOKUP($A32,[1]Hugst!$R$5:$W$9,MATCH(ROUNDUP((N$1)/10,0)*10,[1]Hugst!$R$4:$W$4,0))))</f>
        <v>368.70582772016525</v>
      </c>
      <c r="O32">
        <f ca="1">IF($C32-O$1&lt;År1,0,N31*(1-VLOOKUP($A32,[1]Hugst!$R$5:$W$9,MATCH(ROUNDUP((O$1)/10,0)*10,[1]Hugst!$R$4:$W$4,0))))</f>
        <v>369.19532285294991</v>
      </c>
      <c r="P32">
        <f ca="1">IF($C32-P$1&lt;År1,0,O31*(1-VLOOKUP($A32,[1]Hugst!$R$5:$W$9,MATCH(ROUNDUP((P$1)/10,0)*10,[1]Hugst!$R$4:$W$4,0))))</f>
        <v>369.68727776026782</v>
      </c>
      <c r="Q32">
        <f ca="1">IF($C32-Q$1&lt;År1,0,P31*(1-VLOOKUP($A32,[1]Hugst!$R$5:$W$9,MATCH(ROUNDUP((Q$1)/10,0)*10,[1]Hugst!$R$4:$W$4,0))))</f>
        <v>370.18170480279792</v>
      </c>
      <c r="R32">
        <f ca="1">IF($C32-R$1&lt;År1,0,Q31*(1-VLOOKUP($A32,[1]Hugst!$R$5:$W$9,MATCH(ROUNDUP((R$1)/10,0)*10,[1]Hugst!$R$4:$W$4,0))))</f>
        <v>370.67861640333882</v>
      </c>
      <c r="S32">
        <f ca="1">IF($C32-S$1&lt;År1,0,R31*(1-VLOOKUP($A32,[1]Hugst!$R$5:$W$9,MATCH(ROUNDUP((S$1)/10,0)*10,[1]Hugst!$R$4:$W$4,0))))</f>
        <v>371.17802504708953</v>
      </c>
      <c r="T32">
        <f ca="1">IF($C32-T$1&lt;År1,0,S31*(1-VLOOKUP($A32,[1]Hugst!$R$5:$W$9,MATCH(ROUNDUP((T$1)/10,0)*10,[1]Hugst!$R$4:$W$4,0))))</f>
        <v>371.679943282019</v>
      </c>
      <c r="U32">
        <f ca="1">IF($C32-U$1&lt;År1,0,T31*(1-VLOOKUP($A32,[1]Hugst!$R$5:$W$9,MATCH(ROUNDUP((U$1)/10,0)*10,[1]Hugst!$R$4:$W$4,0))))</f>
        <v>372.18438371913368</v>
      </c>
      <c r="V32">
        <f ca="1">IF($C32-V$1&lt;År1,0,U31*(1-VLOOKUP($A32,[1]Hugst!$R$5:$W$9,MATCH(ROUNDUP((V$1)/10,0)*10,[1]Hugst!$R$4:$W$4,0))))</f>
        <v>372.69135903281409</v>
      </c>
      <c r="W32">
        <f ca="1">IF($C32-W$1&lt;År1,0,V31*(1-VLOOKUP($A32,[1]Hugst!$R$5:$W$9,MATCH(ROUNDUP((W$1)/10,0)*10,[1]Hugst!$R$4:$W$4,0))))</f>
        <v>373.2008819611379</v>
      </c>
      <c r="X32">
        <f ca="1">IF($C32-X$1&lt;År1,0,W31*(1-VLOOKUP($A32,[1]Hugst!$R$5:$W$9,MATCH(ROUNDUP((X$1)/10,0)*10,[1]Hugst!$R$4:$W$4,0))))</f>
        <v>373.71296530619003</v>
      </c>
      <c r="Y32">
        <f ca="1">IF($C32-Y$1&lt;År1,0,X31*(1-VLOOKUP($A32,[1]Hugst!$R$5:$W$9,MATCH(ROUNDUP((Y$1)/10,0)*10,[1]Hugst!$R$4:$W$4,0))))</f>
        <v>374.22762193437535</v>
      </c>
      <c r="Z32">
        <f ca="1">IF($C32-Z$1&lt;År1,0,Y31*(1-VLOOKUP($A32,[1]Hugst!$R$5:$W$9,MATCH(ROUNDUP((Z$1)/10,0)*10,[1]Hugst!$R$4:$W$4,0))))</f>
        <v>596.71456174648119</v>
      </c>
      <c r="AA32">
        <f ca="1">IF($C32-AA$1&lt;År1,0,Z31*(1-VLOOKUP($A32,[1]Hugst!$R$5:$W$9,MATCH(ROUNDUP((AA$1)/10,0)*10,[1]Hugst!$R$4:$W$4,0))))</f>
        <v>597.23440379914155</v>
      </c>
      <c r="AB32">
        <f ca="1">IF($C32-AB$1&lt;År1,0,AA31*(1-VLOOKUP($A32,[1]Hugst!$R$5:$W$9,MATCH(ROUNDUP((AB$1)/10,0)*10,[1]Hugst!$R$4:$W$4,0))))</f>
        <v>597.75685812343352</v>
      </c>
      <c r="AC32">
        <f ca="1">IF($C32-AC$1&lt;År1,0,AB31*(1-VLOOKUP($A32,[1]Hugst!$R$5:$W$9,MATCH(ROUNDUP((AC$1)/10,0)*10,[1]Hugst!$R$4:$W$4,0))))</f>
        <v>598.28193784633402</v>
      </c>
      <c r="AD32">
        <f ca="1">IF($C32-AD$1&lt;År1,0,AC31*(1-VLOOKUP($A32,[1]Hugst!$R$5:$W$9,MATCH(ROUNDUP((AD$1)/10,0)*10,[1]Hugst!$R$4:$W$4,0))))</f>
        <v>598.80965616080709</v>
      </c>
      <c r="AE32">
        <f ca="1">IF($C32-AE$1&lt;År1,0,AD31*(1-VLOOKUP($A32,[1]Hugst!$R$5:$W$9,MATCH(ROUNDUP((AE$1)/10,0)*10,[1]Hugst!$R$4:$W$4,0))))</f>
        <v>599.34002632610714</v>
      </c>
      <c r="AF32">
        <f ca="1">IF($C32-AF$1&lt;År1,0,AE31*(1-VLOOKUP($A32,[1]Hugst!$R$5:$W$9,MATCH(ROUNDUP((AF$1)/10,0)*10,[1]Hugst!$R$4:$W$4,0))))</f>
        <v>599.87306166811823</v>
      </c>
      <c r="AG32">
        <f ca="1">IF($C32-AG$1&lt;År1,0,AF31*(1-VLOOKUP($A32,[1]Hugst!$R$5:$W$9,MATCH(ROUNDUP((AG$1)/10,0)*10,[1]Hugst!$R$4:$W$4,0))))</f>
        <v>600.40877557968702</v>
      </c>
      <c r="AH32">
        <f ca="1">IF($C32-AH$1&lt;År1,0,AG31*(1-VLOOKUP($A32,[1]Hugst!$R$5:$W$9,MATCH(ROUNDUP((AH$1)/10,0)*10,[1]Hugst!$R$4:$W$4,0))))</f>
        <v>600.94718152096243</v>
      </c>
      <c r="AI32">
        <f ca="1">IF($C32-AI$1&lt;År1,0,AH31*(1-VLOOKUP($A32,[1]Hugst!$R$5:$W$9,MATCH(ROUNDUP((AI$1)/10,0)*10,[1]Hugst!$R$4:$W$4,0))))</f>
        <v>601.48829301972796</v>
      </c>
      <c r="AJ32">
        <f ca="1">IF($C32-AJ$1&lt;År1,0,AI31*(1-VLOOKUP($A32,[1]Hugst!$R$5:$W$9,MATCH(ROUNDUP((AJ$1)/10,0)*10,[1]Hugst!$R$4:$W$4,0))))</f>
        <v>600.04669858305454</v>
      </c>
      <c r="AL32">
        <f ca="1">SUM(F32:AJ32)</f>
        <v>13982.526748851215</v>
      </c>
    </row>
    <row r="33" spans="1:36" x14ac:dyDescent="0.25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31.83636959423384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106.75219451005873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25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31.677187746262643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106.59301266208753</v>
      </c>
      <c r="G34">
        <f ca="1">IF($C34-G$1&lt;År1,0,F33*(1-VLOOKUP($A34,[1]Hugst!$R$5:$W$9,MATCH(ROUNDUP((G$1)/10,0)*10,[1]Hugst!$R$4:$W$4,0))))</f>
        <v>106.75219451005873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25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31.518801807531425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106.4346267233563</v>
      </c>
      <c r="G35">
        <f ca="1">IF($C35-G$1&lt;År1,0,F34*(1-VLOOKUP($A35,[1]Hugst!$R$5:$W$9,MATCH(ROUNDUP((G$1)/10,0)*10,[1]Hugst!$R$4:$W$4,0))))</f>
        <v>106.59301266208753</v>
      </c>
      <c r="H35">
        <f ca="1">IF($C35-H$1&lt;År1,0,G34*(1-VLOOKUP($A35,[1]Hugst!$R$5:$W$9,MATCH(ROUNDUP((H$1)/10,0)*10,[1]Hugst!$R$4:$W$4,0))))</f>
        <v>106.75219451005873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25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31.36120779849297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106.27703271431785</v>
      </c>
      <c r="G36">
        <f ca="1">IF($C36-G$1&lt;År1,0,F35*(1-VLOOKUP($A36,[1]Hugst!$R$5:$W$9,MATCH(ROUNDUP((G$1)/10,0)*10,[1]Hugst!$R$4:$W$4,0))))</f>
        <v>106.4346267233563</v>
      </c>
      <c r="H36">
        <f ca="1">IF($C36-H$1&lt;År1,0,G35*(1-VLOOKUP($A36,[1]Hugst!$R$5:$W$9,MATCH(ROUNDUP((H$1)/10,0)*10,[1]Hugst!$R$4:$W$4,0))))</f>
        <v>106.59301266208753</v>
      </c>
      <c r="I36">
        <f ca="1">IF($C36-I$1&lt;År1,0,H35*(1-VLOOKUP($A36,[1]Hugst!$R$5:$W$9,MATCH(ROUNDUP((I$1)/10,0)*10,[1]Hugst!$R$4:$W$4,0))))</f>
        <v>106.75219451005873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25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31.204401759501366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106.12022667532625</v>
      </c>
      <c r="G37">
        <f ca="1">IF($C37-G$1&lt;År1,0,F36*(1-VLOOKUP($A37,[1]Hugst!$R$5:$W$9,MATCH(ROUNDUP((G$1)/10,0)*10,[1]Hugst!$R$4:$W$4,0))))</f>
        <v>106.27703271431785</v>
      </c>
      <c r="H37">
        <f ca="1">IF($C37-H$1&lt;År1,0,G36*(1-VLOOKUP($A37,[1]Hugst!$R$5:$W$9,MATCH(ROUNDUP((H$1)/10,0)*10,[1]Hugst!$R$4:$W$4,0))))</f>
        <v>106.4346267233563</v>
      </c>
      <c r="I37">
        <f ca="1">IF($C37-I$1&lt;År1,0,H36*(1-VLOOKUP($A37,[1]Hugst!$R$5:$W$9,MATCH(ROUNDUP((I$1)/10,0)*10,[1]Hugst!$R$4:$W$4,0))))</f>
        <v>106.59301266208753</v>
      </c>
      <c r="J37">
        <f ca="1">IF($C37-J$1&lt;År1,0,I36*(1-VLOOKUP($A37,[1]Hugst!$R$5:$W$9,MATCH(ROUNDUP((J$1)/10,0)*10,[1]Hugst!$R$4:$W$4,0))))</f>
        <v>106.75219451005873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25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31.048379750703305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105.96420466652819</v>
      </c>
      <c r="G38">
        <f ca="1">IF($C38-G$1&lt;År1,0,F37*(1-VLOOKUP($A38,[1]Hugst!$R$5:$W$9,MATCH(ROUNDUP((G$1)/10,0)*10,[1]Hugst!$R$4:$W$4,0))))</f>
        <v>106.12022667532625</v>
      </c>
      <c r="H38">
        <f ca="1">IF($C38-H$1&lt;År1,0,G37*(1-VLOOKUP($A38,[1]Hugst!$R$5:$W$9,MATCH(ROUNDUP((H$1)/10,0)*10,[1]Hugst!$R$4:$W$4,0))))</f>
        <v>106.27703271431785</v>
      </c>
      <c r="I38">
        <f ca="1">IF($C38-I$1&lt;År1,0,H37*(1-VLOOKUP($A38,[1]Hugst!$R$5:$W$9,MATCH(ROUNDUP((I$1)/10,0)*10,[1]Hugst!$R$4:$W$4,0))))</f>
        <v>106.4346267233563</v>
      </c>
      <c r="J38">
        <f ca="1">IF($C38-J$1&lt;År1,0,I37*(1-VLOOKUP($A38,[1]Hugst!$R$5:$W$9,MATCH(ROUNDUP((J$1)/10,0)*10,[1]Hugst!$R$4:$W$4,0))))</f>
        <v>106.59301266208753</v>
      </c>
      <c r="K38">
        <f ca="1">IF($C38-K$1&lt;År1,0,J37*(1-VLOOKUP($A38,[1]Hugst!$R$5:$W$9,MATCH(ROUNDUP((K$1)/10,0)*10,[1]Hugst!$R$4:$W$4,0))))</f>
        <v>106.75219451005873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25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30.893137851951167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105.80896276777605</v>
      </c>
      <c r="G39">
        <f ca="1">IF($C39-G$1&lt;År1,0,F38*(1-VLOOKUP($A39,[1]Hugst!$R$5:$W$9,MATCH(ROUNDUP((G$1)/10,0)*10,[1]Hugst!$R$4:$W$4,0))))</f>
        <v>105.96420466652819</v>
      </c>
      <c r="H39">
        <f ca="1">IF($C39-H$1&lt;År1,0,G38*(1-VLOOKUP($A39,[1]Hugst!$R$5:$W$9,MATCH(ROUNDUP((H$1)/10,0)*10,[1]Hugst!$R$4:$W$4,0))))</f>
        <v>106.12022667532625</v>
      </c>
      <c r="I39">
        <f ca="1">IF($C39-I$1&lt;År1,0,H38*(1-VLOOKUP($A39,[1]Hugst!$R$5:$W$9,MATCH(ROUNDUP((I$1)/10,0)*10,[1]Hugst!$R$4:$W$4,0))))</f>
        <v>106.27703271431785</v>
      </c>
      <c r="J39">
        <f ca="1">IF($C39-J$1&lt;År1,0,I38*(1-VLOOKUP($A39,[1]Hugst!$R$5:$W$9,MATCH(ROUNDUP((J$1)/10,0)*10,[1]Hugst!$R$4:$W$4,0))))</f>
        <v>106.4346267233563</v>
      </c>
      <c r="K39">
        <f ca="1">IF($C39-K$1&lt;År1,0,J38*(1-VLOOKUP($A39,[1]Hugst!$R$5:$W$9,MATCH(ROUNDUP((K$1)/10,0)*10,[1]Hugst!$R$4:$W$4,0))))</f>
        <v>106.59301266208753</v>
      </c>
      <c r="L39">
        <f ca="1">IF($C39-L$1&lt;År1,0,K38*(1-VLOOKUP($A39,[1]Hugst!$R$5:$W$9,MATCH(ROUNDUP((L$1)/10,0)*10,[1]Hugst!$R$4:$W$4,0))))</f>
        <v>106.75219451005873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25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30.738672162689909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105.65449707851479</v>
      </c>
      <c r="G40">
        <f ca="1">IF($C40-G$1&lt;År1,0,F39*(1-VLOOKUP($A40,[1]Hugst!$R$5:$W$9,MATCH(ROUNDUP((G$1)/10,0)*10,[1]Hugst!$R$4:$W$4,0))))</f>
        <v>105.80896276777605</v>
      </c>
      <c r="H40">
        <f ca="1">IF($C40-H$1&lt;År1,0,G39*(1-VLOOKUP($A40,[1]Hugst!$R$5:$W$9,MATCH(ROUNDUP((H$1)/10,0)*10,[1]Hugst!$R$4:$W$4,0))))</f>
        <v>105.96420466652819</v>
      </c>
      <c r="I40">
        <f ca="1">IF($C40-I$1&lt;År1,0,H39*(1-VLOOKUP($A40,[1]Hugst!$R$5:$W$9,MATCH(ROUNDUP((I$1)/10,0)*10,[1]Hugst!$R$4:$W$4,0))))</f>
        <v>106.12022667532625</v>
      </c>
      <c r="J40">
        <f ca="1">IF($C40-J$1&lt;År1,0,I39*(1-VLOOKUP($A40,[1]Hugst!$R$5:$W$9,MATCH(ROUNDUP((J$1)/10,0)*10,[1]Hugst!$R$4:$W$4,0))))</f>
        <v>106.27703271431785</v>
      </c>
      <c r="K40">
        <f ca="1">IF($C40-K$1&lt;År1,0,J39*(1-VLOOKUP($A40,[1]Hugst!$R$5:$W$9,MATCH(ROUNDUP((K$1)/10,0)*10,[1]Hugst!$R$4:$W$4,0))))</f>
        <v>106.4346267233563</v>
      </c>
      <c r="L40">
        <f ca="1">IF($C40-L$1&lt;År1,0,K39*(1-VLOOKUP($A40,[1]Hugst!$R$5:$W$9,MATCH(ROUNDUP((L$1)/10,0)*10,[1]Hugst!$R$4:$W$4,0))))</f>
        <v>106.59301266208753</v>
      </c>
      <c r="M40">
        <f ca="1">IF($C40-M$1&lt;År1,0,L39*(1-VLOOKUP($A40,[1]Hugst!$R$5:$W$9,MATCH(ROUNDUP((M$1)/10,0)*10,[1]Hugst!$R$4:$W$4,0))))</f>
        <v>106.75219451005873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25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30.584978801877185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105.50080371770207</v>
      </c>
      <c r="G41">
        <f ca="1">IF($C41-G$1&lt;År1,0,F40*(1-VLOOKUP($A41,[1]Hugst!$R$5:$W$9,MATCH(ROUNDUP((G$1)/10,0)*10,[1]Hugst!$R$4:$W$4,0))))</f>
        <v>105.65449707851479</v>
      </c>
      <c r="H41">
        <f ca="1">IF($C41-H$1&lt;År1,0,G40*(1-VLOOKUP($A41,[1]Hugst!$R$5:$W$9,MATCH(ROUNDUP((H$1)/10,0)*10,[1]Hugst!$R$4:$W$4,0))))</f>
        <v>105.80896276777605</v>
      </c>
      <c r="I41">
        <f ca="1">IF($C41-I$1&lt;År1,0,H40*(1-VLOOKUP($A41,[1]Hugst!$R$5:$W$9,MATCH(ROUNDUP((I$1)/10,0)*10,[1]Hugst!$R$4:$W$4,0))))</f>
        <v>105.96420466652819</v>
      </c>
      <c r="J41">
        <f ca="1">IF($C41-J$1&lt;År1,0,I40*(1-VLOOKUP($A41,[1]Hugst!$R$5:$W$9,MATCH(ROUNDUP((J$1)/10,0)*10,[1]Hugst!$R$4:$W$4,0))))</f>
        <v>106.12022667532625</v>
      </c>
      <c r="K41">
        <f ca="1">IF($C41-K$1&lt;År1,0,J40*(1-VLOOKUP($A41,[1]Hugst!$R$5:$W$9,MATCH(ROUNDUP((K$1)/10,0)*10,[1]Hugst!$R$4:$W$4,0))))</f>
        <v>106.27703271431785</v>
      </c>
      <c r="L41">
        <f ca="1">IF($C41-L$1&lt;År1,0,K40*(1-VLOOKUP($A41,[1]Hugst!$R$5:$W$9,MATCH(ROUNDUP((L$1)/10,0)*10,[1]Hugst!$R$4:$W$4,0))))</f>
        <v>106.4346267233563</v>
      </c>
      <c r="M41">
        <f ca="1">IF($C41-M$1&lt;År1,0,L40*(1-VLOOKUP($A41,[1]Hugst!$R$5:$W$9,MATCH(ROUNDUP((M$1)/10,0)*10,[1]Hugst!$R$4:$W$4,0))))</f>
        <v>106.59301266208753</v>
      </c>
      <c r="N41">
        <f ca="1">IF($C41-N$1&lt;År1,0,M40*(1-VLOOKUP($A41,[1]Hugst!$R$5:$W$9,MATCH(ROUNDUP((N$1)/10,0)*10,[1]Hugst!$R$4:$W$4,0))))</f>
        <v>106.75219451005873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25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30.432053907867498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105.34787882369238</v>
      </c>
      <c r="G42">
        <f ca="1">IF($C42-G$1&lt;År1,0,F41*(1-VLOOKUP($A42,[1]Hugst!$R$5:$W$9,MATCH(ROUNDUP((G$1)/10,0)*10,[1]Hugst!$R$4:$W$4,0))))</f>
        <v>105.50080371770207</v>
      </c>
      <c r="H42">
        <f ca="1">IF($C42-H$1&lt;År1,0,G41*(1-VLOOKUP($A42,[1]Hugst!$R$5:$W$9,MATCH(ROUNDUP((H$1)/10,0)*10,[1]Hugst!$R$4:$W$4,0))))</f>
        <v>105.65449707851479</v>
      </c>
      <c r="I42">
        <f ca="1">IF($C42-I$1&lt;År1,0,H41*(1-VLOOKUP($A42,[1]Hugst!$R$5:$W$9,MATCH(ROUNDUP((I$1)/10,0)*10,[1]Hugst!$R$4:$W$4,0))))</f>
        <v>105.80896276777605</v>
      </c>
      <c r="J42">
        <f ca="1">IF($C42-J$1&lt;År1,0,I41*(1-VLOOKUP($A42,[1]Hugst!$R$5:$W$9,MATCH(ROUNDUP((J$1)/10,0)*10,[1]Hugst!$R$4:$W$4,0))))</f>
        <v>105.96420466652819</v>
      </c>
      <c r="K42">
        <f ca="1">IF($C42-K$1&lt;År1,0,J41*(1-VLOOKUP($A42,[1]Hugst!$R$5:$W$9,MATCH(ROUNDUP((K$1)/10,0)*10,[1]Hugst!$R$4:$W$4,0))))</f>
        <v>106.12022667532625</v>
      </c>
      <c r="L42">
        <f ca="1">IF($C42-L$1&lt;År1,0,K41*(1-VLOOKUP($A42,[1]Hugst!$R$5:$W$9,MATCH(ROUNDUP((L$1)/10,0)*10,[1]Hugst!$R$4:$W$4,0))))</f>
        <v>106.27703271431785</v>
      </c>
      <c r="M42">
        <f ca="1">IF($C42-M$1&lt;År1,0,L41*(1-VLOOKUP($A42,[1]Hugst!$R$5:$W$9,MATCH(ROUNDUP((M$1)/10,0)*10,[1]Hugst!$R$4:$W$4,0))))</f>
        <v>106.4346267233563</v>
      </c>
      <c r="N42">
        <f ca="1">IF($C42-N$1&lt;År1,0,M41*(1-VLOOKUP($A42,[1]Hugst!$R$5:$W$9,MATCH(ROUNDUP((N$1)/10,0)*10,[1]Hugst!$R$4:$W$4,0))))</f>
        <v>106.59301266208753</v>
      </c>
      <c r="O42">
        <f ca="1">IF($C42-O$1&lt;År1,0,N41*(1-VLOOKUP($A42,[1]Hugst!$R$5:$W$9,MATCH(ROUNDUP((O$1)/10,0)*10,[1]Hugst!$R$4:$W$4,0))))</f>
        <v>106.75219451005873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25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30.279893638328929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105.19571855415381</v>
      </c>
      <c r="G43">
        <f ca="1">IF($C43-G$1&lt;År1,0,F42*(1-VLOOKUP($A43,[1]Hugst!$R$5:$W$9,MATCH(ROUNDUP((G$1)/10,0)*10,[1]Hugst!$R$4:$W$4,0))))</f>
        <v>105.34787882369238</v>
      </c>
      <c r="H43">
        <f ca="1">IF($C43-H$1&lt;År1,0,G42*(1-VLOOKUP($A43,[1]Hugst!$R$5:$W$9,MATCH(ROUNDUP((H$1)/10,0)*10,[1]Hugst!$R$4:$W$4,0))))</f>
        <v>105.50080371770207</v>
      </c>
      <c r="I43">
        <f ca="1">IF($C43-I$1&lt;År1,0,H42*(1-VLOOKUP($A43,[1]Hugst!$R$5:$W$9,MATCH(ROUNDUP((I$1)/10,0)*10,[1]Hugst!$R$4:$W$4,0))))</f>
        <v>105.65449707851479</v>
      </c>
      <c r="J43">
        <f ca="1">IF($C43-J$1&lt;År1,0,I42*(1-VLOOKUP($A43,[1]Hugst!$R$5:$W$9,MATCH(ROUNDUP((J$1)/10,0)*10,[1]Hugst!$R$4:$W$4,0))))</f>
        <v>105.80896276777605</v>
      </c>
      <c r="K43">
        <f ca="1">IF($C43-K$1&lt;År1,0,J42*(1-VLOOKUP($A43,[1]Hugst!$R$5:$W$9,MATCH(ROUNDUP((K$1)/10,0)*10,[1]Hugst!$R$4:$W$4,0))))</f>
        <v>105.96420466652819</v>
      </c>
      <c r="L43">
        <f ca="1">IF($C43-L$1&lt;År1,0,K42*(1-VLOOKUP($A43,[1]Hugst!$R$5:$W$9,MATCH(ROUNDUP((L$1)/10,0)*10,[1]Hugst!$R$4:$W$4,0))))</f>
        <v>106.12022667532625</v>
      </c>
      <c r="M43">
        <f ca="1">IF($C43-M$1&lt;År1,0,L42*(1-VLOOKUP($A43,[1]Hugst!$R$5:$W$9,MATCH(ROUNDUP((M$1)/10,0)*10,[1]Hugst!$R$4:$W$4,0))))</f>
        <v>106.27703271431785</v>
      </c>
      <c r="N43">
        <f ca="1">IF($C43-N$1&lt;År1,0,M42*(1-VLOOKUP($A43,[1]Hugst!$R$5:$W$9,MATCH(ROUNDUP((N$1)/10,0)*10,[1]Hugst!$R$4:$W$4,0))))</f>
        <v>106.4346267233563</v>
      </c>
      <c r="O43">
        <f ca="1">IF($C43-O$1&lt;År1,0,N42*(1-VLOOKUP($A43,[1]Hugst!$R$5:$W$9,MATCH(ROUNDUP((O$1)/10,0)*10,[1]Hugst!$R$4:$W$4,0))))</f>
        <v>106.59301266208753</v>
      </c>
      <c r="P43">
        <f ca="1">IF($C43-P$1&lt;År1,0,O42*(1-VLOOKUP($A43,[1]Hugst!$R$5:$W$9,MATCH(ROUNDUP((P$1)/10,0)*10,[1]Hugst!$R$4:$W$4,0))))</f>
        <v>106.75219451005873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25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30.128494170135696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71.332197873839419</v>
      </c>
      <c r="G44">
        <f ca="1">IF($C44-G$1&lt;År1,0,F43*(1-VLOOKUP($A44,[1]Hugst!$R$5:$W$9,MATCH(ROUNDUP((G$1)/10,0)*10,[1]Hugst!$R$4:$W$4,0))))</f>
        <v>105.19571855415381</v>
      </c>
      <c r="H44">
        <f ca="1">IF($C44-H$1&lt;År1,0,G43*(1-VLOOKUP($A44,[1]Hugst!$R$5:$W$9,MATCH(ROUNDUP((H$1)/10,0)*10,[1]Hugst!$R$4:$W$4,0))))</f>
        <v>105.34787882369238</v>
      </c>
      <c r="I44">
        <f ca="1">IF($C44-I$1&lt;År1,0,H43*(1-VLOOKUP($A44,[1]Hugst!$R$5:$W$9,MATCH(ROUNDUP((I$1)/10,0)*10,[1]Hugst!$R$4:$W$4,0))))</f>
        <v>105.50080371770207</v>
      </c>
      <c r="J44">
        <f ca="1">IF($C44-J$1&lt;År1,0,I43*(1-VLOOKUP($A44,[1]Hugst!$R$5:$W$9,MATCH(ROUNDUP((J$1)/10,0)*10,[1]Hugst!$R$4:$W$4,0))))</f>
        <v>105.65449707851479</v>
      </c>
      <c r="K44">
        <f ca="1">IF($C44-K$1&lt;År1,0,J43*(1-VLOOKUP($A44,[1]Hugst!$R$5:$W$9,MATCH(ROUNDUP((K$1)/10,0)*10,[1]Hugst!$R$4:$W$4,0))))</f>
        <v>105.80896276777605</v>
      </c>
      <c r="L44">
        <f ca="1">IF($C44-L$1&lt;År1,0,K43*(1-VLOOKUP($A44,[1]Hugst!$R$5:$W$9,MATCH(ROUNDUP((L$1)/10,0)*10,[1]Hugst!$R$4:$W$4,0))))</f>
        <v>105.96420466652819</v>
      </c>
      <c r="M44">
        <f ca="1">IF($C44-M$1&lt;År1,0,L43*(1-VLOOKUP($A44,[1]Hugst!$R$5:$W$9,MATCH(ROUNDUP((M$1)/10,0)*10,[1]Hugst!$R$4:$W$4,0))))</f>
        <v>106.12022667532625</v>
      </c>
      <c r="N44">
        <f ca="1">IF($C44-N$1&lt;År1,0,M43*(1-VLOOKUP($A44,[1]Hugst!$R$5:$W$9,MATCH(ROUNDUP((N$1)/10,0)*10,[1]Hugst!$R$4:$W$4,0))))</f>
        <v>106.27703271431785</v>
      </c>
      <c r="O44">
        <f ca="1">IF($C44-O$1&lt;År1,0,N43*(1-VLOOKUP($A44,[1]Hugst!$R$5:$W$9,MATCH(ROUNDUP((O$1)/10,0)*10,[1]Hugst!$R$4:$W$4,0))))</f>
        <v>106.4346267233563</v>
      </c>
      <c r="P44">
        <f ca="1">IF($C44-P$1&lt;År1,0,O43*(1-VLOOKUP($A44,[1]Hugst!$R$5:$W$9,MATCH(ROUNDUP((P$1)/10,0)*10,[1]Hugst!$R$4:$W$4,0))))</f>
        <v>106.59301266208753</v>
      </c>
      <c r="Q44">
        <f ca="1">IF($C44-Q$1&lt;År1,0,P43*(1-VLOOKUP($A44,[1]Hugst!$R$5:$W$9,MATCH(ROUNDUP((Q$1)/10,0)*10,[1]Hugst!$R$4:$W$4,0))))</f>
        <v>106.75219451005873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25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29.977851699286134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71.181555402989858</v>
      </c>
      <c r="G45">
        <f ca="1">IF($C45-G$1&lt;År1,0,F44*(1-VLOOKUP($A45,[1]Hugst!$R$5:$W$9,MATCH(ROUNDUP((G$1)/10,0)*10,[1]Hugst!$R$4:$W$4,0))))</f>
        <v>71.332197873839419</v>
      </c>
      <c r="H45">
        <f ca="1">IF($C45-H$1&lt;År1,0,G44*(1-VLOOKUP($A45,[1]Hugst!$R$5:$W$9,MATCH(ROUNDUP((H$1)/10,0)*10,[1]Hugst!$R$4:$W$4,0))))</f>
        <v>105.19571855415381</v>
      </c>
      <c r="I45">
        <f ca="1">IF($C45-I$1&lt;År1,0,H44*(1-VLOOKUP($A45,[1]Hugst!$R$5:$W$9,MATCH(ROUNDUP((I$1)/10,0)*10,[1]Hugst!$R$4:$W$4,0))))</f>
        <v>105.34787882369238</v>
      </c>
      <c r="J45">
        <f ca="1">IF($C45-J$1&lt;År1,0,I44*(1-VLOOKUP($A45,[1]Hugst!$R$5:$W$9,MATCH(ROUNDUP((J$1)/10,0)*10,[1]Hugst!$R$4:$W$4,0))))</f>
        <v>105.50080371770207</v>
      </c>
      <c r="K45">
        <f ca="1">IF($C45-K$1&lt;År1,0,J44*(1-VLOOKUP($A45,[1]Hugst!$R$5:$W$9,MATCH(ROUNDUP((K$1)/10,0)*10,[1]Hugst!$R$4:$W$4,0))))</f>
        <v>105.65449707851479</v>
      </c>
      <c r="L45">
        <f ca="1">IF($C45-L$1&lt;År1,0,K44*(1-VLOOKUP($A45,[1]Hugst!$R$5:$W$9,MATCH(ROUNDUP((L$1)/10,0)*10,[1]Hugst!$R$4:$W$4,0))))</f>
        <v>105.80896276777605</v>
      </c>
      <c r="M45">
        <f ca="1">IF($C45-M$1&lt;År1,0,L44*(1-VLOOKUP($A45,[1]Hugst!$R$5:$W$9,MATCH(ROUNDUP((M$1)/10,0)*10,[1]Hugst!$R$4:$W$4,0))))</f>
        <v>105.96420466652819</v>
      </c>
      <c r="N45">
        <f ca="1">IF($C45-N$1&lt;År1,0,M44*(1-VLOOKUP($A45,[1]Hugst!$R$5:$W$9,MATCH(ROUNDUP((N$1)/10,0)*10,[1]Hugst!$R$4:$W$4,0))))</f>
        <v>106.12022667532625</v>
      </c>
      <c r="O45">
        <f ca="1">IF($C45-O$1&lt;År1,0,N44*(1-VLOOKUP($A45,[1]Hugst!$R$5:$W$9,MATCH(ROUNDUP((O$1)/10,0)*10,[1]Hugst!$R$4:$W$4,0))))</f>
        <v>106.27703271431785</v>
      </c>
      <c r="P45">
        <f ca="1">IF($C45-P$1&lt;År1,0,O44*(1-VLOOKUP($A45,[1]Hugst!$R$5:$W$9,MATCH(ROUNDUP((P$1)/10,0)*10,[1]Hugst!$R$4:$W$4,0))))</f>
        <v>106.4346267233563</v>
      </c>
      <c r="Q45">
        <f ca="1">IF($C45-Q$1&lt;År1,0,P44*(1-VLOOKUP($A45,[1]Hugst!$R$5:$W$9,MATCH(ROUNDUP((Q$1)/10,0)*10,[1]Hugst!$R$4:$W$4,0))))</f>
        <v>106.59301266208753</v>
      </c>
      <c r="R45">
        <f ca="1">IF($C45-R$1&lt;År1,0,Q44*(1-VLOOKUP($A45,[1]Hugst!$R$5:$W$9,MATCH(ROUNDUP((R$1)/10,0)*10,[1]Hugst!$R$4:$W$4,0))))</f>
        <v>106.75219451005873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25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29.827962440789236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71.031666144492959</v>
      </c>
      <c r="G46">
        <f ca="1">IF($C46-G$1&lt;År1,0,F45*(1-VLOOKUP($A46,[1]Hugst!$R$5:$W$9,MATCH(ROUNDUP((G$1)/10,0)*10,[1]Hugst!$R$4:$W$4,0))))</f>
        <v>71.181555402989858</v>
      </c>
      <c r="H46">
        <f ca="1">IF($C46-H$1&lt;År1,0,G45*(1-VLOOKUP($A46,[1]Hugst!$R$5:$W$9,MATCH(ROUNDUP((H$1)/10,0)*10,[1]Hugst!$R$4:$W$4,0))))</f>
        <v>71.332197873839419</v>
      </c>
      <c r="I46">
        <f ca="1">IF($C46-I$1&lt;År1,0,H45*(1-VLOOKUP($A46,[1]Hugst!$R$5:$W$9,MATCH(ROUNDUP((I$1)/10,0)*10,[1]Hugst!$R$4:$W$4,0))))</f>
        <v>105.19571855415381</v>
      </c>
      <c r="J46">
        <f ca="1">IF($C46-J$1&lt;År1,0,I45*(1-VLOOKUP($A46,[1]Hugst!$R$5:$W$9,MATCH(ROUNDUP((J$1)/10,0)*10,[1]Hugst!$R$4:$W$4,0))))</f>
        <v>105.34787882369238</v>
      </c>
      <c r="K46">
        <f ca="1">IF($C46-K$1&lt;År1,0,J45*(1-VLOOKUP($A46,[1]Hugst!$R$5:$W$9,MATCH(ROUNDUP((K$1)/10,0)*10,[1]Hugst!$R$4:$W$4,0))))</f>
        <v>105.50080371770207</v>
      </c>
      <c r="L46">
        <f ca="1">IF($C46-L$1&lt;År1,0,K45*(1-VLOOKUP($A46,[1]Hugst!$R$5:$W$9,MATCH(ROUNDUP((L$1)/10,0)*10,[1]Hugst!$R$4:$W$4,0))))</f>
        <v>105.65449707851479</v>
      </c>
      <c r="M46">
        <f ca="1">IF($C46-M$1&lt;År1,0,L45*(1-VLOOKUP($A46,[1]Hugst!$R$5:$W$9,MATCH(ROUNDUP((M$1)/10,0)*10,[1]Hugst!$R$4:$W$4,0))))</f>
        <v>105.80896276777605</v>
      </c>
      <c r="N46">
        <f ca="1">IF($C46-N$1&lt;År1,0,M45*(1-VLOOKUP($A46,[1]Hugst!$R$5:$W$9,MATCH(ROUNDUP((N$1)/10,0)*10,[1]Hugst!$R$4:$W$4,0))))</f>
        <v>105.96420466652819</v>
      </c>
      <c r="O46">
        <f ca="1">IF($C46-O$1&lt;År1,0,N45*(1-VLOOKUP($A46,[1]Hugst!$R$5:$W$9,MATCH(ROUNDUP((O$1)/10,0)*10,[1]Hugst!$R$4:$W$4,0))))</f>
        <v>106.12022667532625</v>
      </c>
      <c r="P46">
        <f ca="1">IF($C46-P$1&lt;År1,0,O45*(1-VLOOKUP($A46,[1]Hugst!$R$5:$W$9,MATCH(ROUNDUP((P$1)/10,0)*10,[1]Hugst!$R$4:$W$4,0))))</f>
        <v>106.27703271431785</v>
      </c>
      <c r="Q46">
        <f ca="1">IF($C46-Q$1&lt;År1,0,P45*(1-VLOOKUP($A46,[1]Hugst!$R$5:$W$9,MATCH(ROUNDUP((Q$1)/10,0)*10,[1]Hugst!$R$4:$W$4,0))))</f>
        <v>106.4346267233563</v>
      </c>
      <c r="R46">
        <f ca="1">IF($C46-R$1&lt;År1,0,Q45*(1-VLOOKUP($A46,[1]Hugst!$R$5:$W$9,MATCH(ROUNDUP((R$1)/10,0)*10,[1]Hugst!$R$4:$W$4,0))))</f>
        <v>106.59301266208753</v>
      </c>
      <c r="S46">
        <f ca="1">IF($C46-S$1&lt;År1,0,R45*(1-VLOOKUP($A46,[1]Hugst!$R$5:$W$9,MATCH(ROUNDUP((S$1)/10,0)*10,[1]Hugst!$R$4:$W$4,0))))</f>
        <v>106.75219451005873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25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29.678822628585465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70.882526332289189</v>
      </c>
      <c r="G47">
        <f ca="1">IF($C47-G$1&lt;År1,0,F46*(1-VLOOKUP($A47,[1]Hugst!$R$5:$W$9,MATCH(ROUNDUP((G$1)/10,0)*10,[1]Hugst!$R$4:$W$4,0))))</f>
        <v>71.031666144492959</v>
      </c>
      <c r="H47">
        <f ca="1">IF($C47-H$1&lt;År1,0,G46*(1-VLOOKUP($A47,[1]Hugst!$R$5:$W$9,MATCH(ROUNDUP((H$1)/10,0)*10,[1]Hugst!$R$4:$W$4,0))))</f>
        <v>71.181555402989858</v>
      </c>
      <c r="I47">
        <f ca="1">IF($C47-I$1&lt;År1,0,H46*(1-VLOOKUP($A47,[1]Hugst!$R$5:$W$9,MATCH(ROUNDUP((I$1)/10,0)*10,[1]Hugst!$R$4:$W$4,0))))</f>
        <v>71.332197873839419</v>
      </c>
      <c r="J47">
        <f ca="1">IF($C47-J$1&lt;År1,0,I46*(1-VLOOKUP($A47,[1]Hugst!$R$5:$W$9,MATCH(ROUNDUP((J$1)/10,0)*10,[1]Hugst!$R$4:$W$4,0))))</f>
        <v>105.19571855415381</v>
      </c>
      <c r="K47">
        <f ca="1">IF($C47-K$1&lt;År1,0,J46*(1-VLOOKUP($A47,[1]Hugst!$R$5:$W$9,MATCH(ROUNDUP((K$1)/10,0)*10,[1]Hugst!$R$4:$W$4,0))))</f>
        <v>105.34787882369238</v>
      </c>
      <c r="L47">
        <f ca="1">IF($C47-L$1&lt;År1,0,K46*(1-VLOOKUP($A47,[1]Hugst!$R$5:$W$9,MATCH(ROUNDUP((L$1)/10,0)*10,[1]Hugst!$R$4:$W$4,0))))</f>
        <v>105.50080371770207</v>
      </c>
      <c r="M47">
        <f ca="1">IF($C47-M$1&lt;År1,0,L46*(1-VLOOKUP($A47,[1]Hugst!$R$5:$W$9,MATCH(ROUNDUP((M$1)/10,0)*10,[1]Hugst!$R$4:$W$4,0))))</f>
        <v>105.65449707851479</v>
      </c>
      <c r="N47">
        <f ca="1">IF($C47-N$1&lt;År1,0,M46*(1-VLOOKUP($A47,[1]Hugst!$R$5:$W$9,MATCH(ROUNDUP((N$1)/10,0)*10,[1]Hugst!$R$4:$W$4,0))))</f>
        <v>105.80896276777605</v>
      </c>
      <c r="O47">
        <f ca="1">IF($C47-O$1&lt;År1,0,N46*(1-VLOOKUP($A47,[1]Hugst!$R$5:$W$9,MATCH(ROUNDUP((O$1)/10,0)*10,[1]Hugst!$R$4:$W$4,0))))</f>
        <v>105.96420466652819</v>
      </c>
      <c r="P47">
        <f ca="1">IF($C47-P$1&lt;År1,0,O46*(1-VLOOKUP($A47,[1]Hugst!$R$5:$W$9,MATCH(ROUNDUP((P$1)/10,0)*10,[1]Hugst!$R$4:$W$4,0))))</f>
        <v>106.12022667532625</v>
      </c>
      <c r="Q47">
        <f ca="1">IF($C47-Q$1&lt;År1,0,P46*(1-VLOOKUP($A47,[1]Hugst!$R$5:$W$9,MATCH(ROUNDUP((Q$1)/10,0)*10,[1]Hugst!$R$4:$W$4,0))))</f>
        <v>106.27703271431785</v>
      </c>
      <c r="R47">
        <f ca="1">IF($C47-R$1&lt;År1,0,Q46*(1-VLOOKUP($A47,[1]Hugst!$R$5:$W$9,MATCH(ROUNDUP((R$1)/10,0)*10,[1]Hugst!$R$4:$W$4,0))))</f>
        <v>106.4346267233563</v>
      </c>
      <c r="S47">
        <f ca="1">IF($C47-S$1&lt;År1,0,R46*(1-VLOOKUP($A47,[1]Hugst!$R$5:$W$9,MATCH(ROUNDUP((S$1)/10,0)*10,[1]Hugst!$R$4:$W$4,0))))</f>
        <v>106.59301266208753</v>
      </c>
      <c r="T47">
        <f ca="1">IF($C47-T$1&lt;År1,0,S46*(1-VLOOKUP($A47,[1]Hugst!$R$5:$W$9,MATCH(ROUNDUP((T$1)/10,0)*10,[1]Hugst!$R$4:$W$4,0))))</f>
        <v>106.75219451005873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25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29.530428515443077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70.734132219146801</v>
      </c>
      <c r="G48">
        <f ca="1">IF($C48-G$1&lt;År1,0,F47*(1-VLOOKUP($A48,[1]Hugst!$R$5:$W$9,MATCH(ROUNDUP((G$1)/10,0)*10,[1]Hugst!$R$4:$W$4,0))))</f>
        <v>70.882526332289189</v>
      </c>
      <c r="H48">
        <f ca="1">IF($C48-H$1&lt;År1,0,G47*(1-VLOOKUP($A48,[1]Hugst!$R$5:$W$9,MATCH(ROUNDUP((H$1)/10,0)*10,[1]Hugst!$R$4:$W$4,0))))</f>
        <v>71.031666144492959</v>
      </c>
      <c r="I48">
        <f ca="1">IF($C48-I$1&lt;År1,0,H47*(1-VLOOKUP($A48,[1]Hugst!$R$5:$W$9,MATCH(ROUNDUP((I$1)/10,0)*10,[1]Hugst!$R$4:$W$4,0))))</f>
        <v>71.181555402989858</v>
      </c>
      <c r="J48">
        <f ca="1">IF($C48-J$1&lt;År1,0,I47*(1-VLOOKUP($A48,[1]Hugst!$R$5:$W$9,MATCH(ROUNDUP((J$1)/10,0)*10,[1]Hugst!$R$4:$W$4,0))))</f>
        <v>71.332197873839419</v>
      </c>
      <c r="K48">
        <f ca="1">IF($C48-K$1&lt;År1,0,J47*(1-VLOOKUP($A48,[1]Hugst!$R$5:$W$9,MATCH(ROUNDUP((K$1)/10,0)*10,[1]Hugst!$R$4:$W$4,0))))</f>
        <v>105.19571855415381</v>
      </c>
      <c r="L48">
        <f ca="1">IF($C48-L$1&lt;År1,0,K47*(1-VLOOKUP($A48,[1]Hugst!$R$5:$W$9,MATCH(ROUNDUP((L$1)/10,0)*10,[1]Hugst!$R$4:$W$4,0))))</f>
        <v>105.34787882369238</v>
      </c>
      <c r="M48">
        <f ca="1">IF($C48-M$1&lt;År1,0,L47*(1-VLOOKUP($A48,[1]Hugst!$R$5:$W$9,MATCH(ROUNDUP((M$1)/10,0)*10,[1]Hugst!$R$4:$W$4,0))))</f>
        <v>105.50080371770207</v>
      </c>
      <c r="N48">
        <f ca="1">IF($C48-N$1&lt;År1,0,M47*(1-VLOOKUP($A48,[1]Hugst!$R$5:$W$9,MATCH(ROUNDUP((N$1)/10,0)*10,[1]Hugst!$R$4:$W$4,0))))</f>
        <v>105.65449707851479</v>
      </c>
      <c r="O48">
        <f ca="1">IF($C48-O$1&lt;År1,0,N47*(1-VLOOKUP($A48,[1]Hugst!$R$5:$W$9,MATCH(ROUNDUP((O$1)/10,0)*10,[1]Hugst!$R$4:$W$4,0))))</f>
        <v>105.80896276777605</v>
      </c>
      <c r="P48">
        <f ca="1">IF($C48-P$1&lt;År1,0,O47*(1-VLOOKUP($A48,[1]Hugst!$R$5:$W$9,MATCH(ROUNDUP((P$1)/10,0)*10,[1]Hugst!$R$4:$W$4,0))))</f>
        <v>105.96420466652819</v>
      </c>
      <c r="Q48">
        <f ca="1">IF($C48-Q$1&lt;År1,0,P47*(1-VLOOKUP($A48,[1]Hugst!$R$5:$W$9,MATCH(ROUNDUP((Q$1)/10,0)*10,[1]Hugst!$R$4:$W$4,0))))</f>
        <v>106.12022667532625</v>
      </c>
      <c r="R48">
        <f ca="1">IF($C48-R$1&lt;År1,0,Q47*(1-VLOOKUP($A48,[1]Hugst!$R$5:$W$9,MATCH(ROUNDUP((R$1)/10,0)*10,[1]Hugst!$R$4:$W$4,0))))</f>
        <v>106.27703271431785</v>
      </c>
      <c r="S48">
        <f ca="1">IF($C48-S$1&lt;År1,0,R47*(1-VLOOKUP($A48,[1]Hugst!$R$5:$W$9,MATCH(ROUNDUP((S$1)/10,0)*10,[1]Hugst!$R$4:$W$4,0))))</f>
        <v>106.4346267233563</v>
      </c>
      <c r="T48">
        <f ca="1">IF($C48-T$1&lt;År1,0,S47*(1-VLOOKUP($A48,[1]Hugst!$R$5:$W$9,MATCH(ROUNDUP((T$1)/10,0)*10,[1]Hugst!$R$4:$W$4,0))))</f>
        <v>106.59301266208753</v>
      </c>
      <c r="U48">
        <f ca="1">IF($C48-U$1&lt;År1,0,T47*(1-VLOOKUP($A48,[1]Hugst!$R$5:$W$9,MATCH(ROUNDUP((U$1)/10,0)*10,[1]Hugst!$R$4:$W$4,0))))</f>
        <v>106.75219451005873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25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29.382776372865237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70.586480076568961</v>
      </c>
      <c r="G49">
        <f ca="1">IF($C49-G$1&lt;År1,0,F48*(1-VLOOKUP($A49,[1]Hugst!$R$5:$W$9,MATCH(ROUNDUP((G$1)/10,0)*10,[1]Hugst!$R$4:$W$4,0))))</f>
        <v>70.734132219146801</v>
      </c>
      <c r="H49">
        <f ca="1">IF($C49-H$1&lt;År1,0,G48*(1-VLOOKUP($A49,[1]Hugst!$R$5:$W$9,MATCH(ROUNDUP((H$1)/10,0)*10,[1]Hugst!$R$4:$W$4,0))))</f>
        <v>70.882526332289189</v>
      </c>
      <c r="I49">
        <f ca="1">IF($C49-I$1&lt;År1,0,H48*(1-VLOOKUP($A49,[1]Hugst!$R$5:$W$9,MATCH(ROUNDUP((I$1)/10,0)*10,[1]Hugst!$R$4:$W$4,0))))</f>
        <v>71.031666144492959</v>
      </c>
      <c r="J49">
        <f ca="1">IF($C49-J$1&lt;År1,0,I48*(1-VLOOKUP($A49,[1]Hugst!$R$5:$W$9,MATCH(ROUNDUP((J$1)/10,0)*10,[1]Hugst!$R$4:$W$4,0))))</f>
        <v>71.181555402989858</v>
      </c>
      <c r="K49">
        <f ca="1">IF($C49-K$1&lt;År1,0,J48*(1-VLOOKUP($A49,[1]Hugst!$R$5:$W$9,MATCH(ROUNDUP((K$1)/10,0)*10,[1]Hugst!$R$4:$W$4,0))))</f>
        <v>71.332197873839419</v>
      </c>
      <c r="L49">
        <f ca="1">IF($C49-L$1&lt;År1,0,K48*(1-VLOOKUP($A49,[1]Hugst!$R$5:$W$9,MATCH(ROUNDUP((L$1)/10,0)*10,[1]Hugst!$R$4:$W$4,0))))</f>
        <v>105.19571855415381</v>
      </c>
      <c r="M49">
        <f ca="1">IF($C49-M$1&lt;År1,0,L48*(1-VLOOKUP($A49,[1]Hugst!$R$5:$W$9,MATCH(ROUNDUP((M$1)/10,0)*10,[1]Hugst!$R$4:$W$4,0))))</f>
        <v>105.34787882369238</v>
      </c>
      <c r="N49">
        <f ca="1">IF($C49-N$1&lt;År1,0,M48*(1-VLOOKUP($A49,[1]Hugst!$R$5:$W$9,MATCH(ROUNDUP((N$1)/10,0)*10,[1]Hugst!$R$4:$W$4,0))))</f>
        <v>105.50080371770207</v>
      </c>
      <c r="O49">
        <f ca="1">IF($C49-O$1&lt;År1,0,N48*(1-VLOOKUP($A49,[1]Hugst!$R$5:$W$9,MATCH(ROUNDUP((O$1)/10,0)*10,[1]Hugst!$R$4:$W$4,0))))</f>
        <v>105.65449707851479</v>
      </c>
      <c r="P49">
        <f ca="1">IF($C49-P$1&lt;År1,0,O48*(1-VLOOKUP($A49,[1]Hugst!$R$5:$W$9,MATCH(ROUNDUP((P$1)/10,0)*10,[1]Hugst!$R$4:$W$4,0))))</f>
        <v>105.80896276777605</v>
      </c>
      <c r="Q49">
        <f ca="1">IF($C49-Q$1&lt;År1,0,P48*(1-VLOOKUP($A49,[1]Hugst!$R$5:$W$9,MATCH(ROUNDUP((Q$1)/10,0)*10,[1]Hugst!$R$4:$W$4,0))))</f>
        <v>105.96420466652819</v>
      </c>
      <c r="R49">
        <f ca="1">IF($C49-R$1&lt;År1,0,Q48*(1-VLOOKUP($A49,[1]Hugst!$R$5:$W$9,MATCH(ROUNDUP((R$1)/10,0)*10,[1]Hugst!$R$4:$W$4,0))))</f>
        <v>106.12022667532625</v>
      </c>
      <c r="S49">
        <f ca="1">IF($C49-S$1&lt;År1,0,R48*(1-VLOOKUP($A49,[1]Hugst!$R$5:$W$9,MATCH(ROUNDUP((S$1)/10,0)*10,[1]Hugst!$R$4:$W$4,0))))</f>
        <v>106.27703271431785</v>
      </c>
      <c r="T49">
        <f ca="1">IF($C49-T$1&lt;År1,0,S48*(1-VLOOKUP($A49,[1]Hugst!$R$5:$W$9,MATCH(ROUNDUP((T$1)/10,0)*10,[1]Hugst!$R$4:$W$4,0))))</f>
        <v>106.4346267233563</v>
      </c>
      <c r="U49">
        <f ca="1">IF($C49-U$1&lt;År1,0,T48*(1-VLOOKUP($A49,[1]Hugst!$R$5:$W$9,MATCH(ROUNDUP((U$1)/10,0)*10,[1]Hugst!$R$4:$W$4,0))))</f>
        <v>106.59301266208753</v>
      </c>
      <c r="V49">
        <f ca="1">IF($C49-V$1&lt;År1,0,U48*(1-VLOOKUP($A49,[1]Hugst!$R$5:$W$9,MATCH(ROUNDUP((V$1)/10,0)*10,[1]Hugst!$R$4:$W$4,0))))</f>
        <v>106.75219451005873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25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29.235862491001171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70.439566194704895</v>
      </c>
      <c r="G50">
        <f ca="1">IF($C50-G$1&lt;År1,0,F49*(1-VLOOKUP($A50,[1]Hugst!$R$5:$W$9,MATCH(ROUNDUP((G$1)/10,0)*10,[1]Hugst!$R$4:$W$4,0))))</f>
        <v>70.586480076568961</v>
      </c>
      <c r="H50">
        <f ca="1">IF($C50-H$1&lt;År1,0,G49*(1-VLOOKUP($A50,[1]Hugst!$R$5:$W$9,MATCH(ROUNDUP((H$1)/10,0)*10,[1]Hugst!$R$4:$W$4,0))))</f>
        <v>70.734132219146801</v>
      </c>
      <c r="I50">
        <f ca="1">IF($C50-I$1&lt;År1,0,H49*(1-VLOOKUP($A50,[1]Hugst!$R$5:$W$9,MATCH(ROUNDUP((I$1)/10,0)*10,[1]Hugst!$R$4:$W$4,0))))</f>
        <v>70.882526332289189</v>
      </c>
      <c r="J50">
        <f ca="1">IF($C50-J$1&lt;År1,0,I49*(1-VLOOKUP($A50,[1]Hugst!$R$5:$W$9,MATCH(ROUNDUP((J$1)/10,0)*10,[1]Hugst!$R$4:$W$4,0))))</f>
        <v>71.031666144492959</v>
      </c>
      <c r="K50">
        <f ca="1">IF($C50-K$1&lt;År1,0,J49*(1-VLOOKUP($A50,[1]Hugst!$R$5:$W$9,MATCH(ROUNDUP((K$1)/10,0)*10,[1]Hugst!$R$4:$W$4,0))))</f>
        <v>71.181555402989858</v>
      </c>
      <c r="L50">
        <f ca="1">IF($C50-L$1&lt;År1,0,K49*(1-VLOOKUP($A50,[1]Hugst!$R$5:$W$9,MATCH(ROUNDUP((L$1)/10,0)*10,[1]Hugst!$R$4:$W$4,0))))</f>
        <v>71.332197873839419</v>
      </c>
      <c r="M50">
        <f ca="1">IF($C50-M$1&lt;År1,0,L49*(1-VLOOKUP($A50,[1]Hugst!$R$5:$W$9,MATCH(ROUNDUP((M$1)/10,0)*10,[1]Hugst!$R$4:$W$4,0))))</f>
        <v>105.19571855415381</v>
      </c>
      <c r="N50">
        <f ca="1">IF($C50-N$1&lt;År1,0,M49*(1-VLOOKUP($A50,[1]Hugst!$R$5:$W$9,MATCH(ROUNDUP((N$1)/10,0)*10,[1]Hugst!$R$4:$W$4,0))))</f>
        <v>105.34787882369238</v>
      </c>
      <c r="O50">
        <f ca="1">IF($C50-O$1&lt;År1,0,N49*(1-VLOOKUP($A50,[1]Hugst!$R$5:$W$9,MATCH(ROUNDUP((O$1)/10,0)*10,[1]Hugst!$R$4:$W$4,0))))</f>
        <v>105.50080371770207</v>
      </c>
      <c r="P50">
        <f ca="1">IF($C50-P$1&lt;År1,0,O49*(1-VLOOKUP($A50,[1]Hugst!$R$5:$W$9,MATCH(ROUNDUP((P$1)/10,0)*10,[1]Hugst!$R$4:$W$4,0))))</f>
        <v>105.65449707851479</v>
      </c>
      <c r="Q50">
        <f ca="1">IF($C50-Q$1&lt;År1,0,P49*(1-VLOOKUP($A50,[1]Hugst!$R$5:$W$9,MATCH(ROUNDUP((Q$1)/10,0)*10,[1]Hugst!$R$4:$W$4,0))))</f>
        <v>105.80896276777605</v>
      </c>
      <c r="R50">
        <f ca="1">IF($C50-R$1&lt;År1,0,Q49*(1-VLOOKUP($A50,[1]Hugst!$R$5:$W$9,MATCH(ROUNDUP((R$1)/10,0)*10,[1]Hugst!$R$4:$W$4,0))))</f>
        <v>105.96420466652819</v>
      </c>
      <c r="S50">
        <f ca="1">IF($C50-S$1&lt;År1,0,R49*(1-VLOOKUP($A50,[1]Hugst!$R$5:$W$9,MATCH(ROUNDUP((S$1)/10,0)*10,[1]Hugst!$R$4:$W$4,0))))</f>
        <v>106.12022667532625</v>
      </c>
      <c r="T50">
        <f ca="1">IF($C50-T$1&lt;År1,0,S49*(1-VLOOKUP($A50,[1]Hugst!$R$5:$W$9,MATCH(ROUNDUP((T$1)/10,0)*10,[1]Hugst!$R$4:$W$4,0))))</f>
        <v>106.27703271431785</v>
      </c>
      <c r="U50">
        <f ca="1">IF($C50-U$1&lt;År1,0,T49*(1-VLOOKUP($A50,[1]Hugst!$R$5:$W$9,MATCH(ROUNDUP((U$1)/10,0)*10,[1]Hugst!$R$4:$W$4,0))))</f>
        <v>106.4346267233563</v>
      </c>
      <c r="V50">
        <f ca="1">IF($C50-V$1&lt;År1,0,U49*(1-VLOOKUP($A50,[1]Hugst!$R$5:$W$9,MATCH(ROUNDUP((V$1)/10,0)*10,[1]Hugst!$R$4:$W$4,0))))</f>
        <v>106.59301266208753</v>
      </c>
      <c r="W50">
        <f ca="1">IF($C50-W$1&lt;År1,0,V49*(1-VLOOKUP($A50,[1]Hugst!$R$5:$W$9,MATCH(ROUNDUP((W$1)/10,0)*10,[1]Hugst!$R$4:$W$4,0))))</f>
        <v>106.75219451005873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25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29.089683178546693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70.293386882250417</v>
      </c>
      <c r="G51">
        <f ca="1">IF($C51-G$1&lt;År1,0,F50*(1-VLOOKUP($A51,[1]Hugst!$R$5:$W$9,MATCH(ROUNDUP((G$1)/10,0)*10,[1]Hugst!$R$4:$W$4,0))))</f>
        <v>70.439566194704895</v>
      </c>
      <c r="H51">
        <f ca="1">IF($C51-H$1&lt;År1,0,G50*(1-VLOOKUP($A51,[1]Hugst!$R$5:$W$9,MATCH(ROUNDUP((H$1)/10,0)*10,[1]Hugst!$R$4:$W$4,0))))</f>
        <v>70.586480076568961</v>
      </c>
      <c r="I51">
        <f ca="1">IF($C51-I$1&lt;År1,0,H50*(1-VLOOKUP($A51,[1]Hugst!$R$5:$W$9,MATCH(ROUNDUP((I$1)/10,0)*10,[1]Hugst!$R$4:$W$4,0))))</f>
        <v>70.734132219146801</v>
      </c>
      <c r="J51">
        <f ca="1">IF($C51-J$1&lt;År1,0,I50*(1-VLOOKUP($A51,[1]Hugst!$R$5:$W$9,MATCH(ROUNDUP((J$1)/10,0)*10,[1]Hugst!$R$4:$W$4,0))))</f>
        <v>70.882526332289189</v>
      </c>
      <c r="K51">
        <f ca="1">IF($C51-K$1&lt;År1,0,J50*(1-VLOOKUP($A51,[1]Hugst!$R$5:$W$9,MATCH(ROUNDUP((K$1)/10,0)*10,[1]Hugst!$R$4:$W$4,0))))</f>
        <v>71.031666144492959</v>
      </c>
      <c r="L51">
        <f ca="1">IF($C51-L$1&lt;År1,0,K50*(1-VLOOKUP($A51,[1]Hugst!$R$5:$W$9,MATCH(ROUNDUP((L$1)/10,0)*10,[1]Hugst!$R$4:$W$4,0))))</f>
        <v>71.181555402989858</v>
      </c>
      <c r="M51">
        <f ca="1">IF($C51-M$1&lt;År1,0,L50*(1-VLOOKUP($A51,[1]Hugst!$R$5:$W$9,MATCH(ROUNDUP((M$1)/10,0)*10,[1]Hugst!$R$4:$W$4,0))))</f>
        <v>71.332197873839419</v>
      </c>
      <c r="N51">
        <f ca="1">IF($C51-N$1&lt;År1,0,M50*(1-VLOOKUP($A51,[1]Hugst!$R$5:$W$9,MATCH(ROUNDUP((N$1)/10,0)*10,[1]Hugst!$R$4:$W$4,0))))</f>
        <v>105.19571855415381</v>
      </c>
      <c r="O51">
        <f ca="1">IF($C51-O$1&lt;År1,0,N50*(1-VLOOKUP($A51,[1]Hugst!$R$5:$W$9,MATCH(ROUNDUP((O$1)/10,0)*10,[1]Hugst!$R$4:$W$4,0))))</f>
        <v>105.34787882369238</v>
      </c>
      <c r="P51">
        <f ca="1">IF($C51-P$1&lt;År1,0,O50*(1-VLOOKUP($A51,[1]Hugst!$R$5:$W$9,MATCH(ROUNDUP((P$1)/10,0)*10,[1]Hugst!$R$4:$W$4,0))))</f>
        <v>105.50080371770207</v>
      </c>
      <c r="Q51">
        <f ca="1">IF($C51-Q$1&lt;År1,0,P50*(1-VLOOKUP($A51,[1]Hugst!$R$5:$W$9,MATCH(ROUNDUP((Q$1)/10,0)*10,[1]Hugst!$R$4:$W$4,0))))</f>
        <v>105.65449707851479</v>
      </c>
      <c r="R51">
        <f ca="1">IF($C51-R$1&lt;År1,0,Q50*(1-VLOOKUP($A51,[1]Hugst!$R$5:$W$9,MATCH(ROUNDUP((R$1)/10,0)*10,[1]Hugst!$R$4:$W$4,0))))</f>
        <v>105.80896276777605</v>
      </c>
      <c r="S51">
        <f ca="1">IF($C51-S$1&lt;År1,0,R50*(1-VLOOKUP($A51,[1]Hugst!$R$5:$W$9,MATCH(ROUNDUP((S$1)/10,0)*10,[1]Hugst!$R$4:$W$4,0))))</f>
        <v>105.96420466652819</v>
      </c>
      <c r="T51">
        <f ca="1">IF($C51-T$1&lt;År1,0,S50*(1-VLOOKUP($A51,[1]Hugst!$R$5:$W$9,MATCH(ROUNDUP((T$1)/10,0)*10,[1]Hugst!$R$4:$W$4,0))))</f>
        <v>106.12022667532625</v>
      </c>
      <c r="U51">
        <f ca="1">IF($C51-U$1&lt;År1,0,T50*(1-VLOOKUP($A51,[1]Hugst!$R$5:$W$9,MATCH(ROUNDUP((U$1)/10,0)*10,[1]Hugst!$R$4:$W$4,0))))</f>
        <v>106.27703271431785</v>
      </c>
      <c r="V51">
        <f ca="1">IF($C51-V$1&lt;År1,0,U50*(1-VLOOKUP($A51,[1]Hugst!$R$5:$W$9,MATCH(ROUNDUP((V$1)/10,0)*10,[1]Hugst!$R$4:$W$4,0))))</f>
        <v>106.4346267233563</v>
      </c>
      <c r="W51">
        <f ca="1">IF($C51-W$1&lt;År1,0,V50*(1-VLOOKUP($A51,[1]Hugst!$R$5:$W$9,MATCH(ROUNDUP((W$1)/10,0)*10,[1]Hugst!$R$4:$W$4,0))))</f>
        <v>106.59301266208753</v>
      </c>
      <c r="X51">
        <f ca="1">IF($C51-X$1&lt;År1,0,W50*(1-VLOOKUP($A51,[1]Hugst!$R$5:$W$9,MATCH(ROUNDUP((X$1)/10,0)*10,[1]Hugst!$R$4:$W$4,0))))</f>
        <v>106.75219451005873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25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28.944234762652854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70.147938466356578</v>
      </c>
      <c r="G52">
        <f ca="1">IF($C52-G$1&lt;År1,0,F51*(1-VLOOKUP($A52,[1]Hugst!$R$5:$W$9,MATCH(ROUNDUP((G$1)/10,0)*10,[1]Hugst!$R$4:$W$4,0))))</f>
        <v>70.293386882250417</v>
      </c>
      <c r="H52">
        <f ca="1">IF($C52-H$1&lt;År1,0,G51*(1-VLOOKUP($A52,[1]Hugst!$R$5:$W$9,MATCH(ROUNDUP((H$1)/10,0)*10,[1]Hugst!$R$4:$W$4,0))))</f>
        <v>70.439566194704895</v>
      </c>
      <c r="I52">
        <f ca="1">IF($C52-I$1&lt;År1,0,H51*(1-VLOOKUP($A52,[1]Hugst!$R$5:$W$9,MATCH(ROUNDUP((I$1)/10,0)*10,[1]Hugst!$R$4:$W$4,0))))</f>
        <v>70.586480076568961</v>
      </c>
      <c r="J52">
        <f ca="1">IF($C52-J$1&lt;År1,0,I51*(1-VLOOKUP($A52,[1]Hugst!$R$5:$W$9,MATCH(ROUNDUP((J$1)/10,0)*10,[1]Hugst!$R$4:$W$4,0))))</f>
        <v>70.734132219146801</v>
      </c>
      <c r="K52">
        <f ca="1">IF($C52-K$1&lt;År1,0,J51*(1-VLOOKUP($A52,[1]Hugst!$R$5:$W$9,MATCH(ROUNDUP((K$1)/10,0)*10,[1]Hugst!$R$4:$W$4,0))))</f>
        <v>70.882526332289189</v>
      </c>
      <c r="L52">
        <f ca="1">IF($C52-L$1&lt;År1,0,K51*(1-VLOOKUP($A52,[1]Hugst!$R$5:$W$9,MATCH(ROUNDUP((L$1)/10,0)*10,[1]Hugst!$R$4:$W$4,0))))</f>
        <v>71.031666144492959</v>
      </c>
      <c r="M52">
        <f ca="1">IF($C52-M$1&lt;År1,0,L51*(1-VLOOKUP($A52,[1]Hugst!$R$5:$W$9,MATCH(ROUNDUP((M$1)/10,0)*10,[1]Hugst!$R$4:$W$4,0))))</f>
        <v>71.181555402989858</v>
      </c>
      <c r="N52">
        <f ca="1">IF($C52-N$1&lt;År1,0,M51*(1-VLOOKUP($A52,[1]Hugst!$R$5:$W$9,MATCH(ROUNDUP((N$1)/10,0)*10,[1]Hugst!$R$4:$W$4,0))))</f>
        <v>71.332197873839419</v>
      </c>
      <c r="O52">
        <f ca="1">IF($C52-O$1&lt;År1,0,N51*(1-VLOOKUP($A52,[1]Hugst!$R$5:$W$9,MATCH(ROUNDUP((O$1)/10,0)*10,[1]Hugst!$R$4:$W$4,0))))</f>
        <v>105.19571855415381</v>
      </c>
      <c r="P52">
        <f ca="1">IF($C52-P$1&lt;År1,0,O51*(1-VLOOKUP($A52,[1]Hugst!$R$5:$W$9,MATCH(ROUNDUP((P$1)/10,0)*10,[1]Hugst!$R$4:$W$4,0))))</f>
        <v>105.34787882369238</v>
      </c>
      <c r="Q52">
        <f ca="1">IF($C52-Q$1&lt;År1,0,P51*(1-VLOOKUP($A52,[1]Hugst!$R$5:$W$9,MATCH(ROUNDUP((Q$1)/10,0)*10,[1]Hugst!$R$4:$W$4,0))))</f>
        <v>105.50080371770207</v>
      </c>
      <c r="R52">
        <f ca="1">IF($C52-R$1&lt;År1,0,Q51*(1-VLOOKUP($A52,[1]Hugst!$R$5:$W$9,MATCH(ROUNDUP((R$1)/10,0)*10,[1]Hugst!$R$4:$W$4,0))))</f>
        <v>105.65449707851479</v>
      </c>
      <c r="S52">
        <f ca="1">IF($C52-S$1&lt;År1,0,R51*(1-VLOOKUP($A52,[1]Hugst!$R$5:$W$9,MATCH(ROUNDUP((S$1)/10,0)*10,[1]Hugst!$R$4:$W$4,0))))</f>
        <v>105.80896276777605</v>
      </c>
      <c r="T52">
        <f ca="1">IF($C52-T$1&lt;År1,0,S51*(1-VLOOKUP($A52,[1]Hugst!$R$5:$W$9,MATCH(ROUNDUP((T$1)/10,0)*10,[1]Hugst!$R$4:$W$4,0))))</f>
        <v>105.96420466652819</v>
      </c>
      <c r="U52">
        <f ca="1">IF($C52-U$1&lt;År1,0,T51*(1-VLOOKUP($A52,[1]Hugst!$R$5:$W$9,MATCH(ROUNDUP((U$1)/10,0)*10,[1]Hugst!$R$4:$W$4,0))))</f>
        <v>106.12022667532625</v>
      </c>
      <c r="V52">
        <f ca="1">IF($C52-V$1&lt;År1,0,U51*(1-VLOOKUP($A52,[1]Hugst!$R$5:$W$9,MATCH(ROUNDUP((V$1)/10,0)*10,[1]Hugst!$R$4:$W$4,0))))</f>
        <v>106.27703271431785</v>
      </c>
      <c r="W52">
        <f ca="1">IF($C52-W$1&lt;År1,0,V51*(1-VLOOKUP($A52,[1]Hugst!$R$5:$W$9,MATCH(ROUNDUP((W$1)/10,0)*10,[1]Hugst!$R$4:$W$4,0))))</f>
        <v>106.4346267233563</v>
      </c>
      <c r="X52">
        <f ca="1">IF($C52-X$1&lt;År1,0,W51*(1-VLOOKUP($A52,[1]Hugst!$R$5:$W$9,MATCH(ROUNDUP((X$1)/10,0)*10,[1]Hugst!$R$4:$W$4,0))))</f>
        <v>106.59301266208753</v>
      </c>
      <c r="Y52">
        <f ca="1">IF($C52-Y$1&lt;År1,0,X51*(1-VLOOKUP($A52,[1]Hugst!$R$5:$W$9,MATCH(ROUNDUP((Y$1)/10,0)*10,[1]Hugst!$R$4:$W$4,0))))</f>
        <v>106.75219451005873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25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28.79951358884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70.003217292543724</v>
      </c>
      <c r="G53">
        <f ca="1">IF($C53-G$1&lt;År1,0,F52*(1-VLOOKUP($A53,[1]Hugst!$R$5:$W$9,MATCH(ROUNDUP((G$1)/10,0)*10,[1]Hugst!$R$4:$W$4,0))))</f>
        <v>70.147938466356578</v>
      </c>
      <c r="H53">
        <f ca="1">IF($C53-H$1&lt;År1,0,G52*(1-VLOOKUP($A53,[1]Hugst!$R$5:$W$9,MATCH(ROUNDUP((H$1)/10,0)*10,[1]Hugst!$R$4:$W$4,0))))</f>
        <v>70.293386882250417</v>
      </c>
      <c r="I53">
        <f ca="1">IF($C53-I$1&lt;År1,0,H52*(1-VLOOKUP($A53,[1]Hugst!$R$5:$W$9,MATCH(ROUNDUP((I$1)/10,0)*10,[1]Hugst!$R$4:$W$4,0))))</f>
        <v>70.439566194704895</v>
      </c>
      <c r="J53">
        <f ca="1">IF($C53-J$1&lt;År1,0,I52*(1-VLOOKUP($A53,[1]Hugst!$R$5:$W$9,MATCH(ROUNDUP((J$1)/10,0)*10,[1]Hugst!$R$4:$W$4,0))))</f>
        <v>70.586480076568961</v>
      </c>
      <c r="K53">
        <f ca="1">IF($C53-K$1&lt;År1,0,J52*(1-VLOOKUP($A53,[1]Hugst!$R$5:$W$9,MATCH(ROUNDUP((K$1)/10,0)*10,[1]Hugst!$R$4:$W$4,0))))</f>
        <v>70.734132219146801</v>
      </c>
      <c r="L53">
        <f ca="1">IF($C53-L$1&lt;År1,0,K52*(1-VLOOKUP($A53,[1]Hugst!$R$5:$W$9,MATCH(ROUNDUP((L$1)/10,0)*10,[1]Hugst!$R$4:$W$4,0))))</f>
        <v>70.882526332289189</v>
      </c>
      <c r="M53">
        <f ca="1">IF($C53-M$1&lt;År1,0,L52*(1-VLOOKUP($A53,[1]Hugst!$R$5:$W$9,MATCH(ROUNDUP((M$1)/10,0)*10,[1]Hugst!$R$4:$W$4,0))))</f>
        <v>71.031666144492959</v>
      </c>
      <c r="N53">
        <f ca="1">IF($C53-N$1&lt;År1,0,M52*(1-VLOOKUP($A53,[1]Hugst!$R$5:$W$9,MATCH(ROUNDUP((N$1)/10,0)*10,[1]Hugst!$R$4:$W$4,0))))</f>
        <v>71.181555402989858</v>
      </c>
      <c r="O53">
        <f ca="1">IF($C53-O$1&lt;År1,0,N52*(1-VLOOKUP($A53,[1]Hugst!$R$5:$W$9,MATCH(ROUNDUP((O$1)/10,0)*10,[1]Hugst!$R$4:$W$4,0))))</f>
        <v>71.332197873839419</v>
      </c>
      <c r="P53">
        <f ca="1">IF($C53-P$1&lt;År1,0,O52*(1-VLOOKUP($A53,[1]Hugst!$R$5:$W$9,MATCH(ROUNDUP((P$1)/10,0)*10,[1]Hugst!$R$4:$W$4,0))))</f>
        <v>105.19571855415381</v>
      </c>
      <c r="Q53">
        <f ca="1">IF($C53-Q$1&lt;År1,0,P52*(1-VLOOKUP($A53,[1]Hugst!$R$5:$W$9,MATCH(ROUNDUP((Q$1)/10,0)*10,[1]Hugst!$R$4:$W$4,0))))</f>
        <v>105.34787882369238</v>
      </c>
      <c r="R53">
        <f ca="1">IF($C53-R$1&lt;År1,0,Q52*(1-VLOOKUP($A53,[1]Hugst!$R$5:$W$9,MATCH(ROUNDUP((R$1)/10,0)*10,[1]Hugst!$R$4:$W$4,0))))</f>
        <v>105.50080371770207</v>
      </c>
      <c r="S53">
        <f ca="1">IF($C53-S$1&lt;År1,0,R52*(1-VLOOKUP($A53,[1]Hugst!$R$5:$W$9,MATCH(ROUNDUP((S$1)/10,0)*10,[1]Hugst!$R$4:$W$4,0))))</f>
        <v>105.65449707851479</v>
      </c>
      <c r="T53">
        <f ca="1">IF($C53-T$1&lt;År1,0,S52*(1-VLOOKUP($A53,[1]Hugst!$R$5:$W$9,MATCH(ROUNDUP((T$1)/10,0)*10,[1]Hugst!$R$4:$W$4,0))))</f>
        <v>105.80896276777605</v>
      </c>
      <c r="U53">
        <f ca="1">IF($C53-U$1&lt;År1,0,T52*(1-VLOOKUP($A53,[1]Hugst!$R$5:$W$9,MATCH(ROUNDUP((U$1)/10,0)*10,[1]Hugst!$R$4:$W$4,0))))</f>
        <v>105.96420466652819</v>
      </c>
      <c r="V53">
        <f ca="1">IF($C53-V$1&lt;År1,0,U52*(1-VLOOKUP($A53,[1]Hugst!$R$5:$W$9,MATCH(ROUNDUP((V$1)/10,0)*10,[1]Hugst!$R$4:$W$4,0))))</f>
        <v>106.12022667532625</v>
      </c>
      <c r="W53">
        <f ca="1">IF($C53-W$1&lt;År1,0,V52*(1-VLOOKUP($A53,[1]Hugst!$R$5:$W$9,MATCH(ROUNDUP((W$1)/10,0)*10,[1]Hugst!$R$4:$W$4,0))))</f>
        <v>106.27703271431785</v>
      </c>
      <c r="X53">
        <f ca="1">IF($C53-X$1&lt;År1,0,W52*(1-VLOOKUP($A53,[1]Hugst!$R$5:$W$9,MATCH(ROUNDUP((X$1)/10,0)*10,[1]Hugst!$R$4:$W$4,0))))</f>
        <v>106.4346267233563</v>
      </c>
      <c r="Y53">
        <f ca="1">IF($C53-Y$1&lt;År1,0,X52*(1-VLOOKUP($A53,[1]Hugst!$R$5:$W$9,MATCH(ROUNDUP((Y$1)/10,0)*10,[1]Hugst!$R$4:$W$4,0))))</f>
        <v>106.59301266208753</v>
      </c>
      <c r="Z53">
        <f ca="1">IF($C53-Z$1&lt;År1,0,Y52*(1-VLOOKUP($A53,[1]Hugst!$R$5:$W$9,MATCH(ROUNDUP((Z$1)/10,0)*10,[1]Hugst!$R$4:$W$4,0))))</f>
        <v>106.75219451005873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25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28.65551602089613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69.859219724599853</v>
      </c>
      <c r="G54">
        <f ca="1">IF($C54-G$1&lt;År1,0,F53*(1-VLOOKUP($A54,[1]Hugst!$R$5:$W$9,MATCH(ROUNDUP((G$1)/10,0)*10,[1]Hugst!$R$4:$W$4,0))))</f>
        <v>70.003217292543724</v>
      </c>
      <c r="H54">
        <f ca="1">IF($C54-H$1&lt;År1,0,G53*(1-VLOOKUP($A54,[1]Hugst!$R$5:$W$9,MATCH(ROUNDUP((H$1)/10,0)*10,[1]Hugst!$R$4:$W$4,0))))</f>
        <v>70.147938466356578</v>
      </c>
      <c r="I54">
        <f ca="1">IF($C54-I$1&lt;År1,0,H53*(1-VLOOKUP($A54,[1]Hugst!$R$5:$W$9,MATCH(ROUNDUP((I$1)/10,0)*10,[1]Hugst!$R$4:$W$4,0))))</f>
        <v>70.293386882250417</v>
      </c>
      <c r="J54">
        <f ca="1">IF($C54-J$1&lt;År1,0,I53*(1-VLOOKUP($A54,[1]Hugst!$R$5:$W$9,MATCH(ROUNDUP((J$1)/10,0)*10,[1]Hugst!$R$4:$W$4,0))))</f>
        <v>70.439566194704895</v>
      </c>
      <c r="K54">
        <f ca="1">IF($C54-K$1&lt;År1,0,J53*(1-VLOOKUP($A54,[1]Hugst!$R$5:$W$9,MATCH(ROUNDUP((K$1)/10,0)*10,[1]Hugst!$R$4:$W$4,0))))</f>
        <v>70.586480076568961</v>
      </c>
      <c r="L54">
        <f ca="1">IF($C54-L$1&lt;År1,0,K53*(1-VLOOKUP($A54,[1]Hugst!$R$5:$W$9,MATCH(ROUNDUP((L$1)/10,0)*10,[1]Hugst!$R$4:$W$4,0))))</f>
        <v>70.734132219146801</v>
      </c>
      <c r="M54">
        <f ca="1">IF($C54-M$1&lt;År1,0,L53*(1-VLOOKUP($A54,[1]Hugst!$R$5:$W$9,MATCH(ROUNDUP((M$1)/10,0)*10,[1]Hugst!$R$4:$W$4,0))))</f>
        <v>70.882526332289189</v>
      </c>
      <c r="N54">
        <f ca="1">IF($C54-N$1&lt;År1,0,M53*(1-VLOOKUP($A54,[1]Hugst!$R$5:$W$9,MATCH(ROUNDUP((N$1)/10,0)*10,[1]Hugst!$R$4:$W$4,0))))</f>
        <v>71.031666144492959</v>
      </c>
      <c r="O54">
        <f ca="1">IF($C54-O$1&lt;År1,0,N53*(1-VLOOKUP($A54,[1]Hugst!$R$5:$W$9,MATCH(ROUNDUP((O$1)/10,0)*10,[1]Hugst!$R$4:$W$4,0))))</f>
        <v>71.181555402989858</v>
      </c>
      <c r="P54">
        <f ca="1">IF($C54-P$1&lt;År1,0,O53*(1-VLOOKUP($A54,[1]Hugst!$R$5:$W$9,MATCH(ROUNDUP((P$1)/10,0)*10,[1]Hugst!$R$4:$W$4,0))))</f>
        <v>71.332197873839419</v>
      </c>
      <c r="Q54">
        <f ca="1">IF($C54-Q$1&lt;År1,0,P53*(1-VLOOKUP($A54,[1]Hugst!$R$5:$W$9,MATCH(ROUNDUP((Q$1)/10,0)*10,[1]Hugst!$R$4:$W$4,0))))</f>
        <v>105.19571855415381</v>
      </c>
      <c r="R54">
        <f ca="1">IF($C54-R$1&lt;År1,0,Q53*(1-VLOOKUP($A54,[1]Hugst!$R$5:$W$9,MATCH(ROUNDUP((R$1)/10,0)*10,[1]Hugst!$R$4:$W$4,0))))</f>
        <v>105.34787882369238</v>
      </c>
      <c r="S54">
        <f ca="1">IF($C54-S$1&lt;År1,0,R53*(1-VLOOKUP($A54,[1]Hugst!$R$5:$W$9,MATCH(ROUNDUP((S$1)/10,0)*10,[1]Hugst!$R$4:$W$4,0))))</f>
        <v>105.50080371770207</v>
      </c>
      <c r="T54">
        <f ca="1">IF($C54-T$1&lt;År1,0,S53*(1-VLOOKUP($A54,[1]Hugst!$R$5:$W$9,MATCH(ROUNDUP((T$1)/10,0)*10,[1]Hugst!$R$4:$W$4,0))))</f>
        <v>105.65449707851479</v>
      </c>
      <c r="U54">
        <f ca="1">IF($C54-U$1&lt;År1,0,T53*(1-VLOOKUP($A54,[1]Hugst!$R$5:$W$9,MATCH(ROUNDUP((U$1)/10,0)*10,[1]Hugst!$R$4:$W$4,0))))</f>
        <v>105.80896276777605</v>
      </c>
      <c r="V54">
        <f ca="1">IF($C54-V$1&lt;År1,0,U53*(1-VLOOKUP($A54,[1]Hugst!$R$5:$W$9,MATCH(ROUNDUP((V$1)/10,0)*10,[1]Hugst!$R$4:$W$4,0))))</f>
        <v>105.96420466652819</v>
      </c>
      <c r="W54">
        <f ca="1">IF($C54-W$1&lt;År1,0,V53*(1-VLOOKUP($A54,[1]Hugst!$R$5:$W$9,MATCH(ROUNDUP((W$1)/10,0)*10,[1]Hugst!$R$4:$W$4,0))))</f>
        <v>106.12022667532625</v>
      </c>
      <c r="X54">
        <f ca="1">IF($C54-X$1&lt;År1,0,W53*(1-VLOOKUP($A54,[1]Hugst!$R$5:$W$9,MATCH(ROUNDUP((X$1)/10,0)*10,[1]Hugst!$R$4:$W$4,0))))</f>
        <v>106.27703271431785</v>
      </c>
      <c r="Y54">
        <f ca="1">IF($C54-Y$1&lt;År1,0,X53*(1-VLOOKUP($A54,[1]Hugst!$R$5:$W$9,MATCH(ROUNDUP((Y$1)/10,0)*10,[1]Hugst!$R$4:$W$4,0))))</f>
        <v>106.4346267233563</v>
      </c>
      <c r="Z54">
        <f ca="1">IF($C54-Z$1&lt;År1,0,Y53*(1-VLOOKUP($A54,[1]Hugst!$R$5:$W$9,MATCH(ROUNDUP((Z$1)/10,0)*10,[1]Hugst!$R$4:$W$4,0))))</f>
        <v>106.59301266208753</v>
      </c>
      <c r="AA54">
        <f ca="1">IF($C54-AA$1&lt;År1,0,Z53*(1-VLOOKUP($A54,[1]Hugst!$R$5:$W$9,MATCH(ROUNDUP((AA$1)/10,0)*10,[1]Hugst!$R$4:$W$4,0))))</f>
        <v>106.75219451005873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25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28.512238440791407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69.715942144495131</v>
      </c>
      <c r="G55">
        <f ca="1">IF($C55-G$1&lt;År1,0,F54*(1-VLOOKUP($A55,[1]Hugst!$R$5:$W$9,MATCH(ROUNDUP((G$1)/10,0)*10,[1]Hugst!$R$4:$W$4,0))))</f>
        <v>69.859219724599853</v>
      </c>
      <c r="H55">
        <f ca="1">IF($C55-H$1&lt;År1,0,G54*(1-VLOOKUP($A55,[1]Hugst!$R$5:$W$9,MATCH(ROUNDUP((H$1)/10,0)*10,[1]Hugst!$R$4:$W$4,0))))</f>
        <v>70.003217292543724</v>
      </c>
      <c r="I55">
        <f ca="1">IF($C55-I$1&lt;År1,0,H54*(1-VLOOKUP($A55,[1]Hugst!$R$5:$W$9,MATCH(ROUNDUP((I$1)/10,0)*10,[1]Hugst!$R$4:$W$4,0))))</f>
        <v>70.147938466356578</v>
      </c>
      <c r="J55">
        <f ca="1">IF($C55-J$1&lt;År1,0,I54*(1-VLOOKUP($A55,[1]Hugst!$R$5:$W$9,MATCH(ROUNDUP((J$1)/10,0)*10,[1]Hugst!$R$4:$W$4,0))))</f>
        <v>70.293386882250417</v>
      </c>
      <c r="K55">
        <f ca="1">IF($C55-K$1&lt;År1,0,J54*(1-VLOOKUP($A55,[1]Hugst!$R$5:$W$9,MATCH(ROUNDUP((K$1)/10,0)*10,[1]Hugst!$R$4:$W$4,0))))</f>
        <v>70.439566194704895</v>
      </c>
      <c r="L55">
        <f ca="1">IF($C55-L$1&lt;År1,0,K54*(1-VLOOKUP($A55,[1]Hugst!$R$5:$W$9,MATCH(ROUNDUP((L$1)/10,0)*10,[1]Hugst!$R$4:$W$4,0))))</f>
        <v>70.586480076568961</v>
      </c>
      <c r="M55">
        <f ca="1">IF($C55-M$1&lt;År1,0,L54*(1-VLOOKUP($A55,[1]Hugst!$R$5:$W$9,MATCH(ROUNDUP((M$1)/10,0)*10,[1]Hugst!$R$4:$W$4,0))))</f>
        <v>70.734132219146801</v>
      </c>
      <c r="N55">
        <f ca="1">IF($C55-N$1&lt;År1,0,M54*(1-VLOOKUP($A55,[1]Hugst!$R$5:$W$9,MATCH(ROUNDUP((N$1)/10,0)*10,[1]Hugst!$R$4:$W$4,0))))</f>
        <v>70.882526332289189</v>
      </c>
      <c r="O55">
        <f ca="1">IF($C55-O$1&lt;År1,0,N54*(1-VLOOKUP($A55,[1]Hugst!$R$5:$W$9,MATCH(ROUNDUP((O$1)/10,0)*10,[1]Hugst!$R$4:$W$4,0))))</f>
        <v>71.031666144492959</v>
      </c>
      <c r="P55">
        <f ca="1">IF($C55-P$1&lt;År1,0,O54*(1-VLOOKUP($A55,[1]Hugst!$R$5:$W$9,MATCH(ROUNDUP((P$1)/10,0)*10,[1]Hugst!$R$4:$W$4,0))))</f>
        <v>71.181555402989858</v>
      </c>
      <c r="Q55">
        <f ca="1">IF($C55-Q$1&lt;År1,0,P54*(1-VLOOKUP($A55,[1]Hugst!$R$5:$W$9,MATCH(ROUNDUP((Q$1)/10,0)*10,[1]Hugst!$R$4:$W$4,0))))</f>
        <v>71.332197873839419</v>
      </c>
      <c r="R55">
        <f ca="1">IF($C55-R$1&lt;År1,0,Q54*(1-VLOOKUP($A55,[1]Hugst!$R$5:$W$9,MATCH(ROUNDUP((R$1)/10,0)*10,[1]Hugst!$R$4:$W$4,0))))</f>
        <v>105.19571855415381</v>
      </c>
      <c r="S55">
        <f ca="1">IF($C55-S$1&lt;År1,0,R54*(1-VLOOKUP($A55,[1]Hugst!$R$5:$W$9,MATCH(ROUNDUP((S$1)/10,0)*10,[1]Hugst!$R$4:$W$4,0))))</f>
        <v>105.34787882369238</v>
      </c>
      <c r="T55">
        <f ca="1">IF($C55-T$1&lt;År1,0,S54*(1-VLOOKUP($A55,[1]Hugst!$R$5:$W$9,MATCH(ROUNDUP((T$1)/10,0)*10,[1]Hugst!$R$4:$W$4,0))))</f>
        <v>105.50080371770207</v>
      </c>
      <c r="U55">
        <f ca="1">IF($C55-U$1&lt;År1,0,T54*(1-VLOOKUP($A55,[1]Hugst!$R$5:$W$9,MATCH(ROUNDUP((U$1)/10,0)*10,[1]Hugst!$R$4:$W$4,0))))</f>
        <v>105.65449707851479</v>
      </c>
      <c r="V55">
        <f ca="1">IF($C55-V$1&lt;År1,0,U54*(1-VLOOKUP($A55,[1]Hugst!$R$5:$W$9,MATCH(ROUNDUP((V$1)/10,0)*10,[1]Hugst!$R$4:$W$4,0))))</f>
        <v>105.80896276777605</v>
      </c>
      <c r="W55">
        <f ca="1">IF($C55-W$1&lt;År1,0,V54*(1-VLOOKUP($A55,[1]Hugst!$R$5:$W$9,MATCH(ROUNDUP((W$1)/10,0)*10,[1]Hugst!$R$4:$W$4,0))))</f>
        <v>105.96420466652819</v>
      </c>
      <c r="X55">
        <f ca="1">IF($C55-X$1&lt;År1,0,W54*(1-VLOOKUP($A55,[1]Hugst!$R$5:$W$9,MATCH(ROUNDUP((X$1)/10,0)*10,[1]Hugst!$R$4:$W$4,0))))</f>
        <v>106.12022667532625</v>
      </c>
      <c r="Y55">
        <f ca="1">IF($C55-Y$1&lt;År1,0,X54*(1-VLOOKUP($A55,[1]Hugst!$R$5:$W$9,MATCH(ROUNDUP((Y$1)/10,0)*10,[1]Hugst!$R$4:$W$4,0))))</f>
        <v>106.27703271431785</v>
      </c>
      <c r="Z55">
        <f ca="1">IF($C55-Z$1&lt;År1,0,Y54*(1-VLOOKUP($A55,[1]Hugst!$R$5:$W$9,MATCH(ROUNDUP((Z$1)/10,0)*10,[1]Hugst!$R$4:$W$4,0))))</f>
        <v>106.4346267233563</v>
      </c>
      <c r="AA55">
        <f ca="1">IF($C55-AA$1&lt;År1,0,Z54*(1-VLOOKUP($A55,[1]Hugst!$R$5:$W$9,MATCH(ROUNDUP((AA$1)/10,0)*10,[1]Hugst!$R$4:$W$4,0))))</f>
        <v>106.59301266208753</v>
      </c>
      <c r="AB55">
        <f ca="1">IF($C55-AB$1&lt;År1,0,AA54*(1-VLOOKUP($A55,[1]Hugst!$R$5:$W$9,MATCH(ROUNDUP((AB$1)/10,0)*10,[1]Hugst!$R$4:$W$4,0))))</f>
        <v>106.75219451005873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25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28.369677248587664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69.573380952291387</v>
      </c>
      <c r="G56">
        <f ca="1">IF($C56-G$1&lt;År1,0,F55*(1-VLOOKUP($A56,[1]Hugst!$R$5:$W$9,MATCH(ROUNDUP((G$1)/10,0)*10,[1]Hugst!$R$4:$W$4,0))))</f>
        <v>69.715942144495131</v>
      </c>
      <c r="H56">
        <f ca="1">IF($C56-H$1&lt;År1,0,G55*(1-VLOOKUP($A56,[1]Hugst!$R$5:$W$9,MATCH(ROUNDUP((H$1)/10,0)*10,[1]Hugst!$R$4:$W$4,0))))</f>
        <v>69.859219724599853</v>
      </c>
      <c r="I56">
        <f ca="1">IF($C56-I$1&lt;År1,0,H55*(1-VLOOKUP($A56,[1]Hugst!$R$5:$W$9,MATCH(ROUNDUP((I$1)/10,0)*10,[1]Hugst!$R$4:$W$4,0))))</f>
        <v>70.003217292543724</v>
      </c>
      <c r="J56">
        <f ca="1">IF($C56-J$1&lt;År1,0,I55*(1-VLOOKUP($A56,[1]Hugst!$R$5:$W$9,MATCH(ROUNDUP((J$1)/10,0)*10,[1]Hugst!$R$4:$W$4,0))))</f>
        <v>70.147938466356578</v>
      </c>
      <c r="K56">
        <f ca="1">IF($C56-K$1&lt;År1,0,J55*(1-VLOOKUP($A56,[1]Hugst!$R$5:$W$9,MATCH(ROUNDUP((K$1)/10,0)*10,[1]Hugst!$R$4:$W$4,0))))</f>
        <v>70.293386882250417</v>
      </c>
      <c r="L56">
        <f ca="1">IF($C56-L$1&lt;År1,0,K55*(1-VLOOKUP($A56,[1]Hugst!$R$5:$W$9,MATCH(ROUNDUP((L$1)/10,0)*10,[1]Hugst!$R$4:$W$4,0))))</f>
        <v>70.439566194704895</v>
      </c>
      <c r="M56">
        <f ca="1">IF($C56-M$1&lt;År1,0,L55*(1-VLOOKUP($A56,[1]Hugst!$R$5:$W$9,MATCH(ROUNDUP((M$1)/10,0)*10,[1]Hugst!$R$4:$W$4,0))))</f>
        <v>70.586480076568961</v>
      </c>
      <c r="N56">
        <f ca="1">IF($C56-N$1&lt;År1,0,M55*(1-VLOOKUP($A56,[1]Hugst!$R$5:$W$9,MATCH(ROUNDUP((N$1)/10,0)*10,[1]Hugst!$R$4:$W$4,0))))</f>
        <v>70.734132219146801</v>
      </c>
      <c r="O56">
        <f ca="1">IF($C56-O$1&lt;År1,0,N55*(1-VLOOKUP($A56,[1]Hugst!$R$5:$W$9,MATCH(ROUNDUP((O$1)/10,0)*10,[1]Hugst!$R$4:$W$4,0))))</f>
        <v>70.882526332289189</v>
      </c>
      <c r="P56">
        <f ca="1">IF($C56-P$1&lt;År1,0,O55*(1-VLOOKUP($A56,[1]Hugst!$R$5:$W$9,MATCH(ROUNDUP((P$1)/10,0)*10,[1]Hugst!$R$4:$W$4,0))))</f>
        <v>71.031666144492959</v>
      </c>
      <c r="Q56">
        <f ca="1">IF($C56-Q$1&lt;År1,0,P55*(1-VLOOKUP($A56,[1]Hugst!$R$5:$W$9,MATCH(ROUNDUP((Q$1)/10,0)*10,[1]Hugst!$R$4:$W$4,0))))</f>
        <v>71.181555402989858</v>
      </c>
      <c r="R56">
        <f ca="1">IF($C56-R$1&lt;År1,0,Q55*(1-VLOOKUP($A56,[1]Hugst!$R$5:$W$9,MATCH(ROUNDUP((R$1)/10,0)*10,[1]Hugst!$R$4:$W$4,0))))</f>
        <v>71.332197873839419</v>
      </c>
      <c r="S56">
        <f ca="1">IF($C56-S$1&lt;År1,0,R55*(1-VLOOKUP($A56,[1]Hugst!$R$5:$W$9,MATCH(ROUNDUP((S$1)/10,0)*10,[1]Hugst!$R$4:$W$4,0))))</f>
        <v>105.19571855415381</v>
      </c>
      <c r="T56">
        <f ca="1">IF($C56-T$1&lt;År1,0,S55*(1-VLOOKUP($A56,[1]Hugst!$R$5:$W$9,MATCH(ROUNDUP((T$1)/10,0)*10,[1]Hugst!$R$4:$W$4,0))))</f>
        <v>105.34787882369238</v>
      </c>
      <c r="U56">
        <f ca="1">IF($C56-U$1&lt;År1,0,T55*(1-VLOOKUP($A56,[1]Hugst!$R$5:$W$9,MATCH(ROUNDUP((U$1)/10,0)*10,[1]Hugst!$R$4:$W$4,0))))</f>
        <v>105.50080371770207</v>
      </c>
      <c r="V56">
        <f ca="1">IF($C56-V$1&lt;År1,0,U55*(1-VLOOKUP($A56,[1]Hugst!$R$5:$W$9,MATCH(ROUNDUP((V$1)/10,0)*10,[1]Hugst!$R$4:$W$4,0))))</f>
        <v>105.65449707851479</v>
      </c>
      <c r="W56">
        <f ca="1">IF($C56-W$1&lt;År1,0,V55*(1-VLOOKUP($A56,[1]Hugst!$R$5:$W$9,MATCH(ROUNDUP((W$1)/10,0)*10,[1]Hugst!$R$4:$W$4,0))))</f>
        <v>105.80896276777605</v>
      </c>
      <c r="X56">
        <f ca="1">IF($C56-X$1&lt;År1,0,W55*(1-VLOOKUP($A56,[1]Hugst!$R$5:$W$9,MATCH(ROUNDUP((X$1)/10,0)*10,[1]Hugst!$R$4:$W$4,0))))</f>
        <v>105.96420466652819</v>
      </c>
      <c r="Y56">
        <f ca="1">IF($C56-Y$1&lt;År1,0,X55*(1-VLOOKUP($A56,[1]Hugst!$R$5:$W$9,MATCH(ROUNDUP((Y$1)/10,0)*10,[1]Hugst!$R$4:$W$4,0))))</f>
        <v>106.12022667532625</v>
      </c>
      <c r="Z56">
        <f ca="1">IF($C56-Z$1&lt;År1,0,Y55*(1-VLOOKUP($A56,[1]Hugst!$R$5:$W$9,MATCH(ROUNDUP((Z$1)/10,0)*10,[1]Hugst!$R$4:$W$4,0))))</f>
        <v>106.27703271431785</v>
      </c>
      <c r="AA56">
        <f ca="1">IF($C56-AA$1&lt;År1,0,Z55*(1-VLOOKUP($A56,[1]Hugst!$R$5:$W$9,MATCH(ROUNDUP((AA$1)/10,0)*10,[1]Hugst!$R$4:$W$4,0))))</f>
        <v>106.4346267233563</v>
      </c>
      <c r="AB56">
        <f ca="1">IF($C56-AB$1&lt;År1,0,AA55*(1-VLOOKUP($A56,[1]Hugst!$R$5:$W$9,MATCH(ROUNDUP((AB$1)/10,0)*10,[1]Hugst!$R$4:$W$4,0))))</f>
        <v>106.59301266208753</v>
      </c>
      <c r="AC56">
        <f ca="1">IF($C56-AC$1&lt;År1,0,AB55*(1-VLOOKUP($A56,[1]Hugst!$R$5:$W$9,MATCH(ROUNDUP((AC$1)/10,0)*10,[1]Hugst!$R$4:$W$4,0))))</f>
        <v>106.75219451005873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25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28.227828862344154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69.431532566047878</v>
      </c>
      <c r="G57">
        <f ca="1">IF($C57-G$1&lt;År1,0,F56*(1-VLOOKUP($A57,[1]Hugst!$R$5:$W$9,MATCH(ROUNDUP((G$1)/10,0)*10,[1]Hugst!$R$4:$W$4,0))))</f>
        <v>69.573380952291387</v>
      </c>
      <c r="H57">
        <f ca="1">IF($C57-H$1&lt;År1,0,G56*(1-VLOOKUP($A57,[1]Hugst!$R$5:$W$9,MATCH(ROUNDUP((H$1)/10,0)*10,[1]Hugst!$R$4:$W$4,0))))</f>
        <v>69.715942144495131</v>
      </c>
      <c r="I57">
        <f ca="1">IF($C57-I$1&lt;År1,0,H56*(1-VLOOKUP($A57,[1]Hugst!$R$5:$W$9,MATCH(ROUNDUP((I$1)/10,0)*10,[1]Hugst!$R$4:$W$4,0))))</f>
        <v>69.859219724599853</v>
      </c>
      <c r="J57">
        <f ca="1">IF($C57-J$1&lt;År1,0,I56*(1-VLOOKUP($A57,[1]Hugst!$R$5:$W$9,MATCH(ROUNDUP((J$1)/10,0)*10,[1]Hugst!$R$4:$W$4,0))))</f>
        <v>70.003217292543724</v>
      </c>
      <c r="K57">
        <f ca="1">IF($C57-K$1&lt;År1,0,J56*(1-VLOOKUP($A57,[1]Hugst!$R$5:$W$9,MATCH(ROUNDUP((K$1)/10,0)*10,[1]Hugst!$R$4:$W$4,0))))</f>
        <v>70.147938466356578</v>
      </c>
      <c r="L57">
        <f ca="1">IF($C57-L$1&lt;År1,0,K56*(1-VLOOKUP($A57,[1]Hugst!$R$5:$W$9,MATCH(ROUNDUP((L$1)/10,0)*10,[1]Hugst!$R$4:$W$4,0))))</f>
        <v>70.293386882250417</v>
      </c>
      <c r="M57">
        <f ca="1">IF($C57-M$1&lt;År1,0,L56*(1-VLOOKUP($A57,[1]Hugst!$R$5:$W$9,MATCH(ROUNDUP((M$1)/10,0)*10,[1]Hugst!$R$4:$W$4,0))))</f>
        <v>70.439566194704895</v>
      </c>
      <c r="N57">
        <f ca="1">IF($C57-N$1&lt;År1,0,M56*(1-VLOOKUP($A57,[1]Hugst!$R$5:$W$9,MATCH(ROUNDUP((N$1)/10,0)*10,[1]Hugst!$R$4:$W$4,0))))</f>
        <v>70.586480076568961</v>
      </c>
      <c r="O57">
        <f ca="1">IF($C57-O$1&lt;År1,0,N56*(1-VLOOKUP($A57,[1]Hugst!$R$5:$W$9,MATCH(ROUNDUP((O$1)/10,0)*10,[1]Hugst!$R$4:$W$4,0))))</f>
        <v>70.734132219146801</v>
      </c>
      <c r="P57">
        <f ca="1">IF($C57-P$1&lt;År1,0,O56*(1-VLOOKUP($A57,[1]Hugst!$R$5:$W$9,MATCH(ROUNDUP((P$1)/10,0)*10,[1]Hugst!$R$4:$W$4,0))))</f>
        <v>70.882526332289189</v>
      </c>
      <c r="Q57">
        <f ca="1">IF($C57-Q$1&lt;År1,0,P56*(1-VLOOKUP($A57,[1]Hugst!$R$5:$W$9,MATCH(ROUNDUP((Q$1)/10,0)*10,[1]Hugst!$R$4:$W$4,0))))</f>
        <v>71.031666144492959</v>
      </c>
      <c r="R57">
        <f ca="1">IF($C57-R$1&lt;År1,0,Q56*(1-VLOOKUP($A57,[1]Hugst!$R$5:$W$9,MATCH(ROUNDUP((R$1)/10,0)*10,[1]Hugst!$R$4:$W$4,0))))</f>
        <v>71.181555402989858</v>
      </c>
      <c r="S57">
        <f ca="1">IF($C57-S$1&lt;År1,0,R56*(1-VLOOKUP($A57,[1]Hugst!$R$5:$W$9,MATCH(ROUNDUP((S$1)/10,0)*10,[1]Hugst!$R$4:$W$4,0))))</f>
        <v>71.332197873839419</v>
      </c>
      <c r="T57">
        <f ca="1">IF($C57-T$1&lt;År1,0,S56*(1-VLOOKUP($A57,[1]Hugst!$R$5:$W$9,MATCH(ROUNDUP((T$1)/10,0)*10,[1]Hugst!$R$4:$W$4,0))))</f>
        <v>105.19571855415381</v>
      </c>
      <c r="U57">
        <f ca="1">IF($C57-U$1&lt;År1,0,T56*(1-VLOOKUP($A57,[1]Hugst!$R$5:$W$9,MATCH(ROUNDUP((U$1)/10,0)*10,[1]Hugst!$R$4:$W$4,0))))</f>
        <v>105.34787882369238</v>
      </c>
      <c r="V57">
        <f ca="1">IF($C57-V$1&lt;År1,0,U56*(1-VLOOKUP($A57,[1]Hugst!$R$5:$W$9,MATCH(ROUNDUP((V$1)/10,0)*10,[1]Hugst!$R$4:$W$4,0))))</f>
        <v>105.50080371770207</v>
      </c>
      <c r="W57">
        <f ca="1">IF($C57-W$1&lt;År1,0,V56*(1-VLOOKUP($A57,[1]Hugst!$R$5:$W$9,MATCH(ROUNDUP((W$1)/10,0)*10,[1]Hugst!$R$4:$W$4,0))))</f>
        <v>105.65449707851479</v>
      </c>
      <c r="X57">
        <f ca="1">IF($C57-X$1&lt;År1,0,W56*(1-VLOOKUP($A57,[1]Hugst!$R$5:$W$9,MATCH(ROUNDUP((X$1)/10,0)*10,[1]Hugst!$R$4:$W$4,0))))</f>
        <v>105.80896276777605</v>
      </c>
      <c r="Y57">
        <f ca="1">IF($C57-Y$1&lt;År1,0,X56*(1-VLOOKUP($A57,[1]Hugst!$R$5:$W$9,MATCH(ROUNDUP((Y$1)/10,0)*10,[1]Hugst!$R$4:$W$4,0))))</f>
        <v>105.96420466652819</v>
      </c>
      <c r="Z57">
        <f ca="1">IF($C57-Z$1&lt;År1,0,Y56*(1-VLOOKUP($A57,[1]Hugst!$R$5:$W$9,MATCH(ROUNDUP((Z$1)/10,0)*10,[1]Hugst!$R$4:$W$4,0))))</f>
        <v>106.12022667532625</v>
      </c>
      <c r="AA57">
        <f ca="1">IF($C57-AA$1&lt;År1,0,Z56*(1-VLOOKUP($A57,[1]Hugst!$R$5:$W$9,MATCH(ROUNDUP((AA$1)/10,0)*10,[1]Hugst!$R$4:$W$4,0))))</f>
        <v>106.27703271431785</v>
      </c>
      <c r="AB57">
        <f ca="1">IF($C57-AB$1&lt;År1,0,AA56*(1-VLOOKUP($A57,[1]Hugst!$R$5:$W$9,MATCH(ROUNDUP((AB$1)/10,0)*10,[1]Hugst!$R$4:$W$4,0))))</f>
        <v>106.4346267233563</v>
      </c>
      <c r="AC57">
        <f ca="1">IF($C57-AC$1&lt;År1,0,AB56*(1-VLOOKUP($A57,[1]Hugst!$R$5:$W$9,MATCH(ROUNDUP((AC$1)/10,0)*10,[1]Hugst!$R$4:$W$4,0))))</f>
        <v>106.59301266208753</v>
      </c>
      <c r="AD57">
        <f ca="1">IF($C57-AD$1&lt;År1,0,AC56*(1-VLOOKUP($A57,[1]Hugst!$R$5:$W$9,MATCH(ROUNDUP((AD$1)/10,0)*10,[1]Hugst!$R$4:$W$4,0))))</f>
        <v>106.75219451005873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25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28.086689718032744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69.290393421736468</v>
      </c>
      <c r="G58">
        <f ca="1">IF($C58-G$1&lt;År1,0,F57*(1-VLOOKUP($A58,[1]Hugst!$R$5:$W$9,MATCH(ROUNDUP((G$1)/10,0)*10,[1]Hugst!$R$4:$W$4,0))))</f>
        <v>69.431532566047878</v>
      </c>
      <c r="H58">
        <f ca="1">IF($C58-H$1&lt;År1,0,G57*(1-VLOOKUP($A58,[1]Hugst!$R$5:$W$9,MATCH(ROUNDUP((H$1)/10,0)*10,[1]Hugst!$R$4:$W$4,0))))</f>
        <v>69.573380952291387</v>
      </c>
      <c r="I58">
        <f ca="1">IF($C58-I$1&lt;År1,0,H57*(1-VLOOKUP($A58,[1]Hugst!$R$5:$W$9,MATCH(ROUNDUP((I$1)/10,0)*10,[1]Hugst!$R$4:$W$4,0))))</f>
        <v>69.715942144495131</v>
      </c>
      <c r="J58">
        <f ca="1">IF($C58-J$1&lt;År1,0,I57*(1-VLOOKUP($A58,[1]Hugst!$R$5:$W$9,MATCH(ROUNDUP((J$1)/10,0)*10,[1]Hugst!$R$4:$W$4,0))))</f>
        <v>69.859219724599853</v>
      </c>
      <c r="K58">
        <f ca="1">IF($C58-K$1&lt;År1,0,J57*(1-VLOOKUP($A58,[1]Hugst!$R$5:$W$9,MATCH(ROUNDUP((K$1)/10,0)*10,[1]Hugst!$R$4:$W$4,0))))</f>
        <v>70.003217292543724</v>
      </c>
      <c r="L58">
        <f ca="1">IF($C58-L$1&lt;År1,0,K57*(1-VLOOKUP($A58,[1]Hugst!$R$5:$W$9,MATCH(ROUNDUP((L$1)/10,0)*10,[1]Hugst!$R$4:$W$4,0))))</f>
        <v>70.147938466356578</v>
      </c>
      <c r="M58">
        <f ca="1">IF($C58-M$1&lt;År1,0,L57*(1-VLOOKUP($A58,[1]Hugst!$R$5:$W$9,MATCH(ROUNDUP((M$1)/10,0)*10,[1]Hugst!$R$4:$W$4,0))))</f>
        <v>70.293386882250417</v>
      </c>
      <c r="N58">
        <f ca="1">IF($C58-N$1&lt;År1,0,M57*(1-VLOOKUP($A58,[1]Hugst!$R$5:$W$9,MATCH(ROUNDUP((N$1)/10,0)*10,[1]Hugst!$R$4:$W$4,0))))</f>
        <v>70.439566194704895</v>
      </c>
      <c r="O58">
        <f ca="1">IF($C58-O$1&lt;År1,0,N57*(1-VLOOKUP($A58,[1]Hugst!$R$5:$W$9,MATCH(ROUNDUP((O$1)/10,0)*10,[1]Hugst!$R$4:$W$4,0))))</f>
        <v>70.586480076568961</v>
      </c>
      <c r="P58">
        <f ca="1">IF($C58-P$1&lt;År1,0,O57*(1-VLOOKUP($A58,[1]Hugst!$R$5:$W$9,MATCH(ROUNDUP((P$1)/10,0)*10,[1]Hugst!$R$4:$W$4,0))))</f>
        <v>70.734132219146801</v>
      </c>
      <c r="Q58">
        <f ca="1">IF($C58-Q$1&lt;År1,0,P57*(1-VLOOKUP($A58,[1]Hugst!$R$5:$W$9,MATCH(ROUNDUP((Q$1)/10,0)*10,[1]Hugst!$R$4:$W$4,0))))</f>
        <v>70.882526332289189</v>
      </c>
      <c r="R58">
        <f ca="1">IF($C58-R$1&lt;År1,0,Q57*(1-VLOOKUP($A58,[1]Hugst!$R$5:$W$9,MATCH(ROUNDUP((R$1)/10,0)*10,[1]Hugst!$R$4:$W$4,0))))</f>
        <v>71.031666144492959</v>
      </c>
      <c r="S58">
        <f ca="1">IF($C58-S$1&lt;År1,0,R57*(1-VLOOKUP($A58,[1]Hugst!$R$5:$W$9,MATCH(ROUNDUP((S$1)/10,0)*10,[1]Hugst!$R$4:$W$4,0))))</f>
        <v>71.181555402989858</v>
      </c>
      <c r="T58">
        <f ca="1">IF($C58-T$1&lt;År1,0,S57*(1-VLOOKUP($A58,[1]Hugst!$R$5:$W$9,MATCH(ROUNDUP((T$1)/10,0)*10,[1]Hugst!$R$4:$W$4,0))))</f>
        <v>71.332197873839419</v>
      </c>
      <c r="U58">
        <f ca="1">IF($C58-U$1&lt;År1,0,T57*(1-VLOOKUP($A58,[1]Hugst!$R$5:$W$9,MATCH(ROUNDUP((U$1)/10,0)*10,[1]Hugst!$R$4:$W$4,0))))</f>
        <v>105.19571855415381</v>
      </c>
      <c r="V58">
        <f ca="1">IF($C58-V$1&lt;År1,0,U57*(1-VLOOKUP($A58,[1]Hugst!$R$5:$W$9,MATCH(ROUNDUP((V$1)/10,0)*10,[1]Hugst!$R$4:$W$4,0))))</f>
        <v>105.34787882369238</v>
      </c>
      <c r="W58">
        <f ca="1">IF($C58-W$1&lt;År1,0,V57*(1-VLOOKUP($A58,[1]Hugst!$R$5:$W$9,MATCH(ROUNDUP((W$1)/10,0)*10,[1]Hugst!$R$4:$W$4,0))))</f>
        <v>105.50080371770207</v>
      </c>
      <c r="X58">
        <f ca="1">IF($C58-X$1&lt;År1,0,W57*(1-VLOOKUP($A58,[1]Hugst!$R$5:$W$9,MATCH(ROUNDUP((X$1)/10,0)*10,[1]Hugst!$R$4:$W$4,0))))</f>
        <v>105.65449707851479</v>
      </c>
      <c r="Y58">
        <f ca="1">IF($C58-Y$1&lt;År1,0,X57*(1-VLOOKUP($A58,[1]Hugst!$R$5:$W$9,MATCH(ROUNDUP((Y$1)/10,0)*10,[1]Hugst!$R$4:$W$4,0))))</f>
        <v>105.80896276777605</v>
      </c>
      <c r="Z58">
        <f ca="1">IF($C58-Z$1&lt;År1,0,Y57*(1-VLOOKUP($A58,[1]Hugst!$R$5:$W$9,MATCH(ROUNDUP((Z$1)/10,0)*10,[1]Hugst!$R$4:$W$4,0))))</f>
        <v>105.96420466652819</v>
      </c>
      <c r="AA58">
        <f ca="1">IF($C58-AA$1&lt;År1,0,Z57*(1-VLOOKUP($A58,[1]Hugst!$R$5:$W$9,MATCH(ROUNDUP((AA$1)/10,0)*10,[1]Hugst!$R$4:$W$4,0))))</f>
        <v>106.12022667532625</v>
      </c>
      <c r="AB58">
        <f ca="1">IF($C58-AB$1&lt;År1,0,AA57*(1-VLOOKUP($A58,[1]Hugst!$R$5:$W$9,MATCH(ROUNDUP((AB$1)/10,0)*10,[1]Hugst!$R$4:$W$4,0))))</f>
        <v>106.27703271431785</v>
      </c>
      <c r="AC58">
        <f ca="1">IF($C58-AC$1&lt;År1,0,AB57*(1-VLOOKUP($A58,[1]Hugst!$R$5:$W$9,MATCH(ROUNDUP((AC$1)/10,0)*10,[1]Hugst!$R$4:$W$4,0))))</f>
        <v>106.4346267233563</v>
      </c>
      <c r="AD58">
        <f ca="1">IF($C58-AD$1&lt;År1,0,AC57*(1-VLOOKUP($A58,[1]Hugst!$R$5:$W$9,MATCH(ROUNDUP((AD$1)/10,0)*10,[1]Hugst!$R$4:$W$4,0))))</f>
        <v>106.59301266208753</v>
      </c>
      <c r="AE58">
        <f ca="1">IF($C58-AE$1&lt;År1,0,AD57*(1-VLOOKUP($A58,[1]Hugst!$R$5:$W$9,MATCH(ROUNDUP((AE$1)/10,0)*10,[1]Hugst!$R$4:$W$4,0))))</f>
        <v>106.75219451005873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25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27.946256269443325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69.149959973147048</v>
      </c>
      <c r="G59">
        <f ca="1">IF($C59-G$1&lt;År1,0,F58*(1-VLOOKUP($A59,[1]Hugst!$R$5:$W$9,MATCH(ROUNDUP((G$1)/10,0)*10,[1]Hugst!$R$4:$W$4,0))))</f>
        <v>69.290393421736468</v>
      </c>
      <c r="H59">
        <f ca="1">IF($C59-H$1&lt;År1,0,G58*(1-VLOOKUP($A59,[1]Hugst!$R$5:$W$9,MATCH(ROUNDUP((H$1)/10,0)*10,[1]Hugst!$R$4:$W$4,0))))</f>
        <v>69.431532566047878</v>
      </c>
      <c r="I59">
        <f ca="1">IF($C59-I$1&lt;År1,0,H58*(1-VLOOKUP($A59,[1]Hugst!$R$5:$W$9,MATCH(ROUNDUP((I$1)/10,0)*10,[1]Hugst!$R$4:$W$4,0))))</f>
        <v>69.573380952291387</v>
      </c>
      <c r="J59">
        <f ca="1">IF($C59-J$1&lt;År1,0,I58*(1-VLOOKUP($A59,[1]Hugst!$R$5:$W$9,MATCH(ROUNDUP((J$1)/10,0)*10,[1]Hugst!$R$4:$W$4,0))))</f>
        <v>69.715942144495131</v>
      </c>
      <c r="K59">
        <f ca="1">IF($C59-K$1&lt;År1,0,J58*(1-VLOOKUP($A59,[1]Hugst!$R$5:$W$9,MATCH(ROUNDUP((K$1)/10,0)*10,[1]Hugst!$R$4:$W$4,0))))</f>
        <v>69.859219724599853</v>
      </c>
      <c r="L59">
        <f ca="1">IF($C59-L$1&lt;År1,0,K58*(1-VLOOKUP($A59,[1]Hugst!$R$5:$W$9,MATCH(ROUNDUP((L$1)/10,0)*10,[1]Hugst!$R$4:$W$4,0))))</f>
        <v>70.003217292543724</v>
      </c>
      <c r="M59">
        <f ca="1">IF($C59-M$1&lt;År1,0,L58*(1-VLOOKUP($A59,[1]Hugst!$R$5:$W$9,MATCH(ROUNDUP((M$1)/10,0)*10,[1]Hugst!$R$4:$W$4,0))))</f>
        <v>70.147938466356578</v>
      </c>
      <c r="N59">
        <f ca="1">IF($C59-N$1&lt;År1,0,M58*(1-VLOOKUP($A59,[1]Hugst!$R$5:$W$9,MATCH(ROUNDUP((N$1)/10,0)*10,[1]Hugst!$R$4:$W$4,0))))</f>
        <v>70.293386882250417</v>
      </c>
      <c r="O59">
        <f ca="1">IF($C59-O$1&lt;År1,0,N58*(1-VLOOKUP($A59,[1]Hugst!$R$5:$W$9,MATCH(ROUNDUP((O$1)/10,0)*10,[1]Hugst!$R$4:$W$4,0))))</f>
        <v>70.439566194704895</v>
      </c>
      <c r="P59">
        <f ca="1">IF($C59-P$1&lt;År1,0,O58*(1-VLOOKUP($A59,[1]Hugst!$R$5:$W$9,MATCH(ROUNDUP((P$1)/10,0)*10,[1]Hugst!$R$4:$W$4,0))))</f>
        <v>70.586480076568961</v>
      </c>
      <c r="Q59">
        <f ca="1">IF($C59-Q$1&lt;År1,0,P58*(1-VLOOKUP($A59,[1]Hugst!$R$5:$W$9,MATCH(ROUNDUP((Q$1)/10,0)*10,[1]Hugst!$R$4:$W$4,0))))</f>
        <v>70.734132219146801</v>
      </c>
      <c r="R59">
        <f ca="1">IF($C59-R$1&lt;År1,0,Q58*(1-VLOOKUP($A59,[1]Hugst!$R$5:$W$9,MATCH(ROUNDUP((R$1)/10,0)*10,[1]Hugst!$R$4:$W$4,0))))</f>
        <v>70.882526332289189</v>
      </c>
      <c r="S59">
        <f ca="1">IF($C59-S$1&lt;År1,0,R58*(1-VLOOKUP($A59,[1]Hugst!$R$5:$W$9,MATCH(ROUNDUP((S$1)/10,0)*10,[1]Hugst!$R$4:$W$4,0))))</f>
        <v>71.031666144492959</v>
      </c>
      <c r="T59">
        <f ca="1">IF($C59-T$1&lt;År1,0,S58*(1-VLOOKUP($A59,[1]Hugst!$R$5:$W$9,MATCH(ROUNDUP((T$1)/10,0)*10,[1]Hugst!$R$4:$W$4,0))))</f>
        <v>71.181555402989858</v>
      </c>
      <c r="U59">
        <f ca="1">IF($C59-U$1&lt;År1,0,T58*(1-VLOOKUP($A59,[1]Hugst!$R$5:$W$9,MATCH(ROUNDUP((U$1)/10,0)*10,[1]Hugst!$R$4:$W$4,0))))</f>
        <v>71.332197873839419</v>
      </c>
      <c r="V59">
        <f ca="1">IF($C59-V$1&lt;År1,0,U58*(1-VLOOKUP($A59,[1]Hugst!$R$5:$W$9,MATCH(ROUNDUP((V$1)/10,0)*10,[1]Hugst!$R$4:$W$4,0))))</f>
        <v>105.19571855415381</v>
      </c>
      <c r="W59">
        <f ca="1">IF($C59-W$1&lt;År1,0,V58*(1-VLOOKUP($A59,[1]Hugst!$R$5:$W$9,MATCH(ROUNDUP((W$1)/10,0)*10,[1]Hugst!$R$4:$W$4,0))))</f>
        <v>105.34787882369238</v>
      </c>
      <c r="X59">
        <f ca="1">IF($C59-X$1&lt;År1,0,W58*(1-VLOOKUP($A59,[1]Hugst!$R$5:$W$9,MATCH(ROUNDUP((X$1)/10,0)*10,[1]Hugst!$R$4:$W$4,0))))</f>
        <v>105.50080371770207</v>
      </c>
      <c r="Y59">
        <f ca="1">IF($C59-Y$1&lt;År1,0,X58*(1-VLOOKUP($A59,[1]Hugst!$R$5:$W$9,MATCH(ROUNDUP((Y$1)/10,0)*10,[1]Hugst!$R$4:$W$4,0))))</f>
        <v>105.65449707851479</v>
      </c>
      <c r="Z59">
        <f ca="1">IF($C59-Z$1&lt;År1,0,Y58*(1-VLOOKUP($A59,[1]Hugst!$R$5:$W$9,MATCH(ROUNDUP((Z$1)/10,0)*10,[1]Hugst!$R$4:$W$4,0))))</f>
        <v>105.80896276777605</v>
      </c>
      <c r="AA59">
        <f ca="1">IF($C59-AA$1&lt;År1,0,Z58*(1-VLOOKUP($A59,[1]Hugst!$R$5:$W$9,MATCH(ROUNDUP((AA$1)/10,0)*10,[1]Hugst!$R$4:$W$4,0))))</f>
        <v>105.96420466652819</v>
      </c>
      <c r="AB59">
        <f ca="1">IF($C59-AB$1&lt;År1,0,AA58*(1-VLOOKUP($A59,[1]Hugst!$R$5:$W$9,MATCH(ROUNDUP((AB$1)/10,0)*10,[1]Hugst!$R$4:$W$4,0))))</f>
        <v>106.12022667532625</v>
      </c>
      <c r="AC59">
        <f ca="1">IF($C59-AC$1&lt;År1,0,AB58*(1-VLOOKUP($A59,[1]Hugst!$R$5:$W$9,MATCH(ROUNDUP((AC$1)/10,0)*10,[1]Hugst!$R$4:$W$4,0))))</f>
        <v>106.27703271431785</v>
      </c>
      <c r="AD59">
        <f ca="1">IF($C59-AD$1&lt;År1,0,AC58*(1-VLOOKUP($A59,[1]Hugst!$R$5:$W$9,MATCH(ROUNDUP((AD$1)/10,0)*10,[1]Hugst!$R$4:$W$4,0))))</f>
        <v>106.4346267233563</v>
      </c>
      <c r="AE59">
        <f ca="1">IF($C59-AE$1&lt;År1,0,AD58*(1-VLOOKUP($A59,[1]Hugst!$R$5:$W$9,MATCH(ROUNDUP((AE$1)/10,0)*10,[1]Hugst!$R$4:$W$4,0))))</f>
        <v>106.59301266208753</v>
      </c>
      <c r="AF59">
        <f ca="1">IF($C59-AF$1&lt;År1,0,AE58*(1-VLOOKUP($A59,[1]Hugst!$R$5:$W$9,MATCH(ROUNDUP((AF$1)/10,0)*10,[1]Hugst!$R$4:$W$4,0))))</f>
        <v>106.75219451005873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25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27.806524988094225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69.010228691797948</v>
      </c>
      <c r="G60">
        <f ca="1">IF($C60-G$1&lt;År1,0,F59*(1-VLOOKUP($A60,[1]Hugst!$R$5:$W$9,MATCH(ROUNDUP((G$1)/10,0)*10,[1]Hugst!$R$4:$W$4,0))))</f>
        <v>69.149959973147048</v>
      </c>
      <c r="H60">
        <f ca="1">IF($C60-H$1&lt;År1,0,G59*(1-VLOOKUP($A60,[1]Hugst!$R$5:$W$9,MATCH(ROUNDUP((H$1)/10,0)*10,[1]Hugst!$R$4:$W$4,0))))</f>
        <v>69.290393421736468</v>
      </c>
      <c r="I60">
        <f ca="1">IF($C60-I$1&lt;År1,0,H59*(1-VLOOKUP($A60,[1]Hugst!$R$5:$W$9,MATCH(ROUNDUP((I$1)/10,0)*10,[1]Hugst!$R$4:$W$4,0))))</f>
        <v>69.431532566047878</v>
      </c>
      <c r="J60">
        <f ca="1">IF($C60-J$1&lt;År1,0,I59*(1-VLOOKUP($A60,[1]Hugst!$R$5:$W$9,MATCH(ROUNDUP((J$1)/10,0)*10,[1]Hugst!$R$4:$W$4,0))))</f>
        <v>69.573380952291387</v>
      </c>
      <c r="K60">
        <f ca="1">IF($C60-K$1&lt;År1,0,J59*(1-VLOOKUP($A60,[1]Hugst!$R$5:$W$9,MATCH(ROUNDUP((K$1)/10,0)*10,[1]Hugst!$R$4:$W$4,0))))</f>
        <v>69.715942144495131</v>
      </c>
      <c r="L60">
        <f ca="1">IF($C60-L$1&lt;År1,0,K59*(1-VLOOKUP($A60,[1]Hugst!$R$5:$W$9,MATCH(ROUNDUP((L$1)/10,0)*10,[1]Hugst!$R$4:$W$4,0))))</f>
        <v>69.859219724599853</v>
      </c>
      <c r="M60">
        <f ca="1">IF($C60-M$1&lt;År1,0,L59*(1-VLOOKUP($A60,[1]Hugst!$R$5:$W$9,MATCH(ROUNDUP((M$1)/10,0)*10,[1]Hugst!$R$4:$W$4,0))))</f>
        <v>70.003217292543724</v>
      </c>
      <c r="N60">
        <f ca="1">IF($C60-N$1&lt;År1,0,M59*(1-VLOOKUP($A60,[1]Hugst!$R$5:$W$9,MATCH(ROUNDUP((N$1)/10,0)*10,[1]Hugst!$R$4:$W$4,0))))</f>
        <v>70.147938466356578</v>
      </c>
      <c r="O60">
        <f ca="1">IF($C60-O$1&lt;År1,0,N59*(1-VLOOKUP($A60,[1]Hugst!$R$5:$W$9,MATCH(ROUNDUP((O$1)/10,0)*10,[1]Hugst!$R$4:$W$4,0))))</f>
        <v>70.293386882250417</v>
      </c>
      <c r="P60">
        <f ca="1">IF($C60-P$1&lt;År1,0,O59*(1-VLOOKUP($A60,[1]Hugst!$R$5:$W$9,MATCH(ROUNDUP((P$1)/10,0)*10,[1]Hugst!$R$4:$W$4,0))))</f>
        <v>70.439566194704895</v>
      </c>
      <c r="Q60">
        <f ca="1">IF($C60-Q$1&lt;År1,0,P59*(1-VLOOKUP($A60,[1]Hugst!$R$5:$W$9,MATCH(ROUNDUP((Q$1)/10,0)*10,[1]Hugst!$R$4:$W$4,0))))</f>
        <v>70.586480076568961</v>
      </c>
      <c r="R60">
        <f ca="1">IF($C60-R$1&lt;År1,0,Q59*(1-VLOOKUP($A60,[1]Hugst!$R$5:$W$9,MATCH(ROUNDUP((R$1)/10,0)*10,[1]Hugst!$R$4:$W$4,0))))</f>
        <v>70.734132219146801</v>
      </c>
      <c r="S60">
        <f ca="1">IF($C60-S$1&lt;År1,0,R59*(1-VLOOKUP($A60,[1]Hugst!$R$5:$W$9,MATCH(ROUNDUP((S$1)/10,0)*10,[1]Hugst!$R$4:$W$4,0))))</f>
        <v>70.882526332289189</v>
      </c>
      <c r="T60">
        <f ca="1">IF($C60-T$1&lt;År1,0,S59*(1-VLOOKUP($A60,[1]Hugst!$R$5:$W$9,MATCH(ROUNDUP((T$1)/10,0)*10,[1]Hugst!$R$4:$W$4,0))))</f>
        <v>71.031666144492959</v>
      </c>
      <c r="U60">
        <f ca="1">IF($C60-U$1&lt;År1,0,T59*(1-VLOOKUP($A60,[1]Hugst!$R$5:$W$9,MATCH(ROUNDUP((U$1)/10,0)*10,[1]Hugst!$R$4:$W$4,0))))</f>
        <v>71.181555402989858</v>
      </c>
      <c r="V60">
        <f ca="1">IF($C60-V$1&lt;År1,0,U59*(1-VLOOKUP($A60,[1]Hugst!$R$5:$W$9,MATCH(ROUNDUP((V$1)/10,0)*10,[1]Hugst!$R$4:$W$4,0))))</f>
        <v>71.332197873839419</v>
      </c>
      <c r="W60">
        <f ca="1">IF($C60-W$1&lt;År1,0,V59*(1-VLOOKUP($A60,[1]Hugst!$R$5:$W$9,MATCH(ROUNDUP((W$1)/10,0)*10,[1]Hugst!$R$4:$W$4,0))))</f>
        <v>105.19571855415381</v>
      </c>
      <c r="X60">
        <f ca="1">IF($C60-X$1&lt;År1,0,W59*(1-VLOOKUP($A60,[1]Hugst!$R$5:$W$9,MATCH(ROUNDUP((X$1)/10,0)*10,[1]Hugst!$R$4:$W$4,0))))</f>
        <v>105.34787882369238</v>
      </c>
      <c r="Y60">
        <f ca="1">IF($C60-Y$1&lt;År1,0,X59*(1-VLOOKUP($A60,[1]Hugst!$R$5:$W$9,MATCH(ROUNDUP((Y$1)/10,0)*10,[1]Hugst!$R$4:$W$4,0))))</f>
        <v>105.50080371770207</v>
      </c>
      <c r="Z60">
        <f ca="1">IF($C60-Z$1&lt;År1,0,Y59*(1-VLOOKUP($A60,[1]Hugst!$R$5:$W$9,MATCH(ROUNDUP((Z$1)/10,0)*10,[1]Hugst!$R$4:$W$4,0))))</f>
        <v>105.65449707851479</v>
      </c>
      <c r="AA60">
        <f ca="1">IF($C60-AA$1&lt;År1,0,Z59*(1-VLOOKUP($A60,[1]Hugst!$R$5:$W$9,MATCH(ROUNDUP((AA$1)/10,0)*10,[1]Hugst!$R$4:$W$4,0))))</f>
        <v>105.80896276777605</v>
      </c>
      <c r="AB60">
        <f ca="1">IF($C60-AB$1&lt;År1,0,AA59*(1-VLOOKUP($A60,[1]Hugst!$R$5:$W$9,MATCH(ROUNDUP((AB$1)/10,0)*10,[1]Hugst!$R$4:$W$4,0))))</f>
        <v>105.96420466652819</v>
      </c>
      <c r="AC60">
        <f ca="1">IF($C60-AC$1&lt;År1,0,AB59*(1-VLOOKUP($A60,[1]Hugst!$R$5:$W$9,MATCH(ROUNDUP((AC$1)/10,0)*10,[1]Hugst!$R$4:$W$4,0))))</f>
        <v>106.12022667532625</v>
      </c>
      <c r="AD60">
        <f ca="1">IF($C60-AD$1&lt;År1,0,AC59*(1-VLOOKUP($A60,[1]Hugst!$R$5:$W$9,MATCH(ROUNDUP((AD$1)/10,0)*10,[1]Hugst!$R$4:$W$4,0))))</f>
        <v>106.27703271431785</v>
      </c>
      <c r="AE60">
        <f ca="1">IF($C60-AE$1&lt;År1,0,AD59*(1-VLOOKUP($A60,[1]Hugst!$R$5:$W$9,MATCH(ROUNDUP((AE$1)/10,0)*10,[1]Hugst!$R$4:$W$4,0))))</f>
        <v>106.4346267233563</v>
      </c>
      <c r="AF60">
        <f ca="1">IF($C60-AF$1&lt;År1,0,AE59*(1-VLOOKUP($A60,[1]Hugst!$R$5:$W$9,MATCH(ROUNDUP((AF$1)/10,0)*10,[1]Hugst!$R$4:$W$4,0))))</f>
        <v>106.59301266208753</v>
      </c>
      <c r="AG60">
        <f ca="1">IF($C60-AG$1&lt;År1,0,AF59*(1-VLOOKUP($A60,[1]Hugst!$R$5:$W$9,MATCH(ROUNDUP((AG$1)/10,0)*10,[1]Hugst!$R$4:$W$4,0))))</f>
        <v>106.75219451005873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25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27.667492363154452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68.871196066858175</v>
      </c>
      <c r="G61">
        <f ca="1">IF($C61-G$1&lt;År1,0,F60*(1-VLOOKUP($A61,[1]Hugst!$R$5:$W$9,MATCH(ROUNDUP((G$1)/10,0)*10,[1]Hugst!$R$4:$W$4,0))))</f>
        <v>69.010228691797948</v>
      </c>
      <c r="H61">
        <f ca="1">IF($C61-H$1&lt;År1,0,G60*(1-VLOOKUP($A61,[1]Hugst!$R$5:$W$9,MATCH(ROUNDUP((H$1)/10,0)*10,[1]Hugst!$R$4:$W$4,0))))</f>
        <v>69.149959973147048</v>
      </c>
      <c r="I61">
        <f ca="1">IF($C61-I$1&lt;År1,0,H60*(1-VLOOKUP($A61,[1]Hugst!$R$5:$W$9,MATCH(ROUNDUP((I$1)/10,0)*10,[1]Hugst!$R$4:$W$4,0))))</f>
        <v>69.290393421736468</v>
      </c>
      <c r="J61">
        <f ca="1">IF($C61-J$1&lt;År1,0,I60*(1-VLOOKUP($A61,[1]Hugst!$R$5:$W$9,MATCH(ROUNDUP((J$1)/10,0)*10,[1]Hugst!$R$4:$W$4,0))))</f>
        <v>69.431532566047878</v>
      </c>
      <c r="K61">
        <f ca="1">IF($C61-K$1&lt;År1,0,J60*(1-VLOOKUP($A61,[1]Hugst!$R$5:$W$9,MATCH(ROUNDUP((K$1)/10,0)*10,[1]Hugst!$R$4:$W$4,0))))</f>
        <v>69.573380952291387</v>
      </c>
      <c r="L61">
        <f ca="1">IF($C61-L$1&lt;År1,0,K60*(1-VLOOKUP($A61,[1]Hugst!$R$5:$W$9,MATCH(ROUNDUP((L$1)/10,0)*10,[1]Hugst!$R$4:$W$4,0))))</f>
        <v>69.715942144495131</v>
      </c>
      <c r="M61">
        <f ca="1">IF($C61-M$1&lt;År1,0,L60*(1-VLOOKUP($A61,[1]Hugst!$R$5:$W$9,MATCH(ROUNDUP((M$1)/10,0)*10,[1]Hugst!$R$4:$W$4,0))))</f>
        <v>69.859219724599853</v>
      </c>
      <c r="N61">
        <f ca="1">IF($C61-N$1&lt;År1,0,M60*(1-VLOOKUP($A61,[1]Hugst!$R$5:$W$9,MATCH(ROUNDUP((N$1)/10,0)*10,[1]Hugst!$R$4:$W$4,0))))</f>
        <v>70.003217292543724</v>
      </c>
      <c r="O61">
        <f ca="1">IF($C61-O$1&lt;År1,0,N60*(1-VLOOKUP($A61,[1]Hugst!$R$5:$W$9,MATCH(ROUNDUP((O$1)/10,0)*10,[1]Hugst!$R$4:$W$4,0))))</f>
        <v>70.147938466356578</v>
      </c>
      <c r="P61">
        <f ca="1">IF($C61-P$1&lt;År1,0,O60*(1-VLOOKUP($A61,[1]Hugst!$R$5:$W$9,MATCH(ROUNDUP((P$1)/10,0)*10,[1]Hugst!$R$4:$W$4,0))))</f>
        <v>70.293386882250417</v>
      </c>
      <c r="Q61">
        <f ca="1">IF($C61-Q$1&lt;År1,0,P60*(1-VLOOKUP($A61,[1]Hugst!$R$5:$W$9,MATCH(ROUNDUP((Q$1)/10,0)*10,[1]Hugst!$R$4:$W$4,0))))</f>
        <v>70.439566194704895</v>
      </c>
      <c r="R61">
        <f ca="1">IF($C61-R$1&lt;År1,0,Q60*(1-VLOOKUP($A61,[1]Hugst!$R$5:$W$9,MATCH(ROUNDUP((R$1)/10,0)*10,[1]Hugst!$R$4:$W$4,0))))</f>
        <v>70.586480076568961</v>
      </c>
      <c r="S61">
        <f ca="1">IF($C61-S$1&lt;År1,0,R60*(1-VLOOKUP($A61,[1]Hugst!$R$5:$W$9,MATCH(ROUNDUP((S$1)/10,0)*10,[1]Hugst!$R$4:$W$4,0))))</f>
        <v>70.734132219146801</v>
      </c>
      <c r="T61">
        <f ca="1">IF($C61-T$1&lt;År1,0,S60*(1-VLOOKUP($A61,[1]Hugst!$R$5:$W$9,MATCH(ROUNDUP((T$1)/10,0)*10,[1]Hugst!$R$4:$W$4,0))))</f>
        <v>70.882526332289189</v>
      </c>
      <c r="U61">
        <f ca="1">IF($C61-U$1&lt;År1,0,T60*(1-VLOOKUP($A61,[1]Hugst!$R$5:$W$9,MATCH(ROUNDUP((U$1)/10,0)*10,[1]Hugst!$R$4:$W$4,0))))</f>
        <v>71.031666144492959</v>
      </c>
      <c r="V61">
        <f ca="1">IF($C61-V$1&lt;År1,0,U60*(1-VLOOKUP($A61,[1]Hugst!$R$5:$W$9,MATCH(ROUNDUP((V$1)/10,0)*10,[1]Hugst!$R$4:$W$4,0))))</f>
        <v>71.181555402989858</v>
      </c>
      <c r="W61">
        <f ca="1">IF($C61-W$1&lt;År1,0,V60*(1-VLOOKUP($A61,[1]Hugst!$R$5:$W$9,MATCH(ROUNDUP((W$1)/10,0)*10,[1]Hugst!$R$4:$W$4,0))))</f>
        <v>71.332197873839419</v>
      </c>
      <c r="X61">
        <f ca="1">IF($C61-X$1&lt;År1,0,W60*(1-VLOOKUP($A61,[1]Hugst!$R$5:$W$9,MATCH(ROUNDUP((X$1)/10,0)*10,[1]Hugst!$R$4:$W$4,0))))</f>
        <v>105.19571855415381</v>
      </c>
      <c r="Y61">
        <f ca="1">IF($C61-Y$1&lt;År1,0,X60*(1-VLOOKUP($A61,[1]Hugst!$R$5:$W$9,MATCH(ROUNDUP((Y$1)/10,0)*10,[1]Hugst!$R$4:$W$4,0))))</f>
        <v>105.34787882369238</v>
      </c>
      <c r="Z61">
        <f ca="1">IF($C61-Z$1&lt;År1,0,Y60*(1-VLOOKUP($A61,[1]Hugst!$R$5:$W$9,MATCH(ROUNDUP((Z$1)/10,0)*10,[1]Hugst!$R$4:$W$4,0))))</f>
        <v>105.50080371770207</v>
      </c>
      <c r="AA61">
        <f ca="1">IF($C61-AA$1&lt;År1,0,Z60*(1-VLOOKUP($A61,[1]Hugst!$R$5:$W$9,MATCH(ROUNDUP((AA$1)/10,0)*10,[1]Hugst!$R$4:$W$4,0))))</f>
        <v>105.65449707851479</v>
      </c>
      <c r="AB61">
        <f ca="1">IF($C61-AB$1&lt;År1,0,AA60*(1-VLOOKUP($A61,[1]Hugst!$R$5:$W$9,MATCH(ROUNDUP((AB$1)/10,0)*10,[1]Hugst!$R$4:$W$4,0))))</f>
        <v>105.80896276777605</v>
      </c>
      <c r="AC61">
        <f ca="1">IF($C61-AC$1&lt;År1,0,AB60*(1-VLOOKUP($A61,[1]Hugst!$R$5:$W$9,MATCH(ROUNDUP((AC$1)/10,0)*10,[1]Hugst!$R$4:$W$4,0))))</f>
        <v>105.96420466652819</v>
      </c>
      <c r="AD61">
        <f ca="1">IF($C61-AD$1&lt;År1,0,AC60*(1-VLOOKUP($A61,[1]Hugst!$R$5:$W$9,MATCH(ROUNDUP((AD$1)/10,0)*10,[1]Hugst!$R$4:$W$4,0))))</f>
        <v>106.12022667532625</v>
      </c>
      <c r="AE61">
        <f ca="1">IF($C61-AE$1&lt;År1,0,AD60*(1-VLOOKUP($A61,[1]Hugst!$R$5:$W$9,MATCH(ROUNDUP((AE$1)/10,0)*10,[1]Hugst!$R$4:$W$4,0))))</f>
        <v>106.27703271431785</v>
      </c>
      <c r="AF61">
        <f ca="1">IF($C61-AF$1&lt;År1,0,AE60*(1-VLOOKUP($A61,[1]Hugst!$R$5:$W$9,MATCH(ROUNDUP((AF$1)/10,0)*10,[1]Hugst!$R$4:$W$4,0))))</f>
        <v>106.4346267233563</v>
      </c>
      <c r="AG61">
        <f ca="1">IF($C61-AG$1&lt;År1,0,AF60*(1-VLOOKUP($A61,[1]Hugst!$R$5:$W$9,MATCH(ROUNDUP((AG$1)/10,0)*10,[1]Hugst!$R$4:$W$4,0))))</f>
        <v>106.59301266208753</v>
      </c>
      <c r="AH61">
        <f ca="1">IF($C61-AH$1&lt;År1,0,AG60*(1-VLOOKUP($A61,[1]Hugst!$R$5:$W$9,MATCH(ROUNDUP((AH$1)/10,0)*10,[1]Hugst!$R$4:$W$4,0))))</f>
        <v>106.75219451005873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25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27.529154901339666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68.73285860504339</v>
      </c>
      <c r="G62">
        <f ca="1">IF($C62-G$1&lt;År1,0,F61*(1-VLOOKUP($A62,[1]Hugst!$R$5:$W$9,MATCH(ROUNDUP((G$1)/10,0)*10,[1]Hugst!$R$4:$W$4,0))))</f>
        <v>68.871196066858175</v>
      </c>
      <c r="H62">
        <f ca="1">IF($C62-H$1&lt;År1,0,G61*(1-VLOOKUP($A62,[1]Hugst!$R$5:$W$9,MATCH(ROUNDUP((H$1)/10,0)*10,[1]Hugst!$R$4:$W$4,0))))</f>
        <v>69.010228691797948</v>
      </c>
      <c r="I62">
        <f ca="1">IF($C62-I$1&lt;År1,0,H61*(1-VLOOKUP($A62,[1]Hugst!$R$5:$W$9,MATCH(ROUNDUP((I$1)/10,0)*10,[1]Hugst!$R$4:$W$4,0))))</f>
        <v>69.149959973147048</v>
      </c>
      <c r="J62">
        <f ca="1">IF($C62-J$1&lt;År1,0,I61*(1-VLOOKUP($A62,[1]Hugst!$R$5:$W$9,MATCH(ROUNDUP((J$1)/10,0)*10,[1]Hugst!$R$4:$W$4,0))))</f>
        <v>69.290393421736468</v>
      </c>
      <c r="K62">
        <f ca="1">IF($C62-K$1&lt;År1,0,J61*(1-VLOOKUP($A62,[1]Hugst!$R$5:$W$9,MATCH(ROUNDUP((K$1)/10,0)*10,[1]Hugst!$R$4:$W$4,0))))</f>
        <v>69.431532566047878</v>
      </c>
      <c r="L62">
        <f ca="1">IF($C62-L$1&lt;År1,0,K61*(1-VLOOKUP($A62,[1]Hugst!$R$5:$W$9,MATCH(ROUNDUP((L$1)/10,0)*10,[1]Hugst!$R$4:$W$4,0))))</f>
        <v>69.573380952291387</v>
      </c>
      <c r="M62">
        <f ca="1">IF($C62-M$1&lt;År1,0,L61*(1-VLOOKUP($A62,[1]Hugst!$R$5:$W$9,MATCH(ROUNDUP((M$1)/10,0)*10,[1]Hugst!$R$4:$W$4,0))))</f>
        <v>69.715942144495131</v>
      </c>
      <c r="N62">
        <f ca="1">IF($C62-N$1&lt;År1,0,M61*(1-VLOOKUP($A62,[1]Hugst!$R$5:$W$9,MATCH(ROUNDUP((N$1)/10,0)*10,[1]Hugst!$R$4:$W$4,0))))</f>
        <v>69.859219724599853</v>
      </c>
      <c r="O62">
        <f ca="1">IF($C62-O$1&lt;År1,0,N61*(1-VLOOKUP($A62,[1]Hugst!$R$5:$W$9,MATCH(ROUNDUP((O$1)/10,0)*10,[1]Hugst!$R$4:$W$4,0))))</f>
        <v>70.003217292543724</v>
      </c>
      <c r="P62">
        <f ca="1">IF($C62-P$1&lt;År1,0,O61*(1-VLOOKUP($A62,[1]Hugst!$R$5:$W$9,MATCH(ROUNDUP((P$1)/10,0)*10,[1]Hugst!$R$4:$W$4,0))))</f>
        <v>70.147938466356578</v>
      </c>
      <c r="Q62">
        <f ca="1">IF($C62-Q$1&lt;År1,0,P61*(1-VLOOKUP($A62,[1]Hugst!$R$5:$W$9,MATCH(ROUNDUP((Q$1)/10,0)*10,[1]Hugst!$R$4:$W$4,0))))</f>
        <v>70.293386882250417</v>
      </c>
      <c r="R62">
        <f ca="1">IF($C62-R$1&lt;År1,0,Q61*(1-VLOOKUP($A62,[1]Hugst!$R$5:$W$9,MATCH(ROUNDUP((R$1)/10,0)*10,[1]Hugst!$R$4:$W$4,0))))</f>
        <v>70.439566194704895</v>
      </c>
      <c r="S62">
        <f ca="1">IF($C62-S$1&lt;År1,0,R61*(1-VLOOKUP($A62,[1]Hugst!$R$5:$W$9,MATCH(ROUNDUP((S$1)/10,0)*10,[1]Hugst!$R$4:$W$4,0))))</f>
        <v>70.586480076568961</v>
      </c>
      <c r="T62">
        <f ca="1">IF($C62-T$1&lt;År1,0,S61*(1-VLOOKUP($A62,[1]Hugst!$R$5:$W$9,MATCH(ROUNDUP((T$1)/10,0)*10,[1]Hugst!$R$4:$W$4,0))))</f>
        <v>70.734132219146801</v>
      </c>
      <c r="U62">
        <f ca="1">IF($C62-U$1&lt;År1,0,T61*(1-VLOOKUP($A62,[1]Hugst!$R$5:$W$9,MATCH(ROUNDUP((U$1)/10,0)*10,[1]Hugst!$R$4:$W$4,0))))</f>
        <v>70.882526332289189</v>
      </c>
      <c r="V62">
        <f ca="1">IF($C62-V$1&lt;År1,0,U61*(1-VLOOKUP($A62,[1]Hugst!$R$5:$W$9,MATCH(ROUNDUP((V$1)/10,0)*10,[1]Hugst!$R$4:$W$4,0))))</f>
        <v>71.031666144492959</v>
      </c>
      <c r="W62">
        <f ca="1">IF($C62-W$1&lt;År1,0,V61*(1-VLOOKUP($A62,[1]Hugst!$R$5:$W$9,MATCH(ROUNDUP((W$1)/10,0)*10,[1]Hugst!$R$4:$W$4,0))))</f>
        <v>71.181555402989858</v>
      </c>
      <c r="X62">
        <f ca="1">IF($C62-X$1&lt;År1,0,W61*(1-VLOOKUP($A62,[1]Hugst!$R$5:$W$9,MATCH(ROUNDUP((X$1)/10,0)*10,[1]Hugst!$R$4:$W$4,0))))</f>
        <v>71.332197873839419</v>
      </c>
      <c r="Y62">
        <f ca="1">IF($C62-Y$1&lt;År1,0,X61*(1-VLOOKUP($A62,[1]Hugst!$R$5:$W$9,MATCH(ROUNDUP((Y$1)/10,0)*10,[1]Hugst!$R$4:$W$4,0))))</f>
        <v>105.19571855415381</v>
      </c>
      <c r="Z62">
        <f ca="1">IF($C62-Z$1&lt;År1,0,Y61*(1-VLOOKUP($A62,[1]Hugst!$R$5:$W$9,MATCH(ROUNDUP((Z$1)/10,0)*10,[1]Hugst!$R$4:$W$4,0))))</f>
        <v>105.34787882369238</v>
      </c>
      <c r="AA62">
        <f ca="1">IF($C62-AA$1&lt;År1,0,Z61*(1-VLOOKUP($A62,[1]Hugst!$R$5:$W$9,MATCH(ROUNDUP((AA$1)/10,0)*10,[1]Hugst!$R$4:$W$4,0))))</f>
        <v>105.50080371770207</v>
      </c>
      <c r="AB62">
        <f ca="1">IF($C62-AB$1&lt;År1,0,AA61*(1-VLOOKUP($A62,[1]Hugst!$R$5:$W$9,MATCH(ROUNDUP((AB$1)/10,0)*10,[1]Hugst!$R$4:$W$4,0))))</f>
        <v>105.65449707851479</v>
      </c>
      <c r="AC62">
        <f ca="1">IF($C62-AC$1&lt;År1,0,AB61*(1-VLOOKUP($A62,[1]Hugst!$R$5:$W$9,MATCH(ROUNDUP((AC$1)/10,0)*10,[1]Hugst!$R$4:$W$4,0))))</f>
        <v>105.80896276777605</v>
      </c>
      <c r="AD62">
        <f ca="1">IF($C62-AD$1&lt;År1,0,AC61*(1-VLOOKUP($A62,[1]Hugst!$R$5:$W$9,MATCH(ROUNDUP((AD$1)/10,0)*10,[1]Hugst!$R$4:$W$4,0))))</f>
        <v>105.96420466652819</v>
      </c>
      <c r="AE62">
        <f ca="1">IF($C62-AE$1&lt;År1,0,AD61*(1-VLOOKUP($A62,[1]Hugst!$R$5:$W$9,MATCH(ROUNDUP((AE$1)/10,0)*10,[1]Hugst!$R$4:$W$4,0))))</f>
        <v>106.12022667532625</v>
      </c>
      <c r="AF62">
        <f ca="1">IF($C62-AF$1&lt;År1,0,AE61*(1-VLOOKUP($A62,[1]Hugst!$R$5:$W$9,MATCH(ROUNDUP((AF$1)/10,0)*10,[1]Hugst!$R$4:$W$4,0))))</f>
        <v>106.27703271431785</v>
      </c>
      <c r="AG62">
        <f ca="1">IF($C62-AG$1&lt;År1,0,AF61*(1-VLOOKUP($A62,[1]Hugst!$R$5:$W$9,MATCH(ROUNDUP((AG$1)/10,0)*10,[1]Hugst!$R$4:$W$4,0))))</f>
        <v>106.4346267233563</v>
      </c>
      <c r="AH62">
        <f ca="1">IF($C62-AH$1&lt;År1,0,AG61*(1-VLOOKUP($A62,[1]Hugst!$R$5:$W$9,MATCH(ROUNDUP((AH$1)/10,0)*10,[1]Hugst!$R$4:$W$4,0))))</f>
        <v>106.59301266208753</v>
      </c>
      <c r="AI62">
        <f ca="1">IF($C62-AI$1&lt;År1,0,AH61*(1-VLOOKUP($A62,[1]Hugst!$R$5:$W$9,MATCH(ROUNDUP((AI$1)/10,0)*10,[1]Hugst!$R$4:$W$4,0))))</f>
        <v>106.75219451005873</v>
      </c>
      <c r="AJ62">
        <f>IF($C62-AJ$1&lt;År1,0,AI61*(1-VLOOKUP($A62,[1]Hugst!$R$5:$W$9,MATCH(ROUNDUP((AJ$1)/10,0)*10,[1]Hugst!$R$4:$W$4,0))))</f>
        <v>0</v>
      </c>
    </row>
    <row r="63" spans="1:38" x14ac:dyDescent="0.25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27.391509126832602</v>
      </c>
      <c r="E63">
        <f t="shared" ca="1" si="0"/>
        <v>0.35205510955438513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68.947267940090711</v>
      </c>
      <c r="G63">
        <f ca="1">IF($C63-G$1&lt;År1,0,F62*(1-VLOOKUP($A63,[1]Hugst!$R$5:$W$9,MATCH(ROUNDUP((G$1)/10,0)*10,[1]Hugst!$R$4:$W$4,0))))</f>
        <v>68.73285860504339</v>
      </c>
      <c r="H63">
        <f ca="1">IF($C63-H$1&lt;År1,0,G62*(1-VLOOKUP($A63,[1]Hugst!$R$5:$W$9,MATCH(ROUNDUP((H$1)/10,0)*10,[1]Hugst!$R$4:$W$4,0))))</f>
        <v>68.871196066858175</v>
      </c>
      <c r="I63">
        <f ca="1">IF($C63-I$1&lt;År1,0,H62*(1-VLOOKUP($A63,[1]Hugst!$R$5:$W$9,MATCH(ROUNDUP((I$1)/10,0)*10,[1]Hugst!$R$4:$W$4,0))))</f>
        <v>69.010228691797948</v>
      </c>
      <c r="J63">
        <f ca="1">IF($C63-J$1&lt;År1,0,I62*(1-VLOOKUP($A63,[1]Hugst!$R$5:$W$9,MATCH(ROUNDUP((J$1)/10,0)*10,[1]Hugst!$R$4:$W$4,0))))</f>
        <v>69.149959973147048</v>
      </c>
      <c r="K63">
        <f ca="1">IF($C63-K$1&lt;År1,0,J62*(1-VLOOKUP($A63,[1]Hugst!$R$5:$W$9,MATCH(ROUNDUP((K$1)/10,0)*10,[1]Hugst!$R$4:$W$4,0))))</f>
        <v>69.290393421736468</v>
      </c>
      <c r="L63">
        <f ca="1">IF($C63-L$1&lt;År1,0,K62*(1-VLOOKUP($A63,[1]Hugst!$R$5:$W$9,MATCH(ROUNDUP((L$1)/10,0)*10,[1]Hugst!$R$4:$W$4,0))))</f>
        <v>69.431532566047878</v>
      </c>
      <c r="M63">
        <f ca="1">IF($C63-M$1&lt;År1,0,L62*(1-VLOOKUP($A63,[1]Hugst!$R$5:$W$9,MATCH(ROUNDUP((M$1)/10,0)*10,[1]Hugst!$R$4:$W$4,0))))</f>
        <v>69.573380952291387</v>
      </c>
      <c r="N63">
        <f ca="1">IF($C63-N$1&lt;År1,0,M62*(1-VLOOKUP($A63,[1]Hugst!$R$5:$W$9,MATCH(ROUNDUP((N$1)/10,0)*10,[1]Hugst!$R$4:$W$4,0))))</f>
        <v>69.715942144495131</v>
      </c>
      <c r="O63">
        <f ca="1">IF($C63-O$1&lt;År1,0,N62*(1-VLOOKUP($A63,[1]Hugst!$R$5:$W$9,MATCH(ROUNDUP((O$1)/10,0)*10,[1]Hugst!$R$4:$W$4,0))))</f>
        <v>69.859219724599853</v>
      </c>
      <c r="P63">
        <f ca="1">IF($C63-P$1&lt;År1,0,O62*(1-VLOOKUP($A63,[1]Hugst!$R$5:$W$9,MATCH(ROUNDUP((P$1)/10,0)*10,[1]Hugst!$R$4:$W$4,0))))</f>
        <v>70.003217292543724</v>
      </c>
      <c r="Q63">
        <f ca="1">IF($C63-Q$1&lt;År1,0,P62*(1-VLOOKUP($A63,[1]Hugst!$R$5:$W$9,MATCH(ROUNDUP((Q$1)/10,0)*10,[1]Hugst!$R$4:$W$4,0))))</f>
        <v>70.147938466356578</v>
      </c>
      <c r="R63">
        <f ca="1">IF($C63-R$1&lt;År1,0,Q62*(1-VLOOKUP($A63,[1]Hugst!$R$5:$W$9,MATCH(ROUNDUP((R$1)/10,0)*10,[1]Hugst!$R$4:$W$4,0))))</f>
        <v>70.293386882250417</v>
      </c>
      <c r="S63">
        <f ca="1">IF($C63-S$1&lt;År1,0,R62*(1-VLOOKUP($A63,[1]Hugst!$R$5:$W$9,MATCH(ROUNDUP((S$1)/10,0)*10,[1]Hugst!$R$4:$W$4,0))))</f>
        <v>70.439566194704895</v>
      </c>
      <c r="T63">
        <f ca="1">IF($C63-T$1&lt;År1,0,S62*(1-VLOOKUP($A63,[1]Hugst!$R$5:$W$9,MATCH(ROUNDUP((T$1)/10,0)*10,[1]Hugst!$R$4:$W$4,0))))</f>
        <v>70.586480076568961</v>
      </c>
      <c r="U63">
        <f ca="1">IF($C63-U$1&lt;År1,0,T62*(1-VLOOKUP($A63,[1]Hugst!$R$5:$W$9,MATCH(ROUNDUP((U$1)/10,0)*10,[1]Hugst!$R$4:$W$4,0))))</f>
        <v>70.734132219146801</v>
      </c>
      <c r="V63">
        <f ca="1">IF($C63-V$1&lt;År1,0,U62*(1-VLOOKUP($A63,[1]Hugst!$R$5:$W$9,MATCH(ROUNDUP((V$1)/10,0)*10,[1]Hugst!$R$4:$W$4,0))))</f>
        <v>70.882526332289189</v>
      </c>
      <c r="W63">
        <f ca="1">IF($C63-W$1&lt;År1,0,V62*(1-VLOOKUP($A63,[1]Hugst!$R$5:$W$9,MATCH(ROUNDUP((W$1)/10,0)*10,[1]Hugst!$R$4:$W$4,0))))</f>
        <v>71.031666144492959</v>
      </c>
      <c r="X63">
        <f ca="1">IF($C63-X$1&lt;År1,0,W62*(1-VLOOKUP($A63,[1]Hugst!$R$5:$W$9,MATCH(ROUNDUP((X$1)/10,0)*10,[1]Hugst!$R$4:$W$4,0))))</f>
        <v>71.181555402989858</v>
      </c>
      <c r="Y63">
        <f ca="1">IF($C63-Y$1&lt;År1,0,X62*(1-VLOOKUP($A63,[1]Hugst!$R$5:$W$9,MATCH(ROUNDUP((Y$1)/10,0)*10,[1]Hugst!$R$4:$W$4,0))))</f>
        <v>71.332197873839419</v>
      </c>
      <c r="Z63">
        <f ca="1">IF($C63-Z$1&lt;År1,0,Y62*(1-VLOOKUP($A63,[1]Hugst!$R$5:$W$9,MATCH(ROUNDUP((Z$1)/10,0)*10,[1]Hugst!$R$4:$W$4,0))))</f>
        <v>105.19571855415381</v>
      </c>
      <c r="AA63">
        <f ca="1">IF($C63-AA$1&lt;År1,0,Z62*(1-VLOOKUP($A63,[1]Hugst!$R$5:$W$9,MATCH(ROUNDUP((AA$1)/10,0)*10,[1]Hugst!$R$4:$W$4,0))))</f>
        <v>105.34787882369238</v>
      </c>
      <c r="AB63">
        <f ca="1">IF($C63-AB$1&lt;År1,0,AA62*(1-VLOOKUP($A63,[1]Hugst!$R$5:$W$9,MATCH(ROUNDUP((AB$1)/10,0)*10,[1]Hugst!$R$4:$W$4,0))))</f>
        <v>105.50080371770207</v>
      </c>
      <c r="AC63">
        <f ca="1">IF($C63-AC$1&lt;År1,0,AB62*(1-VLOOKUP($A63,[1]Hugst!$R$5:$W$9,MATCH(ROUNDUP((AC$1)/10,0)*10,[1]Hugst!$R$4:$W$4,0))))</f>
        <v>105.65449707851479</v>
      </c>
      <c r="AD63">
        <f ca="1">IF($C63-AD$1&lt;År1,0,AC62*(1-VLOOKUP($A63,[1]Hugst!$R$5:$W$9,MATCH(ROUNDUP((AD$1)/10,0)*10,[1]Hugst!$R$4:$W$4,0))))</f>
        <v>105.80896276777605</v>
      </c>
      <c r="AE63">
        <f ca="1">IF($C63-AE$1&lt;År1,0,AD62*(1-VLOOKUP($A63,[1]Hugst!$R$5:$W$9,MATCH(ROUNDUP((AE$1)/10,0)*10,[1]Hugst!$R$4:$W$4,0))))</f>
        <v>105.96420466652819</v>
      </c>
      <c r="AF63">
        <f ca="1">IF($C63-AF$1&lt;År1,0,AE62*(1-VLOOKUP($A63,[1]Hugst!$R$5:$W$9,MATCH(ROUNDUP((AF$1)/10,0)*10,[1]Hugst!$R$4:$W$4,0))))</f>
        <v>106.12022667532625</v>
      </c>
      <c r="AG63">
        <f ca="1">IF($C63-AG$1&lt;År1,0,AF62*(1-VLOOKUP($A63,[1]Hugst!$R$5:$W$9,MATCH(ROUNDUP((AG$1)/10,0)*10,[1]Hugst!$R$4:$W$4,0))))</f>
        <v>106.27703271431785</v>
      </c>
      <c r="AH63">
        <f ca="1">IF($C63-AH$1&lt;År1,0,AG62*(1-VLOOKUP($A63,[1]Hugst!$R$5:$W$9,MATCH(ROUNDUP((AH$1)/10,0)*10,[1]Hugst!$R$4:$W$4,0))))</f>
        <v>106.4346267233563</v>
      </c>
      <c r="AI63">
        <f ca="1">IF($C63-AI$1&lt;År1,0,AH62*(1-VLOOKUP($A63,[1]Hugst!$R$5:$W$9,MATCH(ROUNDUP((AI$1)/10,0)*10,[1]Hugst!$R$4:$W$4,0))))</f>
        <v>106.59301266208753</v>
      </c>
      <c r="AJ63">
        <f ca="1">IF($C63-AJ$1&lt;År1,0,AI62*(1-VLOOKUP($A63,[1]Hugst!$R$5:$W$9,MATCH(ROUNDUP((AJ$1)/10,0)*10,[1]Hugst!$R$4:$W$4,0))))</f>
        <v>106.40013940050427</v>
      </c>
      <c r="AL63">
        <f ca="1">SUM(F63:AJ63)</f>
        <v>2564.51175075525</v>
      </c>
    </row>
    <row r="64" spans="1:38" x14ac:dyDescent="0.25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978.89517365189681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5418.2891130458347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25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974.00069778361353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5413.3946371775519</v>
      </c>
      <c r="G65">
        <f ca="1">IF($C65-G$1&lt;År1,0,F64*(1-VLOOKUP($A65,[1]Hugst!$R$5:$W$9,MATCH(ROUNDUP((G$1)/10,0)*10,[1]Hugst!$R$4:$W$4,0))))</f>
        <v>5418.2891130458347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25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969.13069429472398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5408.5246336886621</v>
      </c>
      <c r="G66">
        <f ca="1">IF($C66-G$1&lt;År1,0,F65*(1-VLOOKUP($A66,[1]Hugst!$R$5:$W$9,MATCH(ROUNDUP((G$1)/10,0)*10,[1]Hugst!$R$4:$W$4,0))))</f>
        <v>5413.3946371775519</v>
      </c>
      <c r="H66">
        <f ca="1">IF($C66-H$1&lt;År1,0,G65*(1-VLOOKUP($A66,[1]Hugst!$R$5:$W$9,MATCH(ROUNDUP((H$1)/10,0)*10,[1]Hugst!$R$4:$W$4,0))))</f>
        <v>5418.2891130458347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25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964.2850408232448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5403.6789802171825</v>
      </c>
      <c r="G67">
        <f ca="1">IF($C67-G$1&lt;År1,0,F66*(1-VLOOKUP($A67,[1]Hugst!$R$5:$W$9,MATCH(ROUNDUP((G$1)/10,0)*10,[1]Hugst!$R$4:$W$4,0))))</f>
        <v>5408.5246336886621</v>
      </c>
      <c r="H67">
        <f ca="1">IF($C67-H$1&lt;År1,0,G66*(1-VLOOKUP($A67,[1]Hugst!$R$5:$W$9,MATCH(ROUNDUP((H$1)/10,0)*10,[1]Hugst!$R$4:$W$4,0))))</f>
        <v>5413.3946371775519</v>
      </c>
      <c r="I67">
        <f ca="1">IF($C67-I$1&lt;År1,0,H66*(1-VLOOKUP($A67,[1]Hugst!$R$5:$W$9,MATCH(ROUNDUP((I$1)/10,0)*10,[1]Hugst!$R$4:$W$4,0))))</f>
        <v>5418.2891130458347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25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959.46361561912681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5398.8575550130645</v>
      </c>
      <c r="G68">
        <f ca="1">IF($C68-G$1&lt;År1,0,F67*(1-VLOOKUP($A68,[1]Hugst!$R$5:$W$9,MATCH(ROUNDUP((G$1)/10,0)*10,[1]Hugst!$R$4:$W$4,0))))</f>
        <v>5403.6789802171825</v>
      </c>
      <c r="H68">
        <f ca="1">IF($C68-H$1&lt;År1,0,G67*(1-VLOOKUP($A68,[1]Hugst!$R$5:$W$9,MATCH(ROUNDUP((H$1)/10,0)*10,[1]Hugst!$R$4:$W$4,0))))</f>
        <v>5408.5246336886621</v>
      </c>
      <c r="I68">
        <f ca="1">IF($C68-I$1&lt;År1,0,H67*(1-VLOOKUP($A68,[1]Hugst!$R$5:$W$9,MATCH(ROUNDUP((I$1)/10,0)*10,[1]Hugst!$R$4:$W$4,0))))</f>
        <v>5413.3946371775519</v>
      </c>
      <c r="J68">
        <f ca="1">IF($C68-J$1&lt;År1,0,I67*(1-VLOOKUP($A68,[1]Hugst!$R$5:$W$9,MATCH(ROUNDUP((J$1)/10,0)*10,[1]Hugst!$R$4:$W$4,0))))</f>
        <v>5418.2891130458347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25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954.66629754102632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5394.0602369349645</v>
      </c>
      <c r="G69">
        <f ca="1">IF($C69-G$1&lt;År1,0,F68*(1-VLOOKUP($A69,[1]Hugst!$R$5:$W$9,MATCH(ROUNDUP((G$1)/10,0)*10,[1]Hugst!$R$4:$W$4,0))))</f>
        <v>5398.8575550130645</v>
      </c>
      <c r="H69">
        <f ca="1">IF($C69-H$1&lt;År1,0,G68*(1-VLOOKUP($A69,[1]Hugst!$R$5:$W$9,MATCH(ROUNDUP((H$1)/10,0)*10,[1]Hugst!$R$4:$W$4,0))))</f>
        <v>5403.6789802171825</v>
      </c>
      <c r="I69">
        <f ca="1">IF($C69-I$1&lt;År1,0,H68*(1-VLOOKUP($A69,[1]Hugst!$R$5:$W$9,MATCH(ROUNDUP((I$1)/10,0)*10,[1]Hugst!$R$4:$W$4,0))))</f>
        <v>5408.5246336886621</v>
      </c>
      <c r="J69">
        <f ca="1">IF($C69-J$1&lt;År1,0,I68*(1-VLOOKUP($A69,[1]Hugst!$R$5:$W$9,MATCH(ROUNDUP((J$1)/10,0)*10,[1]Hugst!$R$4:$W$4,0))))</f>
        <v>5413.3946371775519</v>
      </c>
      <c r="K69">
        <f ca="1">IF($C69-K$1&lt;År1,0,J68*(1-VLOOKUP($A69,[1]Hugst!$R$5:$W$9,MATCH(ROUNDUP((K$1)/10,0)*10,[1]Hugst!$R$4:$W$4,0))))</f>
        <v>5418.2891130458347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25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949.89296605332584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5389.286905447264</v>
      </c>
      <c r="G70">
        <f ca="1">IF($C70-G$1&lt;År1,0,F69*(1-VLOOKUP($A70,[1]Hugst!$R$5:$W$9,MATCH(ROUNDUP((G$1)/10,0)*10,[1]Hugst!$R$4:$W$4,0))))</f>
        <v>5394.0602369349645</v>
      </c>
      <c r="H70">
        <f ca="1">IF($C70-H$1&lt;År1,0,G69*(1-VLOOKUP($A70,[1]Hugst!$R$5:$W$9,MATCH(ROUNDUP((H$1)/10,0)*10,[1]Hugst!$R$4:$W$4,0))))</f>
        <v>5398.8575550130645</v>
      </c>
      <c r="I70">
        <f ca="1">IF($C70-I$1&lt;År1,0,H69*(1-VLOOKUP($A70,[1]Hugst!$R$5:$W$9,MATCH(ROUNDUP((I$1)/10,0)*10,[1]Hugst!$R$4:$W$4,0))))</f>
        <v>5403.6789802171825</v>
      </c>
      <c r="J70">
        <f ca="1">IF($C70-J$1&lt;År1,0,I69*(1-VLOOKUP($A70,[1]Hugst!$R$5:$W$9,MATCH(ROUNDUP((J$1)/10,0)*10,[1]Hugst!$R$4:$W$4,0))))</f>
        <v>5408.5246336886621</v>
      </c>
      <c r="K70">
        <f ca="1">IF($C70-K$1&lt;År1,0,J69*(1-VLOOKUP($A70,[1]Hugst!$R$5:$W$9,MATCH(ROUNDUP((K$1)/10,0)*10,[1]Hugst!$R$4:$W$4,0))))</f>
        <v>5413.3946371775519</v>
      </c>
      <c r="L70">
        <f ca="1">IF($C70-L$1&lt;År1,0,K69*(1-VLOOKUP($A70,[1]Hugst!$R$5:$W$9,MATCH(ROUNDUP((L$1)/10,0)*10,[1]Hugst!$R$4:$W$4,0))))</f>
        <v>5418.2891130458347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25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945.14350122306769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5384.5374406170058</v>
      </c>
      <c r="G71">
        <f ca="1">IF($C71-G$1&lt;År1,0,F70*(1-VLOOKUP($A71,[1]Hugst!$R$5:$W$9,MATCH(ROUNDUP((G$1)/10,0)*10,[1]Hugst!$R$4:$W$4,0))))</f>
        <v>5389.286905447264</v>
      </c>
      <c r="H71">
        <f ca="1">IF($C71-H$1&lt;År1,0,G70*(1-VLOOKUP($A71,[1]Hugst!$R$5:$W$9,MATCH(ROUNDUP((H$1)/10,0)*10,[1]Hugst!$R$4:$W$4,0))))</f>
        <v>5394.0602369349645</v>
      </c>
      <c r="I71">
        <f ca="1">IF($C71-I$1&lt;År1,0,H70*(1-VLOOKUP($A71,[1]Hugst!$R$5:$W$9,MATCH(ROUNDUP((I$1)/10,0)*10,[1]Hugst!$R$4:$W$4,0))))</f>
        <v>5398.8575550130645</v>
      </c>
      <c r="J71">
        <f ca="1">IF($C71-J$1&lt;År1,0,I70*(1-VLOOKUP($A71,[1]Hugst!$R$5:$W$9,MATCH(ROUNDUP((J$1)/10,0)*10,[1]Hugst!$R$4:$W$4,0))))</f>
        <v>5403.6789802171825</v>
      </c>
      <c r="K71">
        <f ca="1">IF($C71-K$1&lt;År1,0,J70*(1-VLOOKUP($A71,[1]Hugst!$R$5:$W$9,MATCH(ROUNDUP((K$1)/10,0)*10,[1]Hugst!$R$4:$W$4,0))))</f>
        <v>5408.5246336886621</v>
      </c>
      <c r="L71">
        <f ca="1">IF($C71-L$1&lt;År1,0,K70*(1-VLOOKUP($A71,[1]Hugst!$R$5:$W$9,MATCH(ROUNDUP((L$1)/10,0)*10,[1]Hugst!$R$4:$W$4,0))))</f>
        <v>5413.3946371775519</v>
      </c>
      <c r="M71">
        <f ca="1">IF($C71-M$1&lt;År1,0,L70*(1-VLOOKUP($A71,[1]Hugst!$R$5:$W$9,MATCH(ROUNDUP((M$1)/10,0)*10,[1]Hugst!$R$4:$W$4,0))))</f>
        <v>5418.2891130458347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25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940.41778371696546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5379.8117231109036</v>
      </c>
      <c r="G72">
        <f ca="1">IF($C72-G$1&lt;År1,0,F71*(1-VLOOKUP($A72,[1]Hugst!$R$5:$W$9,MATCH(ROUNDUP((G$1)/10,0)*10,[1]Hugst!$R$4:$W$4,0))))</f>
        <v>5384.5374406170058</v>
      </c>
      <c r="H72">
        <f ca="1">IF($C72-H$1&lt;År1,0,G71*(1-VLOOKUP($A72,[1]Hugst!$R$5:$W$9,MATCH(ROUNDUP((H$1)/10,0)*10,[1]Hugst!$R$4:$W$4,0))))</f>
        <v>5389.286905447264</v>
      </c>
      <c r="I72">
        <f ca="1">IF($C72-I$1&lt;År1,0,H71*(1-VLOOKUP($A72,[1]Hugst!$R$5:$W$9,MATCH(ROUNDUP((I$1)/10,0)*10,[1]Hugst!$R$4:$W$4,0))))</f>
        <v>5394.0602369349645</v>
      </c>
      <c r="J72">
        <f ca="1">IF($C72-J$1&lt;År1,0,I71*(1-VLOOKUP($A72,[1]Hugst!$R$5:$W$9,MATCH(ROUNDUP((J$1)/10,0)*10,[1]Hugst!$R$4:$W$4,0))))</f>
        <v>5398.8575550130645</v>
      </c>
      <c r="K72">
        <f ca="1">IF($C72-K$1&lt;År1,0,J71*(1-VLOOKUP($A72,[1]Hugst!$R$5:$W$9,MATCH(ROUNDUP((K$1)/10,0)*10,[1]Hugst!$R$4:$W$4,0))))</f>
        <v>5403.6789802171825</v>
      </c>
      <c r="L72">
        <f ca="1">IF($C72-L$1&lt;År1,0,K71*(1-VLOOKUP($A72,[1]Hugst!$R$5:$W$9,MATCH(ROUNDUP((L$1)/10,0)*10,[1]Hugst!$R$4:$W$4,0))))</f>
        <v>5408.5246336886621</v>
      </c>
      <c r="M72">
        <f ca="1">IF($C72-M$1&lt;År1,0,L71*(1-VLOOKUP($A72,[1]Hugst!$R$5:$W$9,MATCH(ROUNDUP((M$1)/10,0)*10,[1]Hugst!$R$4:$W$4,0))))</f>
        <v>5413.3946371775519</v>
      </c>
      <c r="N72">
        <f ca="1">IF($C72-N$1&lt;År1,0,M71*(1-VLOOKUP($A72,[1]Hugst!$R$5:$W$9,MATCH(ROUNDUP((N$1)/10,0)*10,[1]Hugst!$R$4:$W$4,0))))</f>
        <v>5418.2891130458347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25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935.7156947983367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5375.1096341922748</v>
      </c>
      <c r="G73">
        <f ca="1">IF($C73-G$1&lt;År1,0,F72*(1-VLOOKUP($A73,[1]Hugst!$R$5:$W$9,MATCH(ROUNDUP((G$1)/10,0)*10,[1]Hugst!$R$4:$W$4,0))))</f>
        <v>5379.8117231109036</v>
      </c>
      <c r="H73">
        <f ca="1">IF($C73-H$1&lt;År1,0,G72*(1-VLOOKUP($A73,[1]Hugst!$R$5:$W$9,MATCH(ROUNDUP((H$1)/10,0)*10,[1]Hugst!$R$4:$W$4,0))))</f>
        <v>5384.5374406170058</v>
      </c>
      <c r="I73">
        <f ca="1">IF($C73-I$1&lt;År1,0,H72*(1-VLOOKUP($A73,[1]Hugst!$R$5:$W$9,MATCH(ROUNDUP((I$1)/10,0)*10,[1]Hugst!$R$4:$W$4,0))))</f>
        <v>5389.286905447264</v>
      </c>
      <c r="J73">
        <f ca="1">IF($C73-J$1&lt;År1,0,I72*(1-VLOOKUP($A73,[1]Hugst!$R$5:$W$9,MATCH(ROUNDUP((J$1)/10,0)*10,[1]Hugst!$R$4:$W$4,0))))</f>
        <v>5394.0602369349645</v>
      </c>
      <c r="K73">
        <f ca="1">IF($C73-K$1&lt;År1,0,J72*(1-VLOOKUP($A73,[1]Hugst!$R$5:$W$9,MATCH(ROUNDUP((K$1)/10,0)*10,[1]Hugst!$R$4:$W$4,0))))</f>
        <v>5398.8575550130645</v>
      </c>
      <c r="L73">
        <f ca="1">IF($C73-L$1&lt;År1,0,K72*(1-VLOOKUP($A73,[1]Hugst!$R$5:$W$9,MATCH(ROUNDUP((L$1)/10,0)*10,[1]Hugst!$R$4:$W$4,0))))</f>
        <v>5403.6789802171825</v>
      </c>
      <c r="M73">
        <f ca="1">IF($C73-M$1&lt;År1,0,L72*(1-VLOOKUP($A73,[1]Hugst!$R$5:$W$9,MATCH(ROUNDUP((M$1)/10,0)*10,[1]Hugst!$R$4:$W$4,0))))</f>
        <v>5408.5246336886621</v>
      </c>
      <c r="N73">
        <f ca="1">IF($C73-N$1&lt;År1,0,M72*(1-VLOOKUP($A73,[1]Hugst!$R$5:$W$9,MATCH(ROUNDUP((N$1)/10,0)*10,[1]Hugst!$R$4:$W$4,0))))</f>
        <v>5413.3946371775519</v>
      </c>
      <c r="O73">
        <f ca="1">IF($C73-O$1&lt;År1,0,N72*(1-VLOOKUP($A73,[1]Hugst!$R$5:$W$9,MATCH(ROUNDUP((O$1)/10,0)*10,[1]Hugst!$R$4:$W$4,0))))</f>
        <v>5418.2891130458347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25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931.03711632439263</v>
      </c>
      <c r="E74">
        <f t="shared" ca="1" si="1"/>
        <v>8.2651867826134549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5378.6962425009442</v>
      </c>
      <c r="G74">
        <f ca="1">IF($C74-G$1&lt;År1,0,F73*(1-VLOOKUP($A74,[1]Hugst!$R$5:$W$9,MATCH(ROUNDUP((G$1)/10,0)*10,[1]Hugst!$R$4:$W$4,0))))</f>
        <v>5375.1096341922748</v>
      </c>
      <c r="H74">
        <f ca="1">IF($C74-H$1&lt;År1,0,G73*(1-VLOOKUP($A74,[1]Hugst!$R$5:$W$9,MATCH(ROUNDUP((H$1)/10,0)*10,[1]Hugst!$R$4:$W$4,0))))</f>
        <v>5379.8117231109036</v>
      </c>
      <c r="I74">
        <f ca="1">IF($C74-I$1&lt;År1,0,H73*(1-VLOOKUP($A74,[1]Hugst!$R$5:$W$9,MATCH(ROUNDUP((I$1)/10,0)*10,[1]Hugst!$R$4:$W$4,0))))</f>
        <v>5384.5374406170058</v>
      </c>
      <c r="J74">
        <f ca="1">IF($C74-J$1&lt;År1,0,I73*(1-VLOOKUP($A74,[1]Hugst!$R$5:$W$9,MATCH(ROUNDUP((J$1)/10,0)*10,[1]Hugst!$R$4:$W$4,0))))</f>
        <v>5389.286905447264</v>
      </c>
      <c r="K74">
        <f ca="1">IF($C74-K$1&lt;År1,0,J73*(1-VLOOKUP($A74,[1]Hugst!$R$5:$W$9,MATCH(ROUNDUP((K$1)/10,0)*10,[1]Hugst!$R$4:$W$4,0))))</f>
        <v>5394.0602369349645</v>
      </c>
      <c r="L74">
        <f ca="1">IF($C74-L$1&lt;År1,0,K73*(1-VLOOKUP($A74,[1]Hugst!$R$5:$W$9,MATCH(ROUNDUP((L$1)/10,0)*10,[1]Hugst!$R$4:$W$4,0))))</f>
        <v>5398.8575550130645</v>
      </c>
      <c r="M74">
        <f ca="1">IF($C74-M$1&lt;År1,0,L73*(1-VLOOKUP($A74,[1]Hugst!$R$5:$W$9,MATCH(ROUNDUP((M$1)/10,0)*10,[1]Hugst!$R$4:$W$4,0))))</f>
        <v>5403.6789802171825</v>
      </c>
      <c r="N74">
        <f ca="1">IF($C74-N$1&lt;År1,0,M73*(1-VLOOKUP($A74,[1]Hugst!$R$5:$W$9,MATCH(ROUNDUP((N$1)/10,0)*10,[1]Hugst!$R$4:$W$4,0))))</f>
        <v>5408.5246336886621</v>
      </c>
      <c r="O74">
        <f ca="1">IF($C74-O$1&lt;År1,0,N73*(1-VLOOKUP($A74,[1]Hugst!$R$5:$W$9,MATCH(ROUNDUP((O$1)/10,0)*10,[1]Hugst!$R$4:$W$4,0))))</f>
        <v>5413.3946371775519</v>
      </c>
      <c r="P74">
        <f ca="1">IF($C74-P$1&lt;År1,0,O73*(1-VLOOKUP($A74,[1]Hugst!$R$5:$W$9,MATCH(ROUNDUP((P$1)/10,0)*10,[1]Hugst!$R$4:$W$4,0))))</f>
        <v>5410.0239262632222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25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926.3819307427093</v>
      </c>
      <c r="E75">
        <f t="shared" ca="1" si="1"/>
        <v>16.510299503555871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3384.5588969129326</v>
      </c>
      <c r="G75">
        <f ca="1">IF($C75-G$1&lt;År1,0,F74*(1-VLOOKUP($A75,[1]Hugst!$R$5:$W$9,MATCH(ROUNDUP((G$1)/10,0)*10,[1]Hugst!$R$4:$W$4,0))))</f>
        <v>5378.6962425009442</v>
      </c>
      <c r="H75">
        <f ca="1">IF($C75-H$1&lt;År1,0,G74*(1-VLOOKUP($A75,[1]Hugst!$R$5:$W$9,MATCH(ROUNDUP((H$1)/10,0)*10,[1]Hugst!$R$4:$W$4,0))))</f>
        <v>5375.1096341922748</v>
      </c>
      <c r="I75">
        <f ca="1">IF($C75-I$1&lt;År1,0,H74*(1-VLOOKUP($A75,[1]Hugst!$R$5:$W$9,MATCH(ROUNDUP((I$1)/10,0)*10,[1]Hugst!$R$4:$W$4,0))))</f>
        <v>5379.8117231109036</v>
      </c>
      <c r="J75">
        <f ca="1">IF($C75-J$1&lt;År1,0,I74*(1-VLOOKUP($A75,[1]Hugst!$R$5:$W$9,MATCH(ROUNDUP((J$1)/10,0)*10,[1]Hugst!$R$4:$W$4,0))))</f>
        <v>5384.5374406170058</v>
      </c>
      <c r="K75">
        <f ca="1">IF($C75-K$1&lt;År1,0,J74*(1-VLOOKUP($A75,[1]Hugst!$R$5:$W$9,MATCH(ROUNDUP((K$1)/10,0)*10,[1]Hugst!$R$4:$W$4,0))))</f>
        <v>5389.286905447264</v>
      </c>
      <c r="L75">
        <f ca="1">IF($C75-L$1&lt;År1,0,K74*(1-VLOOKUP($A75,[1]Hugst!$R$5:$W$9,MATCH(ROUNDUP((L$1)/10,0)*10,[1]Hugst!$R$4:$W$4,0))))</f>
        <v>5394.0602369349645</v>
      </c>
      <c r="M75">
        <f ca="1">IF($C75-M$1&lt;År1,0,L74*(1-VLOOKUP($A75,[1]Hugst!$R$5:$W$9,MATCH(ROUNDUP((M$1)/10,0)*10,[1]Hugst!$R$4:$W$4,0))))</f>
        <v>5398.8575550130645</v>
      </c>
      <c r="N75">
        <f ca="1">IF($C75-N$1&lt;År1,0,M74*(1-VLOOKUP($A75,[1]Hugst!$R$5:$W$9,MATCH(ROUNDUP((N$1)/10,0)*10,[1]Hugst!$R$4:$W$4,0))))</f>
        <v>5403.6789802171825</v>
      </c>
      <c r="O75">
        <f ca="1">IF($C75-O$1&lt;År1,0,N74*(1-VLOOKUP($A75,[1]Hugst!$R$5:$W$9,MATCH(ROUNDUP((O$1)/10,0)*10,[1]Hugst!$R$4:$W$4,0))))</f>
        <v>5408.5246336886621</v>
      </c>
      <c r="P75">
        <f ca="1">IF($C75-P$1&lt;År1,0,O74*(1-VLOOKUP($A75,[1]Hugst!$R$5:$W$9,MATCH(ROUNDUP((P$1)/10,0)*10,[1]Hugst!$R$4:$W$4,0))))</f>
        <v>5405.1369165445694</v>
      </c>
      <c r="Q75">
        <f ca="1">IF($C75-Q$1&lt;År1,0,P74*(1-VLOOKUP($A75,[1]Hugst!$R$5:$W$9,MATCH(ROUNDUP((Q$1)/10,0)*10,[1]Hugst!$R$4:$W$4,0))))</f>
        <v>5401.7713473926506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25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921.750021089043</v>
      </c>
      <c r="E76">
        <f t="shared" ca="1" si="1"/>
        <v>24.735406115025398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3388.1520938707358</v>
      </c>
      <c r="G76">
        <f ca="1">IF($C76-G$1&lt;År1,0,F75*(1-VLOOKUP($A76,[1]Hugst!$R$5:$W$9,MATCH(ROUNDUP((G$1)/10,0)*10,[1]Hugst!$R$4:$W$4,0))))</f>
        <v>3384.5588969129326</v>
      </c>
      <c r="H76">
        <f ca="1">IF($C76-H$1&lt;År1,0,G75*(1-VLOOKUP($A76,[1]Hugst!$R$5:$W$9,MATCH(ROUNDUP((H$1)/10,0)*10,[1]Hugst!$R$4:$W$4,0))))</f>
        <v>5378.6962425009442</v>
      </c>
      <c r="I76">
        <f ca="1">IF($C76-I$1&lt;År1,0,H75*(1-VLOOKUP($A76,[1]Hugst!$R$5:$W$9,MATCH(ROUNDUP((I$1)/10,0)*10,[1]Hugst!$R$4:$W$4,0))))</f>
        <v>5375.1096341922748</v>
      </c>
      <c r="J76">
        <f ca="1">IF($C76-J$1&lt;År1,0,I75*(1-VLOOKUP($A76,[1]Hugst!$R$5:$W$9,MATCH(ROUNDUP((J$1)/10,0)*10,[1]Hugst!$R$4:$W$4,0))))</f>
        <v>5379.8117231109036</v>
      </c>
      <c r="K76">
        <f ca="1">IF($C76-K$1&lt;År1,0,J75*(1-VLOOKUP($A76,[1]Hugst!$R$5:$W$9,MATCH(ROUNDUP((K$1)/10,0)*10,[1]Hugst!$R$4:$W$4,0))))</f>
        <v>5384.5374406170058</v>
      </c>
      <c r="L76">
        <f ca="1">IF($C76-L$1&lt;År1,0,K75*(1-VLOOKUP($A76,[1]Hugst!$R$5:$W$9,MATCH(ROUNDUP((L$1)/10,0)*10,[1]Hugst!$R$4:$W$4,0))))</f>
        <v>5389.286905447264</v>
      </c>
      <c r="M76">
        <f ca="1">IF($C76-M$1&lt;År1,0,L75*(1-VLOOKUP($A76,[1]Hugst!$R$5:$W$9,MATCH(ROUNDUP((M$1)/10,0)*10,[1]Hugst!$R$4:$W$4,0))))</f>
        <v>5394.0602369349645</v>
      </c>
      <c r="N76">
        <f ca="1">IF($C76-N$1&lt;År1,0,M75*(1-VLOOKUP($A76,[1]Hugst!$R$5:$W$9,MATCH(ROUNDUP((N$1)/10,0)*10,[1]Hugst!$R$4:$W$4,0))))</f>
        <v>5398.8575550130645</v>
      </c>
      <c r="O76">
        <f ca="1">IF($C76-O$1&lt;År1,0,N75*(1-VLOOKUP($A76,[1]Hugst!$R$5:$W$9,MATCH(ROUNDUP((O$1)/10,0)*10,[1]Hugst!$R$4:$W$4,0))))</f>
        <v>5403.6789802171825</v>
      </c>
      <c r="P76">
        <f ca="1">IF($C76-P$1&lt;År1,0,O75*(1-VLOOKUP($A76,[1]Hugst!$R$5:$W$9,MATCH(ROUNDUP((P$1)/10,0)*10,[1]Hugst!$R$4:$W$4,0))))</f>
        <v>5400.2743418745604</v>
      </c>
      <c r="Q76">
        <f ca="1">IF($C76-Q$1&lt;År1,0,P75*(1-VLOOKUP($A76,[1]Hugst!$R$5:$W$9,MATCH(ROUNDUP((Q$1)/10,0)*10,[1]Hugst!$R$4:$W$4,0))))</f>
        <v>5396.891792434586</v>
      </c>
      <c r="R76">
        <f ca="1">IF($C76-R$1&lt;År1,0,Q75*(1-VLOOKUP($A76,[1]Hugst!$R$5:$W$9,MATCH(ROUNDUP((R$1)/10,0)*10,[1]Hugst!$R$4:$W$4,0))))</f>
        <v>5393.5313572017121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25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917.14127098357312</v>
      </c>
      <c r="E77">
        <f t="shared" ca="1" si="1"/>
        <v>32.94057427890948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3391.74851192915</v>
      </c>
      <c r="G77">
        <f ca="1">IF($C77-G$1&lt;År1,0,F76*(1-VLOOKUP($A77,[1]Hugst!$R$5:$W$9,MATCH(ROUNDUP((G$1)/10,0)*10,[1]Hugst!$R$4:$W$4,0))))</f>
        <v>3388.1520938707358</v>
      </c>
      <c r="H77">
        <f ca="1">IF($C77-H$1&lt;År1,0,G76*(1-VLOOKUP($A77,[1]Hugst!$R$5:$W$9,MATCH(ROUNDUP((H$1)/10,0)*10,[1]Hugst!$R$4:$W$4,0))))</f>
        <v>3384.5588969129326</v>
      </c>
      <c r="I77">
        <f ca="1">IF($C77-I$1&lt;År1,0,H76*(1-VLOOKUP($A77,[1]Hugst!$R$5:$W$9,MATCH(ROUNDUP((I$1)/10,0)*10,[1]Hugst!$R$4:$W$4,0))))</f>
        <v>5378.6962425009442</v>
      </c>
      <c r="J77">
        <f ca="1">IF($C77-J$1&lt;År1,0,I76*(1-VLOOKUP($A77,[1]Hugst!$R$5:$W$9,MATCH(ROUNDUP((J$1)/10,0)*10,[1]Hugst!$R$4:$W$4,0))))</f>
        <v>5375.1096341922748</v>
      </c>
      <c r="K77">
        <f ca="1">IF($C77-K$1&lt;År1,0,J76*(1-VLOOKUP($A77,[1]Hugst!$R$5:$W$9,MATCH(ROUNDUP((K$1)/10,0)*10,[1]Hugst!$R$4:$W$4,0))))</f>
        <v>5379.8117231109036</v>
      </c>
      <c r="L77">
        <f ca="1">IF($C77-L$1&lt;År1,0,K76*(1-VLOOKUP($A77,[1]Hugst!$R$5:$W$9,MATCH(ROUNDUP((L$1)/10,0)*10,[1]Hugst!$R$4:$W$4,0))))</f>
        <v>5384.5374406170058</v>
      </c>
      <c r="M77">
        <f ca="1">IF($C77-M$1&lt;År1,0,L76*(1-VLOOKUP($A77,[1]Hugst!$R$5:$W$9,MATCH(ROUNDUP((M$1)/10,0)*10,[1]Hugst!$R$4:$W$4,0))))</f>
        <v>5389.286905447264</v>
      </c>
      <c r="N77">
        <f ca="1">IF($C77-N$1&lt;År1,0,M76*(1-VLOOKUP($A77,[1]Hugst!$R$5:$W$9,MATCH(ROUNDUP((N$1)/10,0)*10,[1]Hugst!$R$4:$W$4,0))))</f>
        <v>5394.0602369349645</v>
      </c>
      <c r="O77">
        <f ca="1">IF($C77-O$1&lt;År1,0,N76*(1-VLOOKUP($A77,[1]Hugst!$R$5:$W$9,MATCH(ROUNDUP((O$1)/10,0)*10,[1]Hugst!$R$4:$W$4,0))))</f>
        <v>5398.8575550130645</v>
      </c>
      <c r="P77">
        <f ca="1">IF($C77-P$1&lt;År1,0,O76*(1-VLOOKUP($A77,[1]Hugst!$R$5:$W$9,MATCH(ROUNDUP((P$1)/10,0)*10,[1]Hugst!$R$4:$W$4,0))))</f>
        <v>5395.4360800778677</v>
      </c>
      <c r="Q77">
        <f ca="1">IF($C77-Q$1&lt;År1,0,P76*(1-VLOOKUP($A77,[1]Hugst!$R$5:$W$9,MATCH(ROUNDUP((Q$1)/10,0)*10,[1]Hugst!$R$4:$W$4,0))))</f>
        <v>5392.036635251362</v>
      </c>
      <c r="R77">
        <f ca="1">IF($C77-R$1&lt;År1,0,Q76*(1-VLOOKUP($A77,[1]Hugst!$R$5:$W$9,MATCH(ROUNDUP((R$1)/10,0)*10,[1]Hugst!$R$4:$W$4,0))))</f>
        <v>5388.659245632567</v>
      </c>
      <c r="S77">
        <f ca="1">IF($C77-S$1&lt;År1,0,R76*(1-VLOOKUP($A77,[1]Hugst!$R$5:$W$9,MATCH(ROUNDUP((S$1)/10,0)*10,[1]Hugst!$R$4:$W$4,0))))</f>
        <v>5385.3039364873366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25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912.55556462866116</v>
      </c>
      <c r="E78">
        <f t="shared" ca="1" si="1"/>
        <v>41.125871368160006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3395.3481026634886</v>
      </c>
      <c r="G78">
        <f ca="1">IF($C78-G$1&lt;År1,0,F77*(1-VLOOKUP($A78,[1]Hugst!$R$5:$W$9,MATCH(ROUNDUP((G$1)/10,0)*10,[1]Hugst!$R$4:$W$4,0))))</f>
        <v>3391.74851192915</v>
      </c>
      <c r="H78">
        <f ca="1">IF($C78-H$1&lt;År1,0,G77*(1-VLOOKUP($A78,[1]Hugst!$R$5:$W$9,MATCH(ROUNDUP((H$1)/10,0)*10,[1]Hugst!$R$4:$W$4,0))))</f>
        <v>3388.1520938707358</v>
      </c>
      <c r="I78">
        <f ca="1">IF($C78-I$1&lt;År1,0,H77*(1-VLOOKUP($A78,[1]Hugst!$R$5:$W$9,MATCH(ROUNDUP((I$1)/10,0)*10,[1]Hugst!$R$4:$W$4,0))))</f>
        <v>3384.5588969129326</v>
      </c>
      <c r="J78">
        <f ca="1">IF($C78-J$1&lt;År1,0,I77*(1-VLOOKUP($A78,[1]Hugst!$R$5:$W$9,MATCH(ROUNDUP((J$1)/10,0)*10,[1]Hugst!$R$4:$W$4,0))))</f>
        <v>5378.6962425009442</v>
      </c>
      <c r="K78">
        <f ca="1">IF($C78-K$1&lt;År1,0,J77*(1-VLOOKUP($A78,[1]Hugst!$R$5:$W$9,MATCH(ROUNDUP((K$1)/10,0)*10,[1]Hugst!$R$4:$W$4,0))))</f>
        <v>5375.1096341922748</v>
      </c>
      <c r="L78">
        <f ca="1">IF($C78-L$1&lt;År1,0,K77*(1-VLOOKUP($A78,[1]Hugst!$R$5:$W$9,MATCH(ROUNDUP((L$1)/10,0)*10,[1]Hugst!$R$4:$W$4,0))))</f>
        <v>5379.8117231109036</v>
      </c>
      <c r="M78">
        <f ca="1">IF($C78-M$1&lt;År1,0,L77*(1-VLOOKUP($A78,[1]Hugst!$R$5:$W$9,MATCH(ROUNDUP((M$1)/10,0)*10,[1]Hugst!$R$4:$W$4,0))))</f>
        <v>5384.5374406170058</v>
      </c>
      <c r="N78">
        <f ca="1">IF($C78-N$1&lt;År1,0,M77*(1-VLOOKUP($A78,[1]Hugst!$R$5:$W$9,MATCH(ROUNDUP((N$1)/10,0)*10,[1]Hugst!$R$4:$W$4,0))))</f>
        <v>5389.286905447264</v>
      </c>
      <c r="O78">
        <f ca="1">IF($C78-O$1&lt;År1,0,N77*(1-VLOOKUP($A78,[1]Hugst!$R$5:$W$9,MATCH(ROUNDUP((O$1)/10,0)*10,[1]Hugst!$R$4:$W$4,0))))</f>
        <v>5394.0602369349645</v>
      </c>
      <c r="P78">
        <f ca="1">IF($C78-P$1&lt;År1,0,O77*(1-VLOOKUP($A78,[1]Hugst!$R$5:$W$9,MATCH(ROUNDUP((P$1)/10,0)*10,[1]Hugst!$R$4:$W$4,0))))</f>
        <v>5390.6220095901626</v>
      </c>
      <c r="Q78">
        <f ca="1">IF($C78-Q$1&lt;År1,0,P77*(1-VLOOKUP($A78,[1]Hugst!$R$5:$W$9,MATCH(ROUNDUP((Q$1)/10,0)*10,[1]Hugst!$R$4:$W$4,0))))</f>
        <v>5387.2057538540203</v>
      </c>
      <c r="R78">
        <f ca="1">IF($C78-R$1&lt;År1,0,Q77*(1-VLOOKUP($A78,[1]Hugst!$R$5:$W$9,MATCH(ROUNDUP((R$1)/10,0)*10,[1]Hugst!$R$4:$W$4,0))))</f>
        <v>5383.8114946213173</v>
      </c>
      <c r="S78">
        <f ca="1">IF($C78-S$1&lt;År1,0,R77*(1-VLOOKUP($A78,[1]Hugst!$R$5:$W$9,MATCH(ROUNDUP((S$1)/10,0)*10,[1]Hugst!$R$4:$W$4,0))))</f>
        <v>5380.4392569527881</v>
      </c>
      <c r="T78">
        <f ca="1">IF($C78-T$1&lt;År1,0,S77*(1-VLOOKUP($A78,[1]Hugst!$R$5:$W$9,MATCH(ROUNDUP((T$1)/10,0)*10,[1]Hugst!$R$4:$W$4,0))))</f>
        <v>5377.0890660757459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25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907.99278680553653</v>
      </c>
      <c r="E79">
        <f t="shared" ca="1" si="1"/>
        <v>49.291364468183019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3398.950817940387</v>
      </c>
      <c r="G79">
        <f ca="1">IF($C79-G$1&lt;År1,0,F78*(1-VLOOKUP($A79,[1]Hugst!$R$5:$W$9,MATCH(ROUNDUP((G$1)/10,0)*10,[1]Hugst!$R$4:$W$4,0))))</f>
        <v>3395.3481026634886</v>
      </c>
      <c r="H79">
        <f ca="1">IF($C79-H$1&lt;År1,0,G78*(1-VLOOKUP($A79,[1]Hugst!$R$5:$W$9,MATCH(ROUNDUP((H$1)/10,0)*10,[1]Hugst!$R$4:$W$4,0))))</f>
        <v>3391.74851192915</v>
      </c>
      <c r="I79">
        <f ca="1">IF($C79-I$1&lt;År1,0,H78*(1-VLOOKUP($A79,[1]Hugst!$R$5:$W$9,MATCH(ROUNDUP((I$1)/10,0)*10,[1]Hugst!$R$4:$W$4,0))))</f>
        <v>3388.1520938707358</v>
      </c>
      <c r="J79">
        <f ca="1">IF($C79-J$1&lt;År1,0,I78*(1-VLOOKUP($A79,[1]Hugst!$R$5:$W$9,MATCH(ROUNDUP((J$1)/10,0)*10,[1]Hugst!$R$4:$W$4,0))))</f>
        <v>3384.5588969129326</v>
      </c>
      <c r="K79">
        <f ca="1">IF($C79-K$1&lt;År1,0,J78*(1-VLOOKUP($A79,[1]Hugst!$R$5:$W$9,MATCH(ROUNDUP((K$1)/10,0)*10,[1]Hugst!$R$4:$W$4,0))))</f>
        <v>5378.6962425009442</v>
      </c>
      <c r="L79">
        <f ca="1">IF($C79-L$1&lt;År1,0,K78*(1-VLOOKUP($A79,[1]Hugst!$R$5:$W$9,MATCH(ROUNDUP((L$1)/10,0)*10,[1]Hugst!$R$4:$W$4,0))))</f>
        <v>5375.1096341922748</v>
      </c>
      <c r="M79">
        <f ca="1">IF($C79-M$1&lt;År1,0,L78*(1-VLOOKUP($A79,[1]Hugst!$R$5:$W$9,MATCH(ROUNDUP((M$1)/10,0)*10,[1]Hugst!$R$4:$W$4,0))))</f>
        <v>5379.8117231109036</v>
      </c>
      <c r="N79">
        <f ca="1">IF($C79-N$1&lt;År1,0,M78*(1-VLOOKUP($A79,[1]Hugst!$R$5:$W$9,MATCH(ROUNDUP((N$1)/10,0)*10,[1]Hugst!$R$4:$W$4,0))))</f>
        <v>5384.5374406170058</v>
      </c>
      <c r="O79">
        <f ca="1">IF($C79-O$1&lt;År1,0,N78*(1-VLOOKUP($A79,[1]Hugst!$R$5:$W$9,MATCH(ROUNDUP((O$1)/10,0)*10,[1]Hugst!$R$4:$W$4,0))))</f>
        <v>5389.286905447264</v>
      </c>
      <c r="P79">
        <f ca="1">IF($C79-P$1&lt;År1,0,O78*(1-VLOOKUP($A79,[1]Hugst!$R$5:$W$9,MATCH(ROUNDUP((P$1)/10,0)*10,[1]Hugst!$R$4:$W$4,0))))</f>
        <v>5385.8320094548944</v>
      </c>
      <c r="Q79">
        <f ca="1">IF($C79-Q$1&lt;År1,0,P78*(1-VLOOKUP($A79,[1]Hugst!$R$5:$W$9,MATCH(ROUNDUP((Q$1)/10,0)*10,[1]Hugst!$R$4:$W$4,0))))</f>
        <v>5382.399026863669</v>
      </c>
      <c r="R79">
        <f ca="1">IF($C79-R$1&lt;År1,0,Q78*(1-VLOOKUP($A79,[1]Hugst!$R$5:$W$9,MATCH(ROUNDUP((R$1)/10,0)*10,[1]Hugst!$R$4:$W$4,0))))</f>
        <v>5378.9879823650899</v>
      </c>
      <c r="S79">
        <f ca="1">IF($C79-S$1&lt;År1,0,R78*(1-VLOOKUP($A79,[1]Hugst!$R$5:$W$9,MATCH(ROUNDUP((S$1)/10,0)*10,[1]Hugst!$R$4:$W$4,0))))</f>
        <v>5375.5989008159622</v>
      </c>
      <c r="T79">
        <f ca="1">IF($C79-T$1&lt;År1,0,S78*(1-VLOOKUP($A79,[1]Hugst!$R$5:$W$9,MATCH(ROUNDUP((T$1)/10,0)*10,[1]Hugst!$R$4:$W$4,0))))</f>
        <v>5372.2318072387925</v>
      </c>
      <c r="U79">
        <f ca="1">IF($C79-U$1&lt;År1,0,T78*(1-VLOOKUP($A79,[1]Hugst!$R$5:$W$9,MATCH(ROUNDUP((U$1)/10,0)*10,[1]Hugst!$R$4:$W$4,0))))</f>
        <v>5368.8867268224094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25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903.45282287150258</v>
      </c>
      <c r="E80">
        <f t="shared" ca="1" si="1"/>
        <v>57.437120378148393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3402.5566099163184</v>
      </c>
      <c r="G80">
        <f ca="1">IF($C80-G$1&lt;År1,0,F79*(1-VLOOKUP($A80,[1]Hugst!$R$5:$W$9,MATCH(ROUNDUP((G$1)/10,0)*10,[1]Hugst!$R$4:$W$4,0))))</f>
        <v>3398.950817940387</v>
      </c>
      <c r="H80">
        <f ca="1">IF($C80-H$1&lt;År1,0,G79*(1-VLOOKUP($A80,[1]Hugst!$R$5:$W$9,MATCH(ROUNDUP((H$1)/10,0)*10,[1]Hugst!$R$4:$W$4,0))))</f>
        <v>3395.3481026634886</v>
      </c>
      <c r="I80">
        <f ca="1">IF($C80-I$1&lt;År1,0,H79*(1-VLOOKUP($A80,[1]Hugst!$R$5:$W$9,MATCH(ROUNDUP((I$1)/10,0)*10,[1]Hugst!$R$4:$W$4,0))))</f>
        <v>3391.74851192915</v>
      </c>
      <c r="J80">
        <f ca="1">IF($C80-J$1&lt;År1,0,I79*(1-VLOOKUP($A80,[1]Hugst!$R$5:$W$9,MATCH(ROUNDUP((J$1)/10,0)*10,[1]Hugst!$R$4:$W$4,0))))</f>
        <v>3388.1520938707358</v>
      </c>
      <c r="K80">
        <f ca="1">IF($C80-K$1&lt;År1,0,J79*(1-VLOOKUP($A80,[1]Hugst!$R$5:$W$9,MATCH(ROUNDUP((K$1)/10,0)*10,[1]Hugst!$R$4:$W$4,0))))</f>
        <v>3384.5588969129326</v>
      </c>
      <c r="L80">
        <f ca="1">IF($C80-L$1&lt;År1,0,K79*(1-VLOOKUP($A80,[1]Hugst!$R$5:$W$9,MATCH(ROUNDUP((L$1)/10,0)*10,[1]Hugst!$R$4:$W$4,0))))</f>
        <v>5378.6962425009442</v>
      </c>
      <c r="M80">
        <f ca="1">IF($C80-M$1&lt;År1,0,L79*(1-VLOOKUP($A80,[1]Hugst!$R$5:$W$9,MATCH(ROUNDUP((M$1)/10,0)*10,[1]Hugst!$R$4:$W$4,0))))</f>
        <v>5375.1096341922748</v>
      </c>
      <c r="N80">
        <f ca="1">IF($C80-N$1&lt;År1,0,M79*(1-VLOOKUP($A80,[1]Hugst!$R$5:$W$9,MATCH(ROUNDUP((N$1)/10,0)*10,[1]Hugst!$R$4:$W$4,0))))</f>
        <v>5379.8117231109036</v>
      </c>
      <c r="O80">
        <f ca="1">IF($C80-O$1&lt;År1,0,N79*(1-VLOOKUP($A80,[1]Hugst!$R$5:$W$9,MATCH(ROUNDUP((O$1)/10,0)*10,[1]Hugst!$R$4:$W$4,0))))</f>
        <v>5384.5374406170058</v>
      </c>
      <c r="P80">
        <f ca="1">IF($C80-P$1&lt;År1,0,O79*(1-VLOOKUP($A80,[1]Hugst!$R$5:$W$9,MATCH(ROUNDUP((P$1)/10,0)*10,[1]Hugst!$R$4:$W$4,0))))</f>
        <v>5381.06595932031</v>
      </c>
      <c r="Q80">
        <f ca="1">IF($C80-Q$1&lt;År1,0,P79*(1-VLOOKUP($A80,[1]Hugst!$R$5:$W$9,MATCH(ROUNDUP((Q$1)/10,0)*10,[1]Hugst!$R$4:$W$4,0))))</f>
        <v>5377.6163335082683</v>
      </c>
      <c r="R80">
        <f ca="1">IF($C80-R$1&lt;År1,0,Q79*(1-VLOOKUP($A80,[1]Hugst!$R$5:$W$9,MATCH(ROUNDUP((R$1)/10,0)*10,[1]Hugst!$R$4:$W$4,0))))</f>
        <v>5374.1885876701481</v>
      </c>
      <c r="S80">
        <f ca="1">IF($C80-S$1&lt;År1,0,R79*(1-VLOOKUP($A80,[1]Hugst!$R$5:$W$9,MATCH(ROUNDUP((S$1)/10,0)*10,[1]Hugst!$R$4:$W$4,0))))</f>
        <v>5370.7827464597867</v>
      </c>
      <c r="T80">
        <f ca="1">IF($C80-T$1&lt;År1,0,S79*(1-VLOOKUP($A80,[1]Hugst!$R$5:$W$9,MATCH(ROUNDUP((T$1)/10,0)*10,[1]Hugst!$R$4:$W$4,0))))</f>
        <v>5367.3988346960732</v>
      </c>
      <c r="U80">
        <f ca="1">IF($C80-U$1&lt;År1,0,T79*(1-VLOOKUP($A80,[1]Hugst!$R$5:$W$9,MATCH(ROUNDUP((U$1)/10,0)*10,[1]Hugst!$R$4:$W$4,0))))</f>
        <v>5364.0368773633436</v>
      </c>
      <c r="V80">
        <f ca="1">IF($C80-V$1&lt;År1,0,U79*(1-VLOOKUP($A80,[1]Hugst!$R$5:$W$9,MATCH(ROUNDUP((V$1)/10,0)*10,[1]Hugst!$R$4:$W$4,0))))</f>
        <v>5360.6968996120022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25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898.93555875713901</v>
      </c>
      <c r="E81">
        <f t="shared" ca="1" si="1"/>
        <v>65.563205612415913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3406.1654310362223</v>
      </c>
      <c r="G81">
        <f ca="1">IF($C81-G$1&lt;År1,0,F80*(1-VLOOKUP($A81,[1]Hugst!$R$5:$W$9,MATCH(ROUNDUP((G$1)/10,0)*10,[1]Hugst!$R$4:$W$4,0))))</f>
        <v>3402.5566099163184</v>
      </c>
      <c r="H81">
        <f ca="1">IF($C81-H$1&lt;År1,0,G80*(1-VLOOKUP($A81,[1]Hugst!$R$5:$W$9,MATCH(ROUNDUP((H$1)/10,0)*10,[1]Hugst!$R$4:$W$4,0))))</f>
        <v>3398.950817940387</v>
      </c>
      <c r="I81">
        <f ca="1">IF($C81-I$1&lt;År1,0,H80*(1-VLOOKUP($A81,[1]Hugst!$R$5:$W$9,MATCH(ROUNDUP((I$1)/10,0)*10,[1]Hugst!$R$4:$W$4,0))))</f>
        <v>3395.3481026634886</v>
      </c>
      <c r="J81">
        <f ca="1">IF($C81-J$1&lt;År1,0,I80*(1-VLOOKUP($A81,[1]Hugst!$R$5:$W$9,MATCH(ROUNDUP((J$1)/10,0)*10,[1]Hugst!$R$4:$W$4,0))))</f>
        <v>3391.74851192915</v>
      </c>
      <c r="K81">
        <f ca="1">IF($C81-K$1&lt;År1,0,J80*(1-VLOOKUP($A81,[1]Hugst!$R$5:$W$9,MATCH(ROUNDUP((K$1)/10,0)*10,[1]Hugst!$R$4:$W$4,0))))</f>
        <v>3388.1520938707358</v>
      </c>
      <c r="L81">
        <f ca="1">IF($C81-L$1&lt;År1,0,K80*(1-VLOOKUP($A81,[1]Hugst!$R$5:$W$9,MATCH(ROUNDUP((L$1)/10,0)*10,[1]Hugst!$R$4:$W$4,0))))</f>
        <v>3384.5588969129326</v>
      </c>
      <c r="M81">
        <f ca="1">IF($C81-M$1&lt;År1,0,L80*(1-VLOOKUP($A81,[1]Hugst!$R$5:$W$9,MATCH(ROUNDUP((M$1)/10,0)*10,[1]Hugst!$R$4:$W$4,0))))</f>
        <v>5378.6962425009442</v>
      </c>
      <c r="N81">
        <f ca="1">IF($C81-N$1&lt;År1,0,M80*(1-VLOOKUP($A81,[1]Hugst!$R$5:$W$9,MATCH(ROUNDUP((N$1)/10,0)*10,[1]Hugst!$R$4:$W$4,0))))</f>
        <v>5375.1096341922748</v>
      </c>
      <c r="O81">
        <f ca="1">IF($C81-O$1&lt;År1,0,N80*(1-VLOOKUP($A81,[1]Hugst!$R$5:$W$9,MATCH(ROUNDUP((O$1)/10,0)*10,[1]Hugst!$R$4:$W$4,0))))</f>
        <v>5379.8117231109036</v>
      </c>
      <c r="P81">
        <f ca="1">IF($C81-P$1&lt;År1,0,O80*(1-VLOOKUP($A81,[1]Hugst!$R$5:$W$9,MATCH(ROUNDUP((P$1)/10,0)*10,[1]Hugst!$R$4:$W$4,0))))</f>
        <v>5376.3237394364032</v>
      </c>
      <c r="Q81">
        <f ca="1">IF($C81-Q$1&lt;År1,0,P80*(1-VLOOKUP($A81,[1]Hugst!$R$5:$W$9,MATCH(ROUNDUP((Q$1)/10,0)*10,[1]Hugst!$R$4:$W$4,0))))</f>
        <v>5372.8575536196513</v>
      </c>
      <c r="R81">
        <f ca="1">IF($C81-R$1&lt;År1,0,Q80*(1-VLOOKUP($A81,[1]Hugst!$R$5:$W$9,MATCH(ROUNDUP((R$1)/10,0)*10,[1]Hugst!$R$4:$W$4,0))))</f>
        <v>5369.4131899486792</v>
      </c>
      <c r="S81">
        <f ca="1">IF($C81-S$1&lt;År1,0,R80*(1-VLOOKUP($A81,[1]Hugst!$R$5:$W$9,MATCH(ROUNDUP((S$1)/10,0)*10,[1]Hugst!$R$4:$W$4,0))))</f>
        <v>5365.9906728753967</v>
      </c>
      <c r="T81">
        <f ca="1">IF($C81-T$1&lt;År1,0,S80*(1-VLOOKUP($A81,[1]Hugst!$R$5:$W$9,MATCH(ROUNDUP((T$1)/10,0)*10,[1]Hugst!$R$4:$W$4,0))))</f>
        <v>5362.5900270160346</v>
      </c>
      <c r="U81">
        <f ca="1">IF($C81-U$1&lt;År1,0,T80*(1-VLOOKUP($A81,[1]Hugst!$R$5:$W$9,MATCH(ROUNDUP((U$1)/10,0)*10,[1]Hugst!$R$4:$W$4,0))))</f>
        <v>5359.2112771516213</v>
      </c>
      <c r="V81">
        <f ca="1">IF($C81-V$1&lt;År1,0,U80*(1-VLOOKUP($A81,[1]Hugst!$R$5:$W$9,MATCH(ROUNDUP((V$1)/10,0)*10,[1]Hugst!$R$4:$W$4,0))))</f>
        <v>5355.8544482283824</v>
      </c>
      <c r="W81">
        <f ca="1">IF($C81-W$1&lt;År1,0,V80*(1-VLOOKUP($A81,[1]Hugst!$R$5:$W$9,MATCH(ROUNDUP((W$1)/10,0)*10,[1]Hugst!$R$4:$W$4,0))))</f>
        <v>5352.5195653583569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25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894.44088096338237</v>
      </c>
      <c r="E82">
        <f t="shared" ca="1" si="1"/>
        <v>73.669686401815852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3409.7772340318656</v>
      </c>
      <c r="G82">
        <f ca="1">IF($C82-G$1&lt;År1,0,F81*(1-VLOOKUP($A82,[1]Hugst!$R$5:$W$9,MATCH(ROUNDUP((G$1)/10,0)*10,[1]Hugst!$R$4:$W$4,0))))</f>
        <v>3406.1654310362223</v>
      </c>
      <c r="H82">
        <f ca="1">IF($C82-H$1&lt;År1,0,G81*(1-VLOOKUP($A82,[1]Hugst!$R$5:$W$9,MATCH(ROUNDUP((H$1)/10,0)*10,[1]Hugst!$R$4:$W$4,0))))</f>
        <v>3402.5566099163184</v>
      </c>
      <c r="I82">
        <f ca="1">IF($C82-I$1&lt;År1,0,H81*(1-VLOOKUP($A82,[1]Hugst!$R$5:$W$9,MATCH(ROUNDUP((I$1)/10,0)*10,[1]Hugst!$R$4:$W$4,0))))</f>
        <v>3398.950817940387</v>
      </c>
      <c r="J82">
        <f ca="1">IF($C82-J$1&lt;År1,0,I81*(1-VLOOKUP($A82,[1]Hugst!$R$5:$W$9,MATCH(ROUNDUP((J$1)/10,0)*10,[1]Hugst!$R$4:$W$4,0))))</f>
        <v>3395.3481026634886</v>
      </c>
      <c r="K82">
        <f ca="1">IF($C82-K$1&lt;År1,0,J81*(1-VLOOKUP($A82,[1]Hugst!$R$5:$W$9,MATCH(ROUNDUP((K$1)/10,0)*10,[1]Hugst!$R$4:$W$4,0))))</f>
        <v>3391.74851192915</v>
      </c>
      <c r="L82">
        <f ca="1">IF($C82-L$1&lt;År1,0,K81*(1-VLOOKUP($A82,[1]Hugst!$R$5:$W$9,MATCH(ROUNDUP((L$1)/10,0)*10,[1]Hugst!$R$4:$W$4,0))))</f>
        <v>3388.1520938707358</v>
      </c>
      <c r="M82">
        <f ca="1">IF($C82-M$1&lt;År1,0,L81*(1-VLOOKUP($A82,[1]Hugst!$R$5:$W$9,MATCH(ROUNDUP((M$1)/10,0)*10,[1]Hugst!$R$4:$W$4,0))))</f>
        <v>3384.5588969129326</v>
      </c>
      <c r="N82">
        <f ca="1">IF($C82-N$1&lt;År1,0,M81*(1-VLOOKUP($A82,[1]Hugst!$R$5:$W$9,MATCH(ROUNDUP((N$1)/10,0)*10,[1]Hugst!$R$4:$W$4,0))))</f>
        <v>5378.6962425009442</v>
      </c>
      <c r="O82">
        <f ca="1">IF($C82-O$1&lt;År1,0,N81*(1-VLOOKUP($A82,[1]Hugst!$R$5:$W$9,MATCH(ROUNDUP((O$1)/10,0)*10,[1]Hugst!$R$4:$W$4,0))))</f>
        <v>5375.1096341922748</v>
      </c>
      <c r="P82">
        <f ca="1">IF($C82-P$1&lt;År1,0,O81*(1-VLOOKUP($A82,[1]Hugst!$R$5:$W$9,MATCH(ROUNDUP((P$1)/10,0)*10,[1]Hugst!$R$4:$W$4,0))))</f>
        <v>5371.6052306519205</v>
      </c>
      <c r="Q82">
        <f ca="1">IF($C82-Q$1&lt;År1,0,P81*(1-VLOOKUP($A82,[1]Hugst!$R$5:$W$9,MATCH(ROUNDUP((Q$1)/10,0)*10,[1]Hugst!$R$4:$W$4,0))))</f>
        <v>5368.122567630483</v>
      </c>
      <c r="R82">
        <f ca="1">IF($C82-R$1&lt;År1,0,Q81*(1-VLOOKUP($A82,[1]Hugst!$R$5:$W$9,MATCH(ROUNDUP((R$1)/10,0)*10,[1]Hugst!$R$4:$W$4,0))))</f>
        <v>5364.661669215825</v>
      </c>
      <c r="S82">
        <f ca="1">IF($C82-S$1&lt;År1,0,R81*(1-VLOOKUP($A82,[1]Hugst!$R$5:$W$9,MATCH(ROUNDUP((S$1)/10,0)*10,[1]Hugst!$R$4:$W$4,0))))</f>
        <v>5361.2225596589269</v>
      </c>
      <c r="T82">
        <f ca="1">IF($C82-T$1&lt;År1,0,S81*(1-VLOOKUP($A82,[1]Hugst!$R$5:$W$9,MATCH(ROUNDUP((T$1)/10,0)*10,[1]Hugst!$R$4:$W$4,0))))</f>
        <v>5357.8052633744001</v>
      </c>
      <c r="U82">
        <f ca="1">IF($C82-U$1&lt;År1,0,T81*(1-VLOOKUP($A82,[1]Hugst!$R$5:$W$9,MATCH(ROUNDUP((U$1)/10,0)*10,[1]Hugst!$R$4:$W$4,0))))</f>
        <v>5354.4098049409249</v>
      </c>
      <c r="V82">
        <f ca="1">IF($C82-V$1&lt;År1,0,U81*(1-VLOOKUP($A82,[1]Hugst!$R$5:$W$9,MATCH(ROUNDUP((V$1)/10,0)*10,[1]Hugst!$R$4:$W$4,0))))</f>
        <v>5351.0362091017287</v>
      </c>
      <c r="W82">
        <f ca="1">IF($C82-W$1&lt;År1,0,V81*(1-VLOOKUP($A82,[1]Hugst!$R$5:$W$9,MATCH(ROUNDUP((W$1)/10,0)*10,[1]Hugst!$R$4:$W$4,0))))</f>
        <v>5347.6845007649827</v>
      </c>
      <c r="X82">
        <f ca="1">IF($C82-X$1&lt;År1,0,W81*(1-VLOOKUP($A82,[1]Hugst!$R$5:$W$9,MATCH(ROUNDUP((X$1)/10,0)*10,[1]Hugst!$R$4:$W$4,0))))</f>
        <v>5344.3547050044199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25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889.96867655851383</v>
      </c>
      <c r="E83">
        <f t="shared" ca="1" si="1"/>
        <v>81.756628695075051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3413.3919719202563</v>
      </c>
      <c r="G83">
        <f ca="1">IF($C83-G$1&lt;År1,0,F82*(1-VLOOKUP($A83,[1]Hugst!$R$5:$W$9,MATCH(ROUNDUP((G$1)/10,0)*10,[1]Hugst!$R$4:$W$4,0))))</f>
        <v>3409.7772340318656</v>
      </c>
      <c r="H83">
        <f ca="1">IF($C83-H$1&lt;År1,0,G82*(1-VLOOKUP($A83,[1]Hugst!$R$5:$W$9,MATCH(ROUNDUP((H$1)/10,0)*10,[1]Hugst!$R$4:$W$4,0))))</f>
        <v>3406.1654310362223</v>
      </c>
      <c r="I83">
        <f ca="1">IF($C83-I$1&lt;År1,0,H82*(1-VLOOKUP($A83,[1]Hugst!$R$5:$W$9,MATCH(ROUNDUP((I$1)/10,0)*10,[1]Hugst!$R$4:$W$4,0))))</f>
        <v>3402.5566099163184</v>
      </c>
      <c r="J83">
        <f ca="1">IF($C83-J$1&lt;År1,0,I82*(1-VLOOKUP($A83,[1]Hugst!$R$5:$W$9,MATCH(ROUNDUP((J$1)/10,0)*10,[1]Hugst!$R$4:$W$4,0))))</f>
        <v>3398.950817940387</v>
      </c>
      <c r="K83">
        <f ca="1">IF($C83-K$1&lt;År1,0,J82*(1-VLOOKUP($A83,[1]Hugst!$R$5:$W$9,MATCH(ROUNDUP((K$1)/10,0)*10,[1]Hugst!$R$4:$W$4,0))))</f>
        <v>3395.3481026634886</v>
      </c>
      <c r="L83">
        <f ca="1">IF($C83-L$1&lt;År1,0,K82*(1-VLOOKUP($A83,[1]Hugst!$R$5:$W$9,MATCH(ROUNDUP((L$1)/10,0)*10,[1]Hugst!$R$4:$W$4,0))))</f>
        <v>3391.74851192915</v>
      </c>
      <c r="M83">
        <f ca="1">IF($C83-M$1&lt;År1,0,L82*(1-VLOOKUP($A83,[1]Hugst!$R$5:$W$9,MATCH(ROUNDUP((M$1)/10,0)*10,[1]Hugst!$R$4:$W$4,0))))</f>
        <v>3388.1520938707358</v>
      </c>
      <c r="N83">
        <f ca="1">IF($C83-N$1&lt;År1,0,M82*(1-VLOOKUP($A83,[1]Hugst!$R$5:$W$9,MATCH(ROUNDUP((N$1)/10,0)*10,[1]Hugst!$R$4:$W$4,0))))</f>
        <v>3384.5588969129326</v>
      </c>
      <c r="O83">
        <f ca="1">IF($C83-O$1&lt;År1,0,N82*(1-VLOOKUP($A83,[1]Hugst!$R$5:$W$9,MATCH(ROUNDUP((O$1)/10,0)*10,[1]Hugst!$R$4:$W$4,0))))</f>
        <v>5378.6962425009442</v>
      </c>
      <c r="P83">
        <f ca="1">IF($C83-P$1&lt;År1,0,O82*(1-VLOOKUP($A83,[1]Hugst!$R$5:$W$9,MATCH(ROUNDUP((P$1)/10,0)*10,[1]Hugst!$R$4:$W$4,0))))</f>
        <v>5366.9103144113033</v>
      </c>
      <c r="Q83">
        <f ca="1">IF($C83-Q$1&lt;År1,0,P82*(1-VLOOKUP($A83,[1]Hugst!$R$5:$W$9,MATCH(ROUNDUP((Q$1)/10,0)*10,[1]Hugst!$R$4:$W$4,0))))</f>
        <v>5363.4112565712649</v>
      </c>
      <c r="R83">
        <f ca="1">IF($C83-R$1&lt;År1,0,Q82*(1-VLOOKUP($A83,[1]Hugst!$R$5:$W$9,MATCH(ROUNDUP((R$1)/10,0)*10,[1]Hugst!$R$4:$W$4,0))))</f>
        <v>5359.9339060866396</v>
      </c>
      <c r="S83">
        <f ca="1">IF($C83-S$1&lt;År1,0,R82*(1-VLOOKUP($A83,[1]Hugst!$R$5:$W$9,MATCH(ROUNDUP((S$1)/10,0)*10,[1]Hugst!$R$4:$W$4,0))))</f>
        <v>5356.4782870085464</v>
      </c>
      <c r="T83">
        <f ca="1">IF($C83-T$1&lt;År1,0,S82*(1-VLOOKUP($A83,[1]Hugst!$R$5:$W$9,MATCH(ROUNDUP((T$1)/10,0)*10,[1]Hugst!$R$4:$W$4,0))))</f>
        <v>5353.0444235509722</v>
      </c>
      <c r="U83">
        <f ca="1">IF($C83-U$1&lt;År1,0,T82*(1-VLOOKUP($A83,[1]Hugst!$R$5:$W$9,MATCH(ROUNDUP((U$1)/10,0)*10,[1]Hugst!$R$4:$W$4,0))))</f>
        <v>5349.6323400912861</v>
      </c>
      <c r="V83">
        <f ca="1">IF($C83-V$1&lt;År1,0,U82*(1-VLOOKUP($A83,[1]Hugst!$R$5:$W$9,MATCH(ROUNDUP((V$1)/10,0)*10,[1]Hugst!$R$4:$W$4,0))))</f>
        <v>5346.2420611706757</v>
      </c>
      <c r="W83">
        <f ca="1">IF($C83-W$1&lt;År1,0,V82*(1-VLOOKUP($A83,[1]Hugst!$R$5:$W$9,MATCH(ROUNDUP((W$1)/10,0)*10,[1]Hugst!$R$4:$W$4,0))))</f>
        <v>5342.8736114946241</v>
      </c>
      <c r="X83">
        <f ca="1">IF($C83-X$1&lt;År1,0,W82*(1-VLOOKUP($A83,[1]Hugst!$R$5:$W$9,MATCH(ROUNDUP((X$1)/10,0)*10,[1]Hugst!$R$4:$W$4,0))))</f>
        <v>5339.5270159333068</v>
      </c>
      <c r="Y83">
        <f ca="1">IF($C83-Y$1&lt;År1,0,X82*(1-VLOOKUP($A83,[1]Hugst!$R$5:$W$9,MATCH(ROUNDUP((Y$1)/10,0)*10,[1]Hugst!$R$4:$W$4,0))))</f>
        <v>5336.2022995222096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25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885.51883317574539</v>
      </c>
      <c r="E84">
        <f t="shared" ca="1" si="1"/>
        <v>90.96725740666443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3418.1527572490772</v>
      </c>
      <c r="G84">
        <f ca="1">IF($C84-G$1&lt;År1,0,F83*(1-VLOOKUP($A84,[1]Hugst!$R$5:$W$9,MATCH(ROUNDUP((G$1)/10,0)*10,[1]Hugst!$R$4:$W$4,0))))</f>
        <v>3413.3919719202563</v>
      </c>
      <c r="H84">
        <f ca="1">IF($C84-H$1&lt;År1,0,G83*(1-VLOOKUP($A84,[1]Hugst!$R$5:$W$9,MATCH(ROUNDUP((H$1)/10,0)*10,[1]Hugst!$R$4:$W$4,0))))</f>
        <v>3409.7772340318656</v>
      </c>
      <c r="I84">
        <f ca="1">IF($C84-I$1&lt;År1,0,H83*(1-VLOOKUP($A84,[1]Hugst!$R$5:$W$9,MATCH(ROUNDUP((I$1)/10,0)*10,[1]Hugst!$R$4:$W$4,0))))</f>
        <v>3406.1654310362223</v>
      </c>
      <c r="J84">
        <f ca="1">IF($C84-J$1&lt;År1,0,I83*(1-VLOOKUP($A84,[1]Hugst!$R$5:$W$9,MATCH(ROUNDUP((J$1)/10,0)*10,[1]Hugst!$R$4:$W$4,0))))</f>
        <v>3402.5566099163184</v>
      </c>
      <c r="K84">
        <f ca="1">IF($C84-K$1&lt;År1,0,J83*(1-VLOOKUP($A84,[1]Hugst!$R$5:$W$9,MATCH(ROUNDUP((K$1)/10,0)*10,[1]Hugst!$R$4:$W$4,0))))</f>
        <v>3398.950817940387</v>
      </c>
      <c r="L84">
        <f ca="1">IF($C84-L$1&lt;År1,0,K83*(1-VLOOKUP($A84,[1]Hugst!$R$5:$W$9,MATCH(ROUNDUP((L$1)/10,0)*10,[1]Hugst!$R$4:$W$4,0))))</f>
        <v>3395.3481026634886</v>
      </c>
      <c r="M84">
        <f ca="1">IF($C84-M$1&lt;År1,0,L83*(1-VLOOKUP($A84,[1]Hugst!$R$5:$W$9,MATCH(ROUNDUP((M$1)/10,0)*10,[1]Hugst!$R$4:$W$4,0))))</f>
        <v>3391.74851192915</v>
      </c>
      <c r="N84">
        <f ca="1">IF($C84-N$1&lt;År1,0,M83*(1-VLOOKUP($A84,[1]Hugst!$R$5:$W$9,MATCH(ROUNDUP((N$1)/10,0)*10,[1]Hugst!$R$4:$W$4,0))))</f>
        <v>3388.1520938707358</v>
      </c>
      <c r="O84">
        <f ca="1">IF($C84-O$1&lt;År1,0,N83*(1-VLOOKUP($A84,[1]Hugst!$R$5:$W$9,MATCH(ROUNDUP((O$1)/10,0)*10,[1]Hugst!$R$4:$W$4,0))))</f>
        <v>3384.5588969129326</v>
      </c>
      <c r="P84">
        <f ca="1">IF($C84-P$1&lt;År1,0,O83*(1-VLOOKUP($A84,[1]Hugst!$R$5:$W$9,MATCH(ROUNDUP((P$1)/10,0)*10,[1]Hugst!$R$4:$W$4,0))))</f>
        <v>5370.4914516225526</v>
      </c>
      <c r="Q84">
        <f ca="1">IF($C84-Q$1&lt;År1,0,P83*(1-VLOOKUP($A84,[1]Hugst!$R$5:$W$9,MATCH(ROUNDUP((Q$1)/10,0)*10,[1]Hugst!$R$4:$W$4,0))))</f>
        <v>5358.7235020672861</v>
      </c>
      <c r="R84">
        <f ca="1">IF($C84-R$1&lt;År1,0,Q83*(1-VLOOKUP($A84,[1]Hugst!$R$5:$W$9,MATCH(ROUNDUP((R$1)/10,0)*10,[1]Hugst!$R$4:$W$4,0))))</f>
        <v>5355.2297817731051</v>
      </c>
      <c r="S84">
        <f ca="1">IF($C84-S$1&lt;År1,0,R83*(1-VLOOKUP($A84,[1]Hugst!$R$5:$W$9,MATCH(ROUNDUP((S$1)/10,0)*10,[1]Hugst!$R$4:$W$4,0))))</f>
        <v>5351.7577357214223</v>
      </c>
      <c r="T84">
        <f ca="1">IF($C84-T$1&lt;År1,0,S83*(1-VLOOKUP($A84,[1]Hugst!$R$5:$W$9,MATCH(ROUNDUP((T$1)/10,0)*10,[1]Hugst!$R$4:$W$4,0))))</f>
        <v>5348.3073879266685</v>
      </c>
      <c r="U84">
        <f ca="1">IF($C84-U$1&lt;År1,0,T83*(1-VLOOKUP($A84,[1]Hugst!$R$5:$W$9,MATCH(ROUNDUP((U$1)/10,0)*10,[1]Hugst!$R$4:$W$4,0))))</f>
        <v>5344.8787625658942</v>
      </c>
      <c r="V84">
        <f ca="1">IF($C84-V$1&lt;År1,0,U83*(1-VLOOKUP($A84,[1]Hugst!$R$5:$W$9,MATCH(ROUNDUP((V$1)/10,0)*10,[1]Hugst!$R$4:$W$4,0))))</f>
        <v>5341.4718839792822</v>
      </c>
      <c r="W84">
        <f ca="1">IF($C84-W$1&lt;År1,0,V83*(1-VLOOKUP($A84,[1]Hugst!$R$5:$W$9,MATCH(ROUNDUP((W$1)/10,0)*10,[1]Hugst!$R$4:$W$4,0))))</f>
        <v>5338.0867766705851</v>
      </c>
      <c r="X84">
        <f ca="1">IF($C84-X$1&lt;År1,0,W83*(1-VLOOKUP($A84,[1]Hugst!$R$5:$W$9,MATCH(ROUNDUP((X$1)/10,0)*10,[1]Hugst!$R$4:$W$4,0))))</f>
        <v>5334.7234653075984</v>
      </c>
      <c r="Y84">
        <f ca="1">IF($C84-Y$1&lt;År1,0,X83*(1-VLOOKUP($A84,[1]Hugst!$R$5:$W$9,MATCH(ROUNDUP((Y$1)/10,0)*10,[1]Hugst!$R$4:$W$4,0))))</f>
        <v>5331.3819747225607</v>
      </c>
      <c r="Z84">
        <f ca="1">IF($C84-Z$1&lt;År1,0,Y83*(1-VLOOKUP($A84,[1]Hugst!$R$5:$W$9,MATCH(ROUNDUP((Z$1)/10,0)*10,[1]Hugst!$R$4:$W$4,0))))</f>
        <v>5326.9317785781241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25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881.09123900988197</v>
      </c>
      <c r="E85">
        <f t="shared" ca="1" si="1"/>
        <v>97.118946232571034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3419.8768519091204</v>
      </c>
      <c r="G85">
        <f ca="1">IF($C85-G$1&lt;År1,0,F84*(1-VLOOKUP($A85,[1]Hugst!$R$5:$W$9,MATCH(ROUNDUP((G$1)/10,0)*10,[1]Hugst!$R$4:$W$4,0))))</f>
        <v>3418.1527572490772</v>
      </c>
      <c r="H85">
        <f ca="1">IF($C85-H$1&lt;År1,0,G84*(1-VLOOKUP($A85,[1]Hugst!$R$5:$W$9,MATCH(ROUNDUP((H$1)/10,0)*10,[1]Hugst!$R$4:$W$4,0))))</f>
        <v>3413.3919719202563</v>
      </c>
      <c r="I85">
        <f ca="1">IF($C85-I$1&lt;År1,0,H84*(1-VLOOKUP($A85,[1]Hugst!$R$5:$W$9,MATCH(ROUNDUP((I$1)/10,0)*10,[1]Hugst!$R$4:$W$4,0))))</f>
        <v>3409.7772340318656</v>
      </c>
      <c r="J85">
        <f ca="1">IF($C85-J$1&lt;År1,0,I84*(1-VLOOKUP($A85,[1]Hugst!$R$5:$W$9,MATCH(ROUNDUP((J$1)/10,0)*10,[1]Hugst!$R$4:$W$4,0))))</f>
        <v>3406.1654310362223</v>
      </c>
      <c r="K85">
        <f ca="1">IF($C85-K$1&lt;År1,0,J84*(1-VLOOKUP($A85,[1]Hugst!$R$5:$W$9,MATCH(ROUNDUP((K$1)/10,0)*10,[1]Hugst!$R$4:$W$4,0))))</f>
        <v>3402.5566099163184</v>
      </c>
      <c r="L85">
        <f ca="1">IF($C85-L$1&lt;År1,0,K84*(1-VLOOKUP($A85,[1]Hugst!$R$5:$W$9,MATCH(ROUNDUP((L$1)/10,0)*10,[1]Hugst!$R$4:$W$4,0))))</f>
        <v>3398.950817940387</v>
      </c>
      <c r="M85">
        <f ca="1">IF($C85-M$1&lt;År1,0,L84*(1-VLOOKUP($A85,[1]Hugst!$R$5:$W$9,MATCH(ROUNDUP((M$1)/10,0)*10,[1]Hugst!$R$4:$W$4,0))))</f>
        <v>3395.3481026634886</v>
      </c>
      <c r="N85">
        <f ca="1">IF($C85-N$1&lt;År1,0,M84*(1-VLOOKUP($A85,[1]Hugst!$R$5:$W$9,MATCH(ROUNDUP((N$1)/10,0)*10,[1]Hugst!$R$4:$W$4,0))))</f>
        <v>3391.74851192915</v>
      </c>
      <c r="O85">
        <f ca="1">IF($C85-O$1&lt;År1,0,N84*(1-VLOOKUP($A85,[1]Hugst!$R$5:$W$9,MATCH(ROUNDUP((O$1)/10,0)*10,[1]Hugst!$R$4:$W$4,0))))</f>
        <v>3388.1520938707358</v>
      </c>
      <c r="P85">
        <f ca="1">IF($C85-P$1&lt;År1,0,O84*(1-VLOOKUP($A85,[1]Hugst!$R$5:$W$9,MATCH(ROUNDUP((P$1)/10,0)*10,[1]Hugst!$R$4:$W$4,0))))</f>
        <v>3379.3960104600146</v>
      </c>
      <c r="Q85">
        <f ca="1">IF($C85-Q$1&lt;År1,0,P84*(1-VLOOKUP($A85,[1]Hugst!$R$5:$W$9,MATCH(ROUNDUP((Q$1)/10,0)*10,[1]Hugst!$R$4:$W$4,0))))</f>
        <v>5362.2991765268571</v>
      </c>
      <c r="R85">
        <f ca="1">IF($C85-R$1&lt;År1,0,Q84*(1-VLOOKUP($A85,[1]Hugst!$R$5:$W$9,MATCH(ROUNDUP((R$1)/10,0)*10,[1]Hugst!$R$4:$W$4,0))))</f>
        <v>5350.5491780810817</v>
      </c>
      <c r="S85">
        <f ca="1">IF($C85-S$1&lt;År1,0,R84*(1-VLOOKUP($A85,[1]Hugst!$R$5:$W$9,MATCH(ROUNDUP((S$1)/10,0)*10,[1]Hugst!$R$4:$W$4,0))))</f>
        <v>5347.0607871907396</v>
      </c>
      <c r="T85">
        <f ca="1">IF($C85-T$1&lt;År1,0,S84*(1-VLOOKUP($A85,[1]Hugst!$R$5:$W$9,MATCH(ROUNDUP((T$1)/10,0)*10,[1]Hugst!$R$4:$W$4,0))))</f>
        <v>5343.5940374804914</v>
      </c>
      <c r="U85">
        <f ca="1">IF($C85-U$1&lt;År1,0,T84*(1-VLOOKUP($A85,[1]Hugst!$R$5:$W$9,MATCH(ROUNDUP((U$1)/10,0)*10,[1]Hugst!$R$4:$W$4,0))))</f>
        <v>5340.1489529281362</v>
      </c>
      <c r="V85">
        <f ca="1">IF($C85-V$1&lt;År1,0,U84*(1-VLOOKUP($A85,[1]Hugst!$R$5:$W$9,MATCH(ROUNDUP((V$1)/10,0)*10,[1]Hugst!$R$4:$W$4,0))))</f>
        <v>5336.7255576738444</v>
      </c>
      <c r="W85">
        <f ca="1">IF($C85-W$1&lt;År1,0,V84*(1-VLOOKUP($A85,[1]Hugst!$R$5:$W$9,MATCH(ROUNDUP((W$1)/10,0)*10,[1]Hugst!$R$4:$W$4,0))))</f>
        <v>5333.3238760206696</v>
      </c>
      <c r="X85">
        <f ca="1">IF($C85-X$1&lt;År1,0,W84*(1-VLOOKUP($A85,[1]Hugst!$R$5:$W$9,MATCH(ROUNDUP((X$1)/10,0)*10,[1]Hugst!$R$4:$W$4,0))))</f>
        <v>5329.943932434986</v>
      </c>
      <c r="Y85">
        <f ca="1">IF($C85-Y$1&lt;År1,0,X84*(1-VLOOKUP($A85,[1]Hugst!$R$5:$W$9,MATCH(ROUNDUP((Y$1)/10,0)*10,[1]Hugst!$R$4:$W$4,0))))</f>
        <v>5326.5857515469597</v>
      </c>
      <c r="Z85">
        <f ca="1">IF($C85-Z$1&lt;År1,0,Y84*(1-VLOOKUP($A85,[1]Hugst!$R$5:$W$9,MATCH(ROUNDUP((Z$1)/10,0)*10,[1]Hugst!$R$4:$W$4,0))))</f>
        <v>5322.1198280715598</v>
      </c>
      <c r="AA85">
        <f ca="1">IF($C85-AA$1&lt;År1,0,Z84*(1-VLOOKUP($A85,[1]Hugst!$R$5:$W$9,MATCH(ROUNDUP((AA$1)/10,0)*10,[1]Hugst!$R$4:$W$4,0))))</f>
        <v>5317.6773632000859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25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876.68578281481678</v>
      </c>
      <c r="E86">
        <f t="shared" ca="1" si="1"/>
        <v>103.26375721830118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3421.6162066997854</v>
      </c>
      <c r="G86">
        <f ca="1">IF($C86-G$1&lt;År1,0,F85*(1-VLOOKUP($A86,[1]Hugst!$R$5:$W$9,MATCH(ROUNDUP((G$1)/10,0)*10,[1]Hugst!$R$4:$W$4,0))))</f>
        <v>3419.8768519091204</v>
      </c>
      <c r="H86">
        <f ca="1">IF($C86-H$1&lt;År1,0,G85*(1-VLOOKUP($A86,[1]Hugst!$R$5:$W$9,MATCH(ROUNDUP((H$1)/10,0)*10,[1]Hugst!$R$4:$W$4,0))))</f>
        <v>3418.1527572490772</v>
      </c>
      <c r="I86">
        <f ca="1">IF($C86-I$1&lt;År1,0,H85*(1-VLOOKUP($A86,[1]Hugst!$R$5:$W$9,MATCH(ROUNDUP((I$1)/10,0)*10,[1]Hugst!$R$4:$W$4,0))))</f>
        <v>3413.3919719202563</v>
      </c>
      <c r="J86">
        <f ca="1">IF($C86-J$1&lt;År1,0,I85*(1-VLOOKUP($A86,[1]Hugst!$R$5:$W$9,MATCH(ROUNDUP((J$1)/10,0)*10,[1]Hugst!$R$4:$W$4,0))))</f>
        <v>3409.7772340318656</v>
      </c>
      <c r="K86">
        <f ca="1">IF($C86-K$1&lt;År1,0,J85*(1-VLOOKUP($A86,[1]Hugst!$R$5:$W$9,MATCH(ROUNDUP((K$1)/10,0)*10,[1]Hugst!$R$4:$W$4,0))))</f>
        <v>3406.1654310362223</v>
      </c>
      <c r="L86">
        <f ca="1">IF($C86-L$1&lt;År1,0,K85*(1-VLOOKUP($A86,[1]Hugst!$R$5:$W$9,MATCH(ROUNDUP((L$1)/10,0)*10,[1]Hugst!$R$4:$W$4,0))))</f>
        <v>3402.5566099163184</v>
      </c>
      <c r="M86">
        <f ca="1">IF($C86-M$1&lt;År1,0,L85*(1-VLOOKUP($A86,[1]Hugst!$R$5:$W$9,MATCH(ROUNDUP((M$1)/10,0)*10,[1]Hugst!$R$4:$W$4,0))))</f>
        <v>3398.950817940387</v>
      </c>
      <c r="N86">
        <f ca="1">IF($C86-N$1&lt;År1,0,M85*(1-VLOOKUP($A86,[1]Hugst!$R$5:$W$9,MATCH(ROUNDUP((N$1)/10,0)*10,[1]Hugst!$R$4:$W$4,0))))</f>
        <v>3395.3481026634886</v>
      </c>
      <c r="O86">
        <f ca="1">IF($C86-O$1&lt;År1,0,N85*(1-VLOOKUP($A86,[1]Hugst!$R$5:$W$9,MATCH(ROUNDUP((O$1)/10,0)*10,[1]Hugst!$R$4:$W$4,0))))</f>
        <v>3391.74851192915</v>
      </c>
      <c r="P86">
        <f ca="1">IF($C86-P$1&lt;År1,0,O85*(1-VLOOKUP($A86,[1]Hugst!$R$5:$W$9,MATCH(ROUNDUP((P$1)/10,0)*10,[1]Hugst!$R$4:$W$4,0))))</f>
        <v>3382.9837262699161</v>
      </c>
      <c r="Q86">
        <f ca="1">IF($C86-Q$1&lt;År1,0,P85*(1-VLOOKUP($A86,[1]Hugst!$R$5:$W$9,MATCH(ROUNDUP((Q$1)/10,0)*10,[1]Hugst!$R$4:$W$4,0))))</f>
        <v>3374.2409995966009</v>
      </c>
      <c r="R86">
        <f ca="1">IF($C86-R$1&lt;År1,0,Q85*(1-VLOOKUP($A86,[1]Hugst!$R$5:$W$9,MATCH(ROUNDUP((R$1)/10,0)*10,[1]Hugst!$R$4:$W$4,0))))</f>
        <v>5354.1193981219858</v>
      </c>
      <c r="S86">
        <f ca="1">IF($C86-S$1&lt;År1,0,R85*(1-VLOOKUP($A86,[1]Hugst!$R$5:$W$9,MATCH(ROUNDUP((S$1)/10,0)*10,[1]Hugst!$R$4:$W$4,0))))</f>
        <v>5342.3873234026523</v>
      </c>
      <c r="T86">
        <f ca="1">IF($C86-T$1&lt;År1,0,S85*(1-VLOOKUP($A86,[1]Hugst!$R$5:$W$9,MATCH(ROUNDUP((T$1)/10,0)*10,[1]Hugst!$R$4:$W$4,0))))</f>
        <v>5338.9042537865498</v>
      </c>
      <c r="U86">
        <f ca="1">IF($C86-U$1&lt;År1,0,T85*(1-VLOOKUP($A86,[1]Hugst!$R$5:$W$9,MATCH(ROUNDUP((U$1)/10,0)*10,[1]Hugst!$R$4:$W$4,0))))</f>
        <v>5335.442792338572</v>
      </c>
      <c r="V86">
        <f ca="1">IF($C86-V$1&lt;År1,0,U85*(1-VLOOKUP($A86,[1]Hugst!$R$5:$W$9,MATCH(ROUNDUP((V$1)/10,0)*10,[1]Hugst!$R$4:$W$4,0))))</f>
        <v>5332.0029629999408</v>
      </c>
      <c r="W86">
        <f ca="1">IF($C86-W$1&lt;År1,0,V85*(1-VLOOKUP($A86,[1]Hugst!$R$5:$W$9,MATCH(ROUNDUP((W$1)/10,0)*10,[1]Hugst!$R$4:$W$4,0))))</f>
        <v>5328.584789874003</v>
      </c>
      <c r="X86">
        <f ca="1">IF($C86-X$1&lt;År1,0,W85*(1-VLOOKUP($A86,[1]Hugst!$R$5:$W$9,MATCH(ROUNDUP((X$1)/10,0)*10,[1]Hugst!$R$4:$W$4,0))))</f>
        <v>5325.1882972267395</v>
      </c>
      <c r="Y86">
        <f ca="1">IF($C86-Y$1&lt;År1,0,X85*(1-VLOOKUP($A86,[1]Hugst!$R$5:$W$9,MATCH(ROUNDUP((Y$1)/10,0)*10,[1]Hugst!$R$4:$W$4,0))))</f>
        <v>5321.8135094872032</v>
      </c>
      <c r="Z86">
        <f ca="1">IF($C86-Z$1&lt;År1,0,Y85*(1-VLOOKUP($A86,[1]Hugst!$R$5:$W$9,MATCH(ROUNDUP((Z$1)/10,0)*10,[1]Hugst!$R$4:$W$4,0))))</f>
        <v>5317.3319373175773</v>
      </c>
      <c r="AA86">
        <f ca="1">IF($C86-AA$1&lt;År1,0,Z85*(1-VLOOKUP($A86,[1]Hugst!$R$5:$W$9,MATCH(ROUNDUP((AA$1)/10,0)*10,[1]Hugst!$R$4:$W$4,0))))</f>
        <v>5312.8737724380453</v>
      </c>
      <c r="AB86">
        <f ca="1">IF($C86-AB$1&lt;År1,0,AA85*(1-VLOOKUP($A86,[1]Hugst!$R$5:$W$9,MATCH(ROUNDUP((AB$1)/10,0)*10,[1]Hugst!$R$4:$W$4,0))))</f>
        <v>5308.4390254080854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25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872.30235390073358</v>
      </c>
      <c r="E87">
        <f t="shared" ca="1" si="1"/>
        <v>109.40171601822658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3423.3707365856276</v>
      </c>
      <c r="G87">
        <f ca="1">IF($C87-G$1&lt;År1,0,F86*(1-VLOOKUP($A87,[1]Hugst!$R$5:$W$9,MATCH(ROUNDUP((G$1)/10,0)*10,[1]Hugst!$R$4:$W$4,0))))</f>
        <v>3421.6162066997854</v>
      </c>
      <c r="H87">
        <f ca="1">IF($C87-H$1&lt;År1,0,G86*(1-VLOOKUP($A87,[1]Hugst!$R$5:$W$9,MATCH(ROUNDUP((H$1)/10,0)*10,[1]Hugst!$R$4:$W$4,0))))</f>
        <v>3419.8768519091204</v>
      </c>
      <c r="I87">
        <f ca="1">IF($C87-I$1&lt;År1,0,H86*(1-VLOOKUP($A87,[1]Hugst!$R$5:$W$9,MATCH(ROUNDUP((I$1)/10,0)*10,[1]Hugst!$R$4:$W$4,0))))</f>
        <v>3418.1527572490772</v>
      </c>
      <c r="J87">
        <f ca="1">IF($C87-J$1&lt;År1,0,I86*(1-VLOOKUP($A87,[1]Hugst!$R$5:$W$9,MATCH(ROUNDUP((J$1)/10,0)*10,[1]Hugst!$R$4:$W$4,0))))</f>
        <v>3413.3919719202563</v>
      </c>
      <c r="K87">
        <f ca="1">IF($C87-K$1&lt;År1,0,J86*(1-VLOOKUP($A87,[1]Hugst!$R$5:$W$9,MATCH(ROUNDUP((K$1)/10,0)*10,[1]Hugst!$R$4:$W$4,0))))</f>
        <v>3409.7772340318656</v>
      </c>
      <c r="L87">
        <f ca="1">IF($C87-L$1&lt;År1,0,K86*(1-VLOOKUP($A87,[1]Hugst!$R$5:$W$9,MATCH(ROUNDUP((L$1)/10,0)*10,[1]Hugst!$R$4:$W$4,0))))</f>
        <v>3406.1654310362223</v>
      </c>
      <c r="M87">
        <f ca="1">IF($C87-M$1&lt;År1,0,L86*(1-VLOOKUP($A87,[1]Hugst!$R$5:$W$9,MATCH(ROUNDUP((M$1)/10,0)*10,[1]Hugst!$R$4:$W$4,0))))</f>
        <v>3402.5566099163184</v>
      </c>
      <c r="N87">
        <f ca="1">IF($C87-N$1&lt;År1,0,M86*(1-VLOOKUP($A87,[1]Hugst!$R$5:$W$9,MATCH(ROUNDUP((N$1)/10,0)*10,[1]Hugst!$R$4:$W$4,0))))</f>
        <v>3398.950817940387</v>
      </c>
      <c r="O87">
        <f ca="1">IF($C87-O$1&lt;År1,0,N86*(1-VLOOKUP($A87,[1]Hugst!$R$5:$W$9,MATCH(ROUNDUP((O$1)/10,0)*10,[1]Hugst!$R$4:$W$4,0))))</f>
        <v>3395.3481026634886</v>
      </c>
      <c r="P87">
        <f ca="1">IF($C87-P$1&lt;År1,0,O86*(1-VLOOKUP($A87,[1]Hugst!$R$5:$W$9,MATCH(ROUNDUP((P$1)/10,0)*10,[1]Hugst!$R$4:$W$4,0))))</f>
        <v>3386.5746582668853</v>
      </c>
      <c r="Q87">
        <f ca="1">IF($C87-Q$1&lt;År1,0,P86*(1-VLOOKUP($A87,[1]Hugst!$R$5:$W$9,MATCH(ROUNDUP((Q$1)/10,0)*10,[1]Hugst!$R$4:$W$4,0))))</f>
        <v>3377.8232426196737</v>
      </c>
      <c r="R87">
        <f ca="1">IF($C87-R$1&lt;År1,0,Q86*(1-VLOOKUP($A87,[1]Hugst!$R$5:$W$9,MATCH(ROUNDUP((R$1)/10,0)*10,[1]Hugst!$R$4:$W$4,0))))</f>
        <v>3369.0938523090804</v>
      </c>
      <c r="S87">
        <f ca="1">IF($C87-S$1&lt;År1,0,R86*(1-VLOOKUP($A87,[1]Hugst!$R$5:$W$9,MATCH(ROUNDUP((S$1)/10,0)*10,[1]Hugst!$R$4:$W$4,0))))</f>
        <v>5345.952097345189</v>
      </c>
      <c r="T87">
        <f ca="1">IF($C87-T$1&lt;År1,0,S86*(1-VLOOKUP($A87,[1]Hugst!$R$5:$W$9,MATCH(ROUNDUP((T$1)/10,0)*10,[1]Hugst!$R$4:$W$4,0))))</f>
        <v>5334.2379190110214</v>
      </c>
      <c r="U87">
        <f ca="1">IF($C87-U$1&lt;År1,0,T86*(1-VLOOKUP($A87,[1]Hugst!$R$5:$W$9,MATCH(ROUNDUP((U$1)/10,0)*10,[1]Hugst!$R$4:$W$4,0))))</f>
        <v>5330.7601625519601</v>
      </c>
      <c r="V87">
        <f ca="1">IF($C87-V$1&lt;År1,0,U86*(1-VLOOKUP($A87,[1]Hugst!$R$5:$W$9,MATCH(ROUNDUP((V$1)/10,0)*10,[1]Hugst!$R$4:$W$4,0))))</f>
        <v>5327.3039812994111</v>
      </c>
      <c r="W87">
        <f ca="1">IF($C87-W$1&lt;År1,0,V86*(1-VLOOKUP($A87,[1]Hugst!$R$5:$W$9,MATCH(ROUNDUP((W$1)/10,0)*10,[1]Hugst!$R$4:$W$4,0))))</f>
        <v>5323.8693991580767</v>
      </c>
      <c r="X87">
        <f ca="1">IF($C87-X$1&lt;År1,0,W86*(1-VLOOKUP($A87,[1]Hugst!$R$5:$W$9,MATCH(ROUNDUP((X$1)/10,0)*10,[1]Hugst!$R$4:$W$4,0))))</f>
        <v>5320.4564401945345</v>
      </c>
      <c r="Y87">
        <f ca="1">IF($C87-Y$1&lt;År1,0,X86*(1-VLOOKUP($A87,[1]Hugst!$R$5:$W$9,MATCH(ROUNDUP((Y$1)/10,0)*10,[1]Hugst!$R$4:$W$4,0))))</f>
        <v>5317.0651286377497</v>
      </c>
      <c r="Z87">
        <f ca="1">IF($C87-Z$1&lt;År1,0,Y86*(1-VLOOKUP($A87,[1]Hugst!$R$5:$W$9,MATCH(ROUNDUP((Z$1)/10,0)*10,[1]Hugst!$R$4:$W$4,0))))</f>
        <v>5312.5679860173314</v>
      </c>
      <c r="AA87">
        <f ca="1">IF($C87-AA$1&lt;År1,0,Z86*(1-VLOOKUP($A87,[1]Hugst!$R$5:$W$9,MATCH(ROUNDUP((AA$1)/10,0)*10,[1]Hugst!$R$4:$W$4,0))))</f>
        <v>5308.0941996298643</v>
      </c>
      <c r="AB87">
        <f ca="1">IF($C87-AB$1&lt;År1,0,AA86*(1-VLOOKUP($A87,[1]Hugst!$R$5:$W$9,MATCH(ROUNDUP((AB$1)/10,0)*10,[1]Hugst!$R$4:$W$4,0))))</f>
        <v>5303.6437798672841</v>
      </c>
      <c r="AC87">
        <f ca="1">IF($C87-AC$1&lt;År1,0,AB86*(1-VLOOKUP($A87,[1]Hugst!$R$5:$W$9,MATCH(ROUNDUP((AC$1)/10,0)*10,[1]Hugst!$R$4:$W$4,0))))</f>
        <v>5299.2167372707236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25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867.94084213123642</v>
      </c>
      <c r="E88">
        <f t="shared" ca="1" si="1"/>
        <v>115.53284813064965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3425.1403569285535</v>
      </c>
      <c r="G88">
        <f ca="1">IF($C88-G$1&lt;År1,0,F87*(1-VLOOKUP($A88,[1]Hugst!$R$5:$W$9,MATCH(ROUNDUP((G$1)/10,0)*10,[1]Hugst!$R$4:$W$4,0))))</f>
        <v>3423.3707365856276</v>
      </c>
      <c r="H88">
        <f ca="1">IF($C88-H$1&lt;År1,0,G87*(1-VLOOKUP($A88,[1]Hugst!$R$5:$W$9,MATCH(ROUNDUP((H$1)/10,0)*10,[1]Hugst!$R$4:$W$4,0))))</f>
        <v>3421.6162066997854</v>
      </c>
      <c r="I88">
        <f ca="1">IF($C88-I$1&lt;År1,0,H87*(1-VLOOKUP($A88,[1]Hugst!$R$5:$W$9,MATCH(ROUNDUP((I$1)/10,0)*10,[1]Hugst!$R$4:$W$4,0))))</f>
        <v>3419.8768519091204</v>
      </c>
      <c r="J88">
        <f ca="1">IF($C88-J$1&lt;År1,0,I87*(1-VLOOKUP($A88,[1]Hugst!$R$5:$W$9,MATCH(ROUNDUP((J$1)/10,0)*10,[1]Hugst!$R$4:$W$4,0))))</f>
        <v>3418.1527572490772</v>
      </c>
      <c r="K88">
        <f ca="1">IF($C88-K$1&lt;År1,0,J87*(1-VLOOKUP($A88,[1]Hugst!$R$5:$W$9,MATCH(ROUNDUP((K$1)/10,0)*10,[1]Hugst!$R$4:$W$4,0))))</f>
        <v>3413.3919719202563</v>
      </c>
      <c r="L88">
        <f ca="1">IF($C88-L$1&lt;År1,0,K87*(1-VLOOKUP($A88,[1]Hugst!$R$5:$W$9,MATCH(ROUNDUP((L$1)/10,0)*10,[1]Hugst!$R$4:$W$4,0))))</f>
        <v>3409.7772340318656</v>
      </c>
      <c r="M88">
        <f ca="1">IF($C88-M$1&lt;År1,0,L87*(1-VLOOKUP($A88,[1]Hugst!$R$5:$W$9,MATCH(ROUNDUP((M$1)/10,0)*10,[1]Hugst!$R$4:$W$4,0))))</f>
        <v>3406.1654310362223</v>
      </c>
      <c r="N88">
        <f ca="1">IF($C88-N$1&lt;År1,0,M87*(1-VLOOKUP($A88,[1]Hugst!$R$5:$W$9,MATCH(ROUNDUP((N$1)/10,0)*10,[1]Hugst!$R$4:$W$4,0))))</f>
        <v>3402.5566099163184</v>
      </c>
      <c r="O88">
        <f ca="1">IF($C88-O$1&lt;År1,0,N87*(1-VLOOKUP($A88,[1]Hugst!$R$5:$W$9,MATCH(ROUNDUP((O$1)/10,0)*10,[1]Hugst!$R$4:$W$4,0))))</f>
        <v>3398.950817940387</v>
      </c>
      <c r="P88">
        <f ca="1">IF($C88-P$1&lt;År1,0,O87*(1-VLOOKUP($A88,[1]Hugst!$R$5:$W$9,MATCH(ROUNDUP((P$1)/10,0)*10,[1]Hugst!$R$4:$W$4,0))))</f>
        <v>3390.1687581001033</v>
      </c>
      <c r="Q88">
        <f ca="1">IF($C88-Q$1&lt;År1,0,P87*(1-VLOOKUP($A88,[1]Hugst!$R$5:$W$9,MATCH(ROUNDUP((Q$1)/10,0)*10,[1]Hugst!$R$4:$W$4,0))))</f>
        <v>3381.408696923766</v>
      </c>
      <c r="R88">
        <f ca="1">IF($C88-R$1&lt;År1,0,Q87*(1-VLOOKUP($A88,[1]Hugst!$R$5:$W$9,MATCH(ROUNDUP((R$1)/10,0)*10,[1]Hugst!$R$4:$W$4,0))))</f>
        <v>3372.6706308936436</v>
      </c>
      <c r="S88">
        <f ca="1">IF($C88-S$1&lt;År1,0,R87*(1-VLOOKUP($A88,[1]Hugst!$R$5:$W$9,MATCH(ROUNDUP((S$1)/10,0)*10,[1]Hugst!$R$4:$W$4,0))))</f>
        <v>3363.9545566021679</v>
      </c>
      <c r="T88">
        <f ca="1">IF($C88-T$1&lt;År1,0,S87*(1-VLOOKUP($A88,[1]Hugst!$R$5:$W$9,MATCH(ROUNDUP((T$1)/10,0)*10,[1]Hugst!$R$4:$W$4,0))))</f>
        <v>5337.7972551627981</v>
      </c>
      <c r="U88">
        <f ca="1">IF($C88-U$1&lt;År1,0,T87*(1-VLOOKUP($A88,[1]Hugst!$R$5:$W$9,MATCH(ROUNDUP((U$1)/10,0)*10,[1]Hugst!$R$4:$W$4,0))))</f>
        <v>5326.1009459142251</v>
      </c>
      <c r="V88">
        <f ca="1">IF($C88-V$1&lt;År1,0,U87*(1-VLOOKUP($A88,[1]Hugst!$R$5:$W$9,MATCH(ROUNDUP((V$1)/10,0)*10,[1]Hugst!$R$4:$W$4,0))))</f>
        <v>5322.6284945073894</v>
      </c>
      <c r="W88">
        <f ca="1">IF($C88-W$1&lt;År1,0,V87*(1-VLOOKUP($A88,[1]Hugst!$R$5:$W$9,MATCH(ROUNDUP((W$1)/10,0)*10,[1]Hugst!$R$4:$W$4,0))))</f>
        <v>5319.1775853957342</v>
      </c>
      <c r="X88">
        <f ca="1">IF($C88-X$1&lt;År1,0,W87*(1-VLOOKUP($A88,[1]Hugst!$R$5:$W$9,MATCH(ROUNDUP((X$1)/10,0)*10,[1]Hugst!$R$4:$W$4,0))))</f>
        <v>5315.7482424474965</v>
      </c>
      <c r="Y88">
        <f ca="1">IF($C88-Y$1&lt;År1,0,X87*(1-VLOOKUP($A88,[1]Hugst!$R$5:$W$9,MATCH(ROUNDUP((Y$1)/10,0)*10,[1]Hugst!$R$4:$W$4,0))))</f>
        <v>5312.3404896925431</v>
      </c>
      <c r="Z88">
        <f ca="1">IF($C88-Z$1&lt;År1,0,Y87*(1-VLOOKUP($A88,[1]Hugst!$R$5:$W$9,MATCH(ROUNDUP((Z$1)/10,0)*10,[1]Hugst!$R$4:$W$4,0))))</f>
        <v>5307.8278544735904</v>
      </c>
      <c r="AA88">
        <f ca="1">IF($C88-AA$1&lt;År1,0,Z87*(1-VLOOKUP($A88,[1]Hugst!$R$5:$W$9,MATCH(ROUNDUP((AA$1)/10,0)*10,[1]Hugst!$R$4:$W$4,0))))</f>
        <v>5303.3385246856906</v>
      </c>
      <c r="AB88">
        <f ca="1">IF($C88-AB$1&lt;År1,0,AA87*(1-VLOOKUP($A88,[1]Hugst!$R$5:$W$9,MATCH(ROUNDUP((AB$1)/10,0)*10,[1]Hugst!$R$4:$W$4,0))))</f>
        <v>5298.8725105542362</v>
      </c>
      <c r="AC88">
        <f ca="1">IF($C88-AC$1&lt;År1,0,AB87*(1-VLOOKUP($A88,[1]Hugst!$R$5:$W$9,MATCH(ROUNDUP((AC$1)/10,0)*10,[1]Hugst!$R$4:$W$4,0))))</f>
        <v>5294.4298224531076</v>
      </c>
      <c r="AD88">
        <f ca="1">IF($C88-AD$1&lt;År1,0,AC87*(1-VLOOKUP($A88,[1]Hugst!$R$5:$W$9,MATCH(ROUNDUP((AD$1)/10,0)*10,[1]Hugst!$R$4:$W$4,0))))</f>
        <v>5290.0104709051257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25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863.60113792057746</v>
      </c>
      <c r="E89">
        <f t="shared" ca="1" si="1"/>
        <v>121.65717889847292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3426.9249834857178</v>
      </c>
      <c r="G89">
        <f ca="1">IF($C89-G$1&lt;År1,0,F88*(1-VLOOKUP($A89,[1]Hugst!$R$5:$W$9,MATCH(ROUNDUP((G$1)/10,0)*10,[1]Hugst!$R$4:$W$4,0))))</f>
        <v>3425.1403569285535</v>
      </c>
      <c r="H89">
        <f ca="1">IF($C89-H$1&lt;År1,0,G88*(1-VLOOKUP($A89,[1]Hugst!$R$5:$W$9,MATCH(ROUNDUP((H$1)/10,0)*10,[1]Hugst!$R$4:$W$4,0))))</f>
        <v>3423.3707365856276</v>
      </c>
      <c r="I89">
        <f ca="1">IF($C89-I$1&lt;År1,0,H88*(1-VLOOKUP($A89,[1]Hugst!$R$5:$W$9,MATCH(ROUNDUP((I$1)/10,0)*10,[1]Hugst!$R$4:$W$4,0))))</f>
        <v>3421.6162066997854</v>
      </c>
      <c r="J89">
        <f ca="1">IF($C89-J$1&lt;År1,0,I88*(1-VLOOKUP($A89,[1]Hugst!$R$5:$W$9,MATCH(ROUNDUP((J$1)/10,0)*10,[1]Hugst!$R$4:$W$4,0))))</f>
        <v>3419.8768519091204</v>
      </c>
      <c r="K89">
        <f ca="1">IF($C89-K$1&lt;År1,0,J88*(1-VLOOKUP($A89,[1]Hugst!$R$5:$W$9,MATCH(ROUNDUP((K$1)/10,0)*10,[1]Hugst!$R$4:$W$4,0))))</f>
        <v>3418.1527572490772</v>
      </c>
      <c r="L89">
        <f ca="1">IF($C89-L$1&lt;År1,0,K88*(1-VLOOKUP($A89,[1]Hugst!$R$5:$W$9,MATCH(ROUNDUP((L$1)/10,0)*10,[1]Hugst!$R$4:$W$4,0))))</f>
        <v>3413.3919719202563</v>
      </c>
      <c r="M89">
        <f ca="1">IF($C89-M$1&lt;År1,0,L88*(1-VLOOKUP($A89,[1]Hugst!$R$5:$W$9,MATCH(ROUNDUP((M$1)/10,0)*10,[1]Hugst!$R$4:$W$4,0))))</f>
        <v>3409.7772340318656</v>
      </c>
      <c r="N89">
        <f ca="1">IF($C89-N$1&lt;År1,0,M88*(1-VLOOKUP($A89,[1]Hugst!$R$5:$W$9,MATCH(ROUNDUP((N$1)/10,0)*10,[1]Hugst!$R$4:$W$4,0))))</f>
        <v>3406.1654310362223</v>
      </c>
      <c r="O89">
        <f ca="1">IF($C89-O$1&lt;År1,0,N88*(1-VLOOKUP($A89,[1]Hugst!$R$5:$W$9,MATCH(ROUNDUP((O$1)/10,0)*10,[1]Hugst!$R$4:$W$4,0))))</f>
        <v>3402.5566099163184</v>
      </c>
      <c r="P89">
        <f ca="1">IF($C89-P$1&lt;År1,0,O88*(1-VLOOKUP($A89,[1]Hugst!$R$5:$W$9,MATCH(ROUNDUP((P$1)/10,0)*10,[1]Hugst!$R$4:$W$4,0))))</f>
        <v>3393.7659777096305</v>
      </c>
      <c r="Q89">
        <f ca="1">IF($C89-Q$1&lt;År1,0,P88*(1-VLOOKUP($A89,[1]Hugst!$R$5:$W$9,MATCH(ROUNDUP((Q$1)/10,0)*10,[1]Hugst!$R$4:$W$4,0))))</f>
        <v>3384.9973142318149</v>
      </c>
      <c r="R89">
        <f ca="1">IF($C89-R$1&lt;År1,0,Q88*(1-VLOOKUP($A89,[1]Hugst!$R$5:$W$9,MATCH(ROUNDUP((R$1)/10,0)*10,[1]Hugst!$R$4:$W$4,0))))</f>
        <v>3376.250615860662</v>
      </c>
      <c r="S89">
        <f ca="1">IF($C89-S$1&lt;År1,0,R88*(1-VLOOKUP($A89,[1]Hugst!$R$5:$W$9,MATCH(ROUNDUP((S$1)/10,0)*10,[1]Hugst!$R$4:$W$4,0))))</f>
        <v>3367.5258790838056</v>
      </c>
      <c r="T89">
        <f ca="1">IF($C89-T$1&lt;År1,0,S88*(1-VLOOKUP($A89,[1]Hugst!$R$5:$W$9,MATCH(ROUNDUP((T$1)/10,0)*10,[1]Hugst!$R$4:$W$4,0))))</f>
        <v>3358.8231004988766</v>
      </c>
      <c r="U89">
        <f ca="1">IF($C89-U$1&lt;År1,0,T88*(1-VLOOKUP($A89,[1]Hugst!$R$5:$W$9,MATCH(ROUNDUP((U$1)/10,0)*10,[1]Hugst!$R$4:$W$4,0))))</f>
        <v>5329.6548525701764</v>
      </c>
      <c r="V89">
        <f ca="1">IF($C89-V$1&lt;År1,0,U88*(1-VLOOKUP($A89,[1]Hugst!$R$5:$W$9,MATCH(ROUNDUP((V$1)/10,0)*10,[1]Hugst!$R$4:$W$4,0))))</f>
        <v>5317.9763851492708</v>
      </c>
      <c r="W89">
        <f ca="1">IF($C89-W$1&lt;År1,0,V88*(1-VLOOKUP($A89,[1]Hugst!$R$5:$W$9,MATCH(ROUNDUP((W$1)/10,0)*10,[1]Hugst!$R$4:$W$4,0))))</f>
        <v>5314.5092307022087</v>
      </c>
      <c r="X89">
        <f ca="1">IF($C89-X$1&lt;År1,0,W88*(1-VLOOKUP($A89,[1]Hugst!$R$5:$W$9,MATCH(ROUNDUP((X$1)/10,0)*10,[1]Hugst!$R$4:$W$4,0))))</f>
        <v>5311.0635856891986</v>
      </c>
      <c r="Y89">
        <f ca="1">IF($C89-Y$1&lt;År1,0,X88*(1-VLOOKUP($A89,[1]Hugst!$R$5:$W$9,MATCH(ROUNDUP((Y$1)/10,0)*10,[1]Hugst!$R$4:$W$4,0))))</f>
        <v>5307.6394739420675</v>
      </c>
      <c r="Z89">
        <f ca="1">IF($C89-Z$1&lt;År1,0,Y88*(1-VLOOKUP($A89,[1]Hugst!$R$5:$W$9,MATCH(ROUNDUP((Z$1)/10,0)*10,[1]Hugst!$R$4:$W$4,0))))</f>
        <v>5303.1114235875684</v>
      </c>
      <c r="AA89">
        <f ca="1">IF($C89-AA$1&lt;År1,0,Z88*(1-VLOOKUP($A89,[1]Hugst!$R$5:$W$9,MATCH(ROUNDUP((AA$1)/10,0)*10,[1]Hugst!$R$4:$W$4,0))))</f>
        <v>5298.6066281162421</v>
      </c>
      <c r="AB89">
        <f ca="1">IF($C89-AB$1&lt;År1,0,AA88*(1-VLOOKUP($A89,[1]Hugst!$R$5:$W$9,MATCH(ROUNDUP((AB$1)/10,0)*10,[1]Hugst!$R$4:$W$4,0))))</f>
        <v>5294.1250975877192</v>
      </c>
      <c r="AC89">
        <f ca="1">IF($C89-AC$1&lt;År1,0,AB88*(1-VLOOKUP($A89,[1]Hugst!$R$5:$W$9,MATCH(ROUNDUP((AC$1)/10,0)*10,[1]Hugst!$R$4:$W$4,0))))</f>
        <v>5289.6668422096291</v>
      </c>
      <c r="AD89">
        <f ca="1">IF($C89-AD$1&lt;År1,0,AC88*(1-VLOOKUP($A89,[1]Hugst!$R$5:$W$9,MATCH(ROUNDUP((AD$1)/10,0)*10,[1]Hugst!$R$4:$W$4,0))))</f>
        <v>5285.2318723378285</v>
      </c>
      <c r="AE89">
        <f ca="1">IF($C89-AE$1&lt;År1,0,AD88*(1-VLOOKUP($A89,[1]Hugst!$R$5:$W$9,MATCH(ROUNDUP((AE$1)/10,0)*10,[1]Hugst!$R$4:$W$4,0))))</f>
        <v>5280.8201984768584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25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859.28313223100486</v>
      </c>
      <c r="E90">
        <f t="shared" ca="1" si="1"/>
        <v>127.77473351004301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3428.7245324077153</v>
      </c>
      <c r="G90">
        <f ca="1">IF($C90-G$1&lt;År1,0,F89*(1-VLOOKUP($A90,[1]Hugst!$R$5:$W$9,MATCH(ROUNDUP((G$1)/10,0)*10,[1]Hugst!$R$4:$W$4,0))))</f>
        <v>3426.9249834857178</v>
      </c>
      <c r="H90">
        <f ca="1">IF($C90-H$1&lt;År1,0,G89*(1-VLOOKUP($A90,[1]Hugst!$R$5:$W$9,MATCH(ROUNDUP((H$1)/10,0)*10,[1]Hugst!$R$4:$W$4,0))))</f>
        <v>3425.1403569285535</v>
      </c>
      <c r="I90">
        <f ca="1">IF($C90-I$1&lt;År1,0,H89*(1-VLOOKUP($A90,[1]Hugst!$R$5:$W$9,MATCH(ROUNDUP((I$1)/10,0)*10,[1]Hugst!$R$4:$W$4,0))))</f>
        <v>3423.3707365856276</v>
      </c>
      <c r="J90">
        <f ca="1">IF($C90-J$1&lt;År1,0,I89*(1-VLOOKUP($A90,[1]Hugst!$R$5:$W$9,MATCH(ROUNDUP((J$1)/10,0)*10,[1]Hugst!$R$4:$W$4,0))))</f>
        <v>3421.6162066997854</v>
      </c>
      <c r="K90">
        <f ca="1">IF($C90-K$1&lt;År1,0,J89*(1-VLOOKUP($A90,[1]Hugst!$R$5:$W$9,MATCH(ROUNDUP((K$1)/10,0)*10,[1]Hugst!$R$4:$W$4,0))))</f>
        <v>3419.8768519091204</v>
      </c>
      <c r="L90">
        <f ca="1">IF($C90-L$1&lt;År1,0,K89*(1-VLOOKUP($A90,[1]Hugst!$R$5:$W$9,MATCH(ROUNDUP((L$1)/10,0)*10,[1]Hugst!$R$4:$W$4,0))))</f>
        <v>3418.1527572490772</v>
      </c>
      <c r="M90">
        <f ca="1">IF($C90-M$1&lt;År1,0,L89*(1-VLOOKUP($A90,[1]Hugst!$R$5:$W$9,MATCH(ROUNDUP((M$1)/10,0)*10,[1]Hugst!$R$4:$W$4,0))))</f>
        <v>3413.3919719202563</v>
      </c>
      <c r="N90">
        <f ca="1">IF($C90-N$1&lt;År1,0,M89*(1-VLOOKUP($A90,[1]Hugst!$R$5:$W$9,MATCH(ROUNDUP((N$1)/10,0)*10,[1]Hugst!$R$4:$W$4,0))))</f>
        <v>3409.7772340318656</v>
      </c>
      <c r="O90">
        <f ca="1">IF($C90-O$1&lt;År1,0,N89*(1-VLOOKUP($A90,[1]Hugst!$R$5:$W$9,MATCH(ROUNDUP((O$1)/10,0)*10,[1]Hugst!$R$4:$W$4,0))))</f>
        <v>3406.1654310362223</v>
      </c>
      <c r="P90">
        <f ca="1">IF($C90-P$1&lt;År1,0,O89*(1-VLOOKUP($A90,[1]Hugst!$R$5:$W$9,MATCH(ROUNDUP((P$1)/10,0)*10,[1]Hugst!$R$4:$W$4,0))))</f>
        <v>3397.3662693249207</v>
      </c>
      <c r="Q90">
        <f ca="1">IF($C90-Q$1&lt;År1,0,P89*(1-VLOOKUP($A90,[1]Hugst!$R$5:$W$9,MATCH(ROUNDUP((Q$1)/10,0)*10,[1]Hugst!$R$4:$W$4,0))))</f>
        <v>3388.589046557192</v>
      </c>
      <c r="R90">
        <f ca="1">IF($C90-R$1&lt;År1,0,Q89*(1-VLOOKUP($A90,[1]Hugst!$R$5:$W$9,MATCH(ROUNDUP((R$1)/10,0)*10,[1]Hugst!$R$4:$W$4,0))))</f>
        <v>3379.8337590067154</v>
      </c>
      <c r="S90">
        <f ca="1">IF($C90-S$1&lt;År1,0,R89*(1-VLOOKUP($A90,[1]Hugst!$R$5:$W$9,MATCH(ROUNDUP((S$1)/10,0)*10,[1]Hugst!$R$4:$W$4,0))))</f>
        <v>3371.1004030568065</v>
      </c>
      <c r="T90">
        <f ca="1">IF($C90-T$1&lt;År1,0,S89*(1-VLOOKUP($A90,[1]Hugst!$R$5:$W$9,MATCH(ROUNDUP((T$1)/10,0)*10,[1]Hugst!$R$4:$W$4,0))))</f>
        <v>3362.3889752004575</v>
      </c>
      <c r="U90">
        <f ca="1">IF($C90-U$1&lt;År1,0,T89*(1-VLOOKUP($A90,[1]Hugst!$R$5:$W$9,MATCH(ROUNDUP((U$1)/10,0)*10,[1]Hugst!$R$4:$W$4,0))))</f>
        <v>3353.6994720404882</v>
      </c>
      <c r="V90">
        <f ca="1">IF($C90-V$1&lt;År1,0,U89*(1-VLOOKUP($A90,[1]Hugst!$R$5:$W$9,MATCH(ROUNDUP((V$1)/10,0)*10,[1]Hugst!$R$4:$W$4,0))))</f>
        <v>5321.5248705916792</v>
      </c>
      <c r="W90">
        <f ca="1">IF($C90-W$1&lt;År1,0,V89*(1-VLOOKUP($A90,[1]Hugst!$R$5:$W$9,MATCH(ROUNDUP((W$1)/10,0)*10,[1]Hugst!$R$4:$W$4,0))))</f>
        <v>5309.8642177820939</v>
      </c>
      <c r="X90">
        <f ca="1">IF($C90-X$1&lt;År1,0,W89*(1-VLOOKUP($A90,[1]Hugst!$R$5:$W$9,MATCH(ROUNDUP((X$1)/10,0)*10,[1]Hugst!$R$4:$W$4,0))))</f>
        <v>5306.4023522146963</v>
      </c>
      <c r="Y90">
        <f ca="1">IF($C90-Y$1&lt;År1,0,X89*(1-VLOOKUP($A90,[1]Hugst!$R$5:$W$9,MATCH(ROUNDUP((Y$1)/10,0)*10,[1]Hugst!$R$4:$W$4,0))))</f>
        <v>5302.9619632703507</v>
      </c>
      <c r="Z90">
        <f ca="1">IF($C90-Z$1&lt;År1,0,Y89*(1-VLOOKUP($A90,[1]Hugst!$R$5:$W$9,MATCH(ROUNDUP((Z$1)/10,0)*10,[1]Hugst!$R$4:$W$4,0))))</f>
        <v>5298.4185748559812</v>
      </c>
      <c r="AA90">
        <f ca="1">IF($C90-AA$1&lt;År1,0,Z89*(1-VLOOKUP($A90,[1]Hugst!$R$5:$W$9,MATCH(ROUNDUP((AA$1)/10,0)*10,[1]Hugst!$R$4:$W$4,0))))</f>
        <v>5293.8983910296411</v>
      </c>
      <c r="AB90">
        <f ca="1">IF($C90-AB$1&lt;År1,0,AA89*(1-VLOOKUP($A90,[1]Hugst!$R$5:$W$9,MATCH(ROUNDUP((AB$1)/10,0)*10,[1]Hugst!$R$4:$W$4,0))))</f>
        <v>5289.4014216860396</v>
      </c>
      <c r="AC90">
        <f ca="1">IF($C90-AC$1&lt;År1,0,AB89*(1-VLOOKUP($A90,[1]Hugst!$R$5:$W$9,MATCH(ROUNDUP((AC$1)/10,0)*10,[1]Hugst!$R$4:$W$4,0))))</f>
        <v>5284.9276768673335</v>
      </c>
      <c r="AD90">
        <f ca="1">IF($C90-AD$1&lt;År1,0,AC89*(1-VLOOKUP($A90,[1]Hugst!$R$5:$W$9,MATCH(ROUNDUP((AD$1)/10,0)*10,[1]Hugst!$R$4:$W$4,0))))</f>
        <v>5280.4771667634168</v>
      </c>
      <c r="AE90">
        <f ca="1">IF($C90-AE$1&lt;År1,0,AD89*(1-VLOOKUP($A90,[1]Hugst!$R$5:$W$9,MATCH(ROUNDUP((AE$1)/10,0)*10,[1]Hugst!$R$4:$W$4,0))))</f>
        <v>5276.0499017121565</v>
      </c>
      <c r="AF90">
        <f ca="1">IF($C90-AF$1&lt;År1,0,AE89*(1-VLOOKUP($A90,[1]Hugst!$R$5:$W$9,MATCH(ROUNDUP((AF$1)/10,0)*10,[1]Hugst!$R$4:$W$4,0))))</f>
        <v>5271.6458921998437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25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854.98671656979423</v>
      </c>
      <c r="E91">
        <f t="shared" ca="1" si="1"/>
        <v>133.88553700037301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3430.5389202368347</v>
      </c>
      <c r="G91">
        <f ca="1">IF($C91-G$1&lt;År1,0,F90*(1-VLOOKUP($A91,[1]Hugst!$R$5:$W$9,MATCH(ROUNDUP((G$1)/10,0)*10,[1]Hugst!$R$4:$W$4,0))))</f>
        <v>3428.7245324077153</v>
      </c>
      <c r="H91">
        <f ca="1">IF($C91-H$1&lt;År1,0,G90*(1-VLOOKUP($A91,[1]Hugst!$R$5:$W$9,MATCH(ROUNDUP((H$1)/10,0)*10,[1]Hugst!$R$4:$W$4,0))))</f>
        <v>3426.9249834857178</v>
      </c>
      <c r="I91">
        <f ca="1">IF($C91-I$1&lt;År1,0,H90*(1-VLOOKUP($A91,[1]Hugst!$R$5:$W$9,MATCH(ROUNDUP((I$1)/10,0)*10,[1]Hugst!$R$4:$W$4,0))))</f>
        <v>3425.1403569285535</v>
      </c>
      <c r="J91">
        <f ca="1">IF($C91-J$1&lt;År1,0,I90*(1-VLOOKUP($A91,[1]Hugst!$R$5:$W$9,MATCH(ROUNDUP((J$1)/10,0)*10,[1]Hugst!$R$4:$W$4,0))))</f>
        <v>3423.3707365856276</v>
      </c>
      <c r="K91">
        <f ca="1">IF($C91-K$1&lt;År1,0,J90*(1-VLOOKUP($A91,[1]Hugst!$R$5:$W$9,MATCH(ROUNDUP((K$1)/10,0)*10,[1]Hugst!$R$4:$W$4,0))))</f>
        <v>3421.6162066997854</v>
      </c>
      <c r="L91">
        <f ca="1">IF($C91-L$1&lt;År1,0,K90*(1-VLOOKUP($A91,[1]Hugst!$R$5:$W$9,MATCH(ROUNDUP((L$1)/10,0)*10,[1]Hugst!$R$4:$W$4,0))))</f>
        <v>3419.8768519091204</v>
      </c>
      <c r="M91">
        <f ca="1">IF($C91-M$1&lt;År1,0,L90*(1-VLOOKUP($A91,[1]Hugst!$R$5:$W$9,MATCH(ROUNDUP((M$1)/10,0)*10,[1]Hugst!$R$4:$W$4,0))))</f>
        <v>3418.1527572490772</v>
      </c>
      <c r="N91">
        <f ca="1">IF($C91-N$1&lt;År1,0,M90*(1-VLOOKUP($A91,[1]Hugst!$R$5:$W$9,MATCH(ROUNDUP((N$1)/10,0)*10,[1]Hugst!$R$4:$W$4,0))))</f>
        <v>3413.3919719202563</v>
      </c>
      <c r="O91">
        <f ca="1">IF($C91-O$1&lt;År1,0,N90*(1-VLOOKUP($A91,[1]Hugst!$R$5:$W$9,MATCH(ROUNDUP((O$1)/10,0)*10,[1]Hugst!$R$4:$W$4,0))))</f>
        <v>3409.7772340318656</v>
      </c>
      <c r="P91">
        <f ca="1">IF($C91-P$1&lt;År1,0,O90*(1-VLOOKUP($A91,[1]Hugst!$R$5:$W$9,MATCH(ROUNDUP((P$1)/10,0)*10,[1]Hugst!$R$4:$W$4,0))))</f>
        <v>3400.9695854634551</v>
      </c>
      <c r="Q91">
        <f ca="1">IF($C91-Q$1&lt;År1,0,P90*(1-VLOOKUP($A91,[1]Hugst!$R$5:$W$9,MATCH(ROUNDUP((Q$1)/10,0)*10,[1]Hugst!$R$4:$W$4,0))))</f>
        <v>3392.1838462022215</v>
      </c>
      <c r="R91">
        <f ca="1">IF($C91-R$1&lt;År1,0,Q90*(1-VLOOKUP($A91,[1]Hugst!$R$5:$W$9,MATCH(ROUNDUP((R$1)/10,0)*10,[1]Hugst!$R$4:$W$4,0))))</f>
        <v>3383.4200124183758</v>
      </c>
      <c r="S91">
        <f ca="1">IF($C91-S$1&lt;År1,0,R90*(1-VLOOKUP($A91,[1]Hugst!$R$5:$W$9,MATCH(ROUNDUP((S$1)/10,0)*10,[1]Hugst!$R$4:$W$4,0))))</f>
        <v>3374.6780803912811</v>
      </c>
      <c r="T91">
        <f ca="1">IF($C91-T$1&lt;År1,0,S90*(1-VLOOKUP($A91,[1]Hugst!$R$5:$W$9,MATCH(ROUNDUP((T$1)/10,0)*10,[1]Hugst!$R$4:$W$4,0))))</f>
        <v>3365.9580465097706</v>
      </c>
      <c r="U91">
        <f ca="1">IF($C91-U$1&lt;År1,0,T90*(1-VLOOKUP($A91,[1]Hugst!$R$5:$W$9,MATCH(ROUNDUP((U$1)/10,0)*10,[1]Hugst!$R$4:$W$4,0))))</f>
        <v>3357.2599072721855</v>
      </c>
      <c r="V91">
        <f ca="1">IF($C91-V$1&lt;År1,0,U90*(1-VLOOKUP($A91,[1]Hugst!$R$5:$W$9,MATCH(ROUNDUP((V$1)/10,0)*10,[1]Hugst!$R$4:$W$4,0))))</f>
        <v>3348.583659286528</v>
      </c>
      <c r="W91">
        <f ca="1">IF($C91-W$1&lt;År1,0,V90*(1-VLOOKUP($A91,[1]Hugst!$R$5:$W$9,MATCH(ROUNDUP((W$1)/10,0)*10,[1]Hugst!$R$4:$W$4,0))))</f>
        <v>5313.4072902806074</v>
      </c>
      <c r="X91">
        <f ca="1">IF($C91-X$1&lt;År1,0,W90*(1-VLOOKUP($A91,[1]Hugst!$R$5:$W$9,MATCH(ROUNDUP((X$1)/10,0)*10,[1]Hugst!$R$4:$W$4,0))))</f>
        <v>5301.7644249075111</v>
      </c>
      <c r="Y91">
        <f ca="1">IF($C91-Y$1&lt;År1,0,X90*(1-VLOOKUP($A91,[1]Hugst!$R$5:$W$9,MATCH(ROUNDUP((Y$1)/10,0)*10,[1]Hugst!$R$4:$W$4,0))))</f>
        <v>5298.3078401519961</v>
      </c>
      <c r="Z91">
        <f ca="1">IF($C91-Z$1&lt;År1,0,Y90*(1-VLOOKUP($A91,[1]Hugst!$R$5:$W$9,MATCH(ROUNDUP((Z$1)/10,0)*10,[1]Hugst!$R$4:$W$4,0))))</f>
        <v>5293.7491903680584</v>
      </c>
      <c r="AA91">
        <f ca="1">IF($C91-AA$1&lt;År1,0,Z90*(1-VLOOKUP($A91,[1]Hugst!$R$5:$W$9,MATCH(ROUNDUP((AA$1)/10,0)*10,[1]Hugst!$R$4:$W$4,0))))</f>
        <v>5289.2136951284765</v>
      </c>
      <c r="AB91">
        <f ca="1">IF($C91-AB$1&lt;År1,0,AA90*(1-VLOOKUP($A91,[1]Hugst!$R$5:$W$9,MATCH(ROUNDUP((AB$1)/10,0)*10,[1]Hugst!$R$4:$W$4,0))))</f>
        <v>5284.7013641638687</v>
      </c>
      <c r="AC91">
        <f ca="1">IF($C91-AC$1&lt;År1,0,AB90*(1-VLOOKUP($A91,[1]Hugst!$R$5:$W$9,MATCH(ROUNDUP((AC$1)/10,0)*10,[1]Hugst!$R$4:$W$4,0))))</f>
        <v>5280.2122073517539</v>
      </c>
      <c r="AD91">
        <f ca="1">IF($C91-AD$1&lt;År1,0,AC90*(1-VLOOKUP($A91,[1]Hugst!$R$5:$W$9,MATCH(ROUNDUP((AD$1)/10,0)*10,[1]Hugst!$R$4:$W$4,0))))</f>
        <v>5275.746234716843</v>
      </c>
      <c r="AE91">
        <f ca="1">IF($C91-AE$1&lt;År1,0,AD90*(1-VLOOKUP($A91,[1]Hugst!$R$5:$W$9,MATCH(ROUNDUP((AE$1)/10,0)*10,[1]Hugst!$R$4:$W$4,0))))</f>
        <v>5271.3034564313275</v>
      </c>
      <c r="AF91">
        <f ca="1">IF($C91-AF$1&lt;År1,0,AE90*(1-VLOOKUP($A91,[1]Hugst!$R$5:$W$9,MATCH(ROUNDUP((AF$1)/10,0)*10,[1]Hugst!$R$4:$W$4,0))))</f>
        <v>5266.8838828151138</v>
      </c>
      <c r="AG91">
        <f ca="1">IF($C91-AG$1&lt;År1,0,AF90*(1-VLOOKUP($A91,[1]Hugst!$R$5:$W$9,MATCH(ROUNDUP((AG$1)/10,0)*10,[1]Hugst!$R$4:$W$4,0))))</f>
        <v>5262.4875243362758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25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850.71178298697123</v>
      </c>
      <c r="E92">
        <f t="shared" ca="1" si="1"/>
        <v>139.9896142516227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3432.3680639052614</v>
      </c>
      <c r="G92">
        <f ca="1">IF($C92-G$1&lt;År1,0,F91*(1-VLOOKUP($A92,[1]Hugst!$R$5:$W$9,MATCH(ROUNDUP((G$1)/10,0)*10,[1]Hugst!$R$4:$W$4,0))))</f>
        <v>3430.5389202368347</v>
      </c>
      <c r="H92">
        <f ca="1">IF($C92-H$1&lt;År1,0,G91*(1-VLOOKUP($A92,[1]Hugst!$R$5:$W$9,MATCH(ROUNDUP((H$1)/10,0)*10,[1]Hugst!$R$4:$W$4,0))))</f>
        <v>3428.7245324077153</v>
      </c>
      <c r="I92">
        <f ca="1">IF($C92-I$1&lt;År1,0,H91*(1-VLOOKUP($A92,[1]Hugst!$R$5:$W$9,MATCH(ROUNDUP((I$1)/10,0)*10,[1]Hugst!$R$4:$W$4,0))))</f>
        <v>3426.9249834857178</v>
      </c>
      <c r="J92">
        <f ca="1">IF($C92-J$1&lt;År1,0,I91*(1-VLOOKUP($A92,[1]Hugst!$R$5:$W$9,MATCH(ROUNDUP((J$1)/10,0)*10,[1]Hugst!$R$4:$W$4,0))))</f>
        <v>3425.1403569285535</v>
      </c>
      <c r="K92">
        <f ca="1">IF($C92-K$1&lt;År1,0,J91*(1-VLOOKUP($A92,[1]Hugst!$R$5:$W$9,MATCH(ROUNDUP((K$1)/10,0)*10,[1]Hugst!$R$4:$W$4,0))))</f>
        <v>3423.3707365856276</v>
      </c>
      <c r="L92">
        <f ca="1">IF($C92-L$1&lt;År1,0,K91*(1-VLOOKUP($A92,[1]Hugst!$R$5:$W$9,MATCH(ROUNDUP((L$1)/10,0)*10,[1]Hugst!$R$4:$W$4,0))))</f>
        <v>3421.6162066997854</v>
      </c>
      <c r="M92">
        <f ca="1">IF($C92-M$1&lt;År1,0,L91*(1-VLOOKUP($A92,[1]Hugst!$R$5:$W$9,MATCH(ROUNDUP((M$1)/10,0)*10,[1]Hugst!$R$4:$W$4,0))))</f>
        <v>3419.8768519091204</v>
      </c>
      <c r="N92">
        <f ca="1">IF($C92-N$1&lt;År1,0,M91*(1-VLOOKUP($A92,[1]Hugst!$R$5:$W$9,MATCH(ROUNDUP((N$1)/10,0)*10,[1]Hugst!$R$4:$W$4,0))))</f>
        <v>3418.1527572490772</v>
      </c>
      <c r="O92">
        <f ca="1">IF($C92-O$1&lt;År1,0,N91*(1-VLOOKUP($A92,[1]Hugst!$R$5:$W$9,MATCH(ROUNDUP((O$1)/10,0)*10,[1]Hugst!$R$4:$W$4,0))))</f>
        <v>3413.3919719202563</v>
      </c>
      <c r="P92">
        <f ca="1">IF($C92-P$1&lt;År1,0,O91*(1-VLOOKUP($A92,[1]Hugst!$R$5:$W$9,MATCH(ROUNDUP((P$1)/10,0)*10,[1]Hugst!$R$4:$W$4,0))))</f>
        <v>3404.5758789291049</v>
      </c>
      <c r="Q92">
        <f ca="1">IF($C92-Q$1&lt;År1,0,P91*(1-VLOOKUP($A92,[1]Hugst!$R$5:$W$9,MATCH(ROUNDUP((Q$1)/10,0)*10,[1]Hugst!$R$4:$W$4,0))))</f>
        <v>3395.781665756816</v>
      </c>
      <c r="R92">
        <f ca="1">IF($C92-R$1&lt;År1,0,Q91*(1-VLOOKUP($A92,[1]Hugst!$R$5:$W$9,MATCH(ROUNDUP((R$1)/10,0)*10,[1]Hugst!$R$4:$W$4,0))))</f>
        <v>3387.0093284707264</v>
      </c>
      <c r="S92">
        <f ca="1">IF($C92-S$1&lt;År1,0,R91*(1-VLOOKUP($A92,[1]Hugst!$R$5:$W$9,MATCH(ROUNDUP((S$1)/10,0)*10,[1]Hugst!$R$4:$W$4,0))))</f>
        <v>3378.2588632468901</v>
      </c>
      <c r="T92">
        <f ca="1">IF($C92-T$1&lt;År1,0,S91*(1-VLOOKUP($A92,[1]Hugst!$R$5:$W$9,MATCH(ROUNDUP((T$1)/10,0)*10,[1]Hugst!$R$4:$W$4,0))))</f>
        <v>3369.5302663703451</v>
      </c>
      <c r="U92">
        <f ca="1">IF($C92-U$1&lt;År1,0,T91*(1-VLOOKUP($A92,[1]Hugst!$R$5:$W$9,MATCH(ROUNDUP((U$1)/10,0)*10,[1]Hugst!$R$4:$W$4,0))))</f>
        <v>3360.8235342354337</v>
      </c>
      <c r="V92">
        <f ca="1">IF($C92-V$1&lt;År1,0,U91*(1-VLOOKUP($A92,[1]Hugst!$R$5:$W$9,MATCH(ROUNDUP((V$1)/10,0)*10,[1]Hugst!$R$4:$W$4,0))))</f>
        <v>3352.1386633458378</v>
      </c>
      <c r="W92">
        <f ca="1">IF($C92-W$1&lt;År1,0,V91*(1-VLOOKUP($A92,[1]Hugst!$R$5:$W$9,MATCH(ROUNDUP((W$1)/10,0)*10,[1]Hugst!$R$4:$W$4,0))))</f>
        <v>3343.475650314735</v>
      </c>
      <c r="X92">
        <f ca="1">IF($C92-X$1&lt;År1,0,W91*(1-VLOOKUP($A92,[1]Hugst!$R$5:$W$9,MATCH(ROUNDUP((X$1)/10,0)*10,[1]Hugst!$R$4:$W$4,0))))</f>
        <v>5305.3020927191619</v>
      </c>
      <c r="Y92">
        <f ca="1">IF($C92-Y$1&lt;År1,0,X91*(1-VLOOKUP($A92,[1]Hugst!$R$5:$W$9,MATCH(ROUNDUP((Y$1)/10,0)*10,[1]Hugst!$R$4:$W$4,0))))</f>
        <v>5293.6769876491771</v>
      </c>
      <c r="Z92">
        <f ca="1">IF($C92-Z$1&lt;År1,0,Y91*(1-VLOOKUP($A92,[1]Hugst!$R$5:$W$9,MATCH(ROUNDUP((Z$1)/10,0)*10,[1]Hugst!$R$4:$W$4,0))))</f>
        <v>5289.1031528025796</v>
      </c>
      <c r="AA92">
        <f ca="1">IF($C92-AA$1&lt;År1,0,Z91*(1-VLOOKUP($A92,[1]Hugst!$R$5:$W$9,MATCH(ROUNDUP((AA$1)/10,0)*10,[1]Hugst!$R$4:$W$4,0))))</f>
        <v>5284.5524227068254</v>
      </c>
      <c r="AB92">
        <f ca="1">IF($C92-AB$1&lt;År1,0,AA91*(1-VLOOKUP($A92,[1]Hugst!$R$5:$W$9,MATCH(ROUNDUP((AB$1)/10,0)*10,[1]Hugst!$R$4:$W$4,0))))</f>
        <v>5280.024806929312</v>
      </c>
      <c r="AC92">
        <f ca="1">IF($C92-AC$1&lt;År1,0,AB91*(1-VLOOKUP($A92,[1]Hugst!$R$5:$W$9,MATCH(ROUNDUP((AC$1)/10,0)*10,[1]Hugst!$R$4:$W$4,0))))</f>
        <v>5275.5203151837532</v>
      </c>
      <c r="AD92">
        <f ca="1">IF($C92-AD$1&lt;År1,0,AC91*(1-VLOOKUP($A92,[1]Hugst!$R$5:$W$9,MATCH(ROUNDUP((AD$1)/10,0)*10,[1]Hugst!$R$4:$W$4,0))))</f>
        <v>5271.0389573305074</v>
      </c>
      <c r="AE92">
        <f ca="1">IF($C92-AE$1&lt;År1,0,AD91*(1-VLOOKUP($A92,[1]Hugst!$R$5:$W$9,MATCH(ROUNDUP((AE$1)/10,0)*10,[1]Hugst!$R$4:$W$4,0))))</f>
        <v>5266.5807433768687</v>
      </c>
      <c r="AF92">
        <f ca="1">IF($C92-AF$1&lt;År1,0,AE91*(1-VLOOKUP($A92,[1]Hugst!$R$5:$W$9,MATCH(ROUNDUP((AF$1)/10,0)*10,[1]Hugst!$R$4:$W$4,0))))</f>
        <v>5262.145683477358</v>
      </c>
      <c r="AG92">
        <f ca="1">IF($C92-AG$1&lt;År1,0,AF91*(1-VLOOKUP($A92,[1]Hugst!$R$5:$W$9,MATCH(ROUNDUP((AG$1)/10,0)*10,[1]Hugst!$R$4:$W$4,0))))</f>
        <v>5257.733787933952</v>
      </c>
      <c r="AH92">
        <f ca="1">IF($C92-AH$1&lt;År1,0,AG91*(1-VLOOKUP($A92,[1]Hugst!$R$5:$W$9,MATCH(ROUNDUP((AH$1)/10,0)*10,[1]Hugst!$R$4:$W$4,0))))</f>
        <v>5253.3450671965384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25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846.45822407204105</v>
      </c>
      <c r="E93">
        <f t="shared" ca="1" si="1"/>
        <v>146.08698999402986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3434.2118807327383</v>
      </c>
      <c r="G93">
        <f ca="1">IF($C93-G$1&lt;År1,0,F92*(1-VLOOKUP($A93,[1]Hugst!$R$5:$W$9,MATCH(ROUNDUP((G$1)/10,0)*10,[1]Hugst!$R$4:$W$4,0))))</f>
        <v>3432.3680639052614</v>
      </c>
      <c r="H93">
        <f ca="1">IF($C93-H$1&lt;År1,0,G92*(1-VLOOKUP($A93,[1]Hugst!$R$5:$W$9,MATCH(ROUNDUP((H$1)/10,0)*10,[1]Hugst!$R$4:$W$4,0))))</f>
        <v>3430.5389202368347</v>
      </c>
      <c r="I93">
        <f ca="1">IF($C93-I$1&lt;År1,0,H92*(1-VLOOKUP($A93,[1]Hugst!$R$5:$W$9,MATCH(ROUNDUP((I$1)/10,0)*10,[1]Hugst!$R$4:$W$4,0))))</f>
        <v>3428.7245324077153</v>
      </c>
      <c r="J93">
        <f ca="1">IF($C93-J$1&lt;År1,0,I92*(1-VLOOKUP($A93,[1]Hugst!$R$5:$W$9,MATCH(ROUNDUP((J$1)/10,0)*10,[1]Hugst!$R$4:$W$4,0))))</f>
        <v>3426.9249834857178</v>
      </c>
      <c r="K93">
        <f ca="1">IF($C93-K$1&lt;År1,0,J92*(1-VLOOKUP($A93,[1]Hugst!$R$5:$W$9,MATCH(ROUNDUP((K$1)/10,0)*10,[1]Hugst!$R$4:$W$4,0))))</f>
        <v>3425.1403569285535</v>
      </c>
      <c r="L93">
        <f ca="1">IF($C93-L$1&lt;År1,0,K92*(1-VLOOKUP($A93,[1]Hugst!$R$5:$W$9,MATCH(ROUNDUP((L$1)/10,0)*10,[1]Hugst!$R$4:$W$4,0))))</f>
        <v>3423.3707365856276</v>
      </c>
      <c r="M93">
        <f ca="1">IF($C93-M$1&lt;År1,0,L92*(1-VLOOKUP($A93,[1]Hugst!$R$5:$W$9,MATCH(ROUNDUP((M$1)/10,0)*10,[1]Hugst!$R$4:$W$4,0))))</f>
        <v>3421.6162066997854</v>
      </c>
      <c r="N93">
        <f ca="1">IF($C93-N$1&lt;År1,0,M92*(1-VLOOKUP($A93,[1]Hugst!$R$5:$W$9,MATCH(ROUNDUP((N$1)/10,0)*10,[1]Hugst!$R$4:$W$4,0))))</f>
        <v>3419.8768519091204</v>
      </c>
      <c r="O93">
        <f ca="1">IF($C93-O$1&lt;År1,0,N92*(1-VLOOKUP($A93,[1]Hugst!$R$5:$W$9,MATCH(ROUNDUP((O$1)/10,0)*10,[1]Hugst!$R$4:$W$4,0))))</f>
        <v>3418.1527572490772</v>
      </c>
      <c r="P93">
        <f ca="1">IF($C93-P$1&lt;År1,0,O92*(1-VLOOKUP($A93,[1]Hugst!$R$5:$W$9,MATCH(ROUNDUP((P$1)/10,0)*10,[1]Hugst!$R$4:$W$4,0))))</f>
        <v>3408.1851028105475</v>
      </c>
      <c r="Q93">
        <f ca="1">IF($C93-Q$1&lt;År1,0,P92*(1-VLOOKUP($A93,[1]Hugst!$R$5:$W$9,MATCH(ROUNDUP((Q$1)/10,0)*10,[1]Hugst!$R$4:$W$4,0))))</f>
        <v>3399.3824580968399</v>
      </c>
      <c r="R93">
        <f ca="1">IF($C93-R$1&lt;År1,0,Q92*(1-VLOOKUP($A93,[1]Hugst!$R$5:$W$9,MATCH(ROUNDUP((R$1)/10,0)*10,[1]Hugst!$R$4:$W$4,0))))</f>
        <v>3390.6016598260003</v>
      </c>
      <c r="S93">
        <f ca="1">IF($C93-S$1&lt;År1,0,R92*(1-VLOOKUP($A93,[1]Hugst!$R$5:$W$9,MATCH(ROUNDUP((S$1)/10,0)*10,[1]Hugst!$R$4:$W$4,0))))</f>
        <v>3381.8427040713641</v>
      </c>
      <c r="T93">
        <f ca="1">IF($C93-T$1&lt;År1,0,S92*(1-VLOOKUP($A93,[1]Hugst!$R$5:$W$9,MATCH(ROUNDUP((T$1)/10,0)*10,[1]Hugst!$R$4:$W$4,0))))</f>
        <v>3373.1055870148184</v>
      </c>
      <c r="U93">
        <f ca="1">IF($C93-U$1&lt;År1,0,T92*(1-VLOOKUP($A93,[1]Hugst!$R$5:$W$9,MATCH(ROUNDUP((U$1)/10,0)*10,[1]Hugst!$R$4:$W$4,0))))</f>
        <v>3364.3903049470682</v>
      </c>
      <c r="V93">
        <f ca="1">IF($C93-V$1&lt;År1,0,U92*(1-VLOOKUP($A93,[1]Hugst!$R$5:$W$9,MATCH(ROUNDUP((V$1)/10,0)*10,[1]Hugst!$R$4:$W$4,0))))</f>
        <v>3355.696854267956</v>
      </c>
      <c r="W93">
        <f ca="1">IF($C93-W$1&lt;År1,0,V92*(1-VLOOKUP($A93,[1]Hugst!$R$5:$W$9,MATCH(ROUNDUP((W$1)/10,0)*10,[1]Hugst!$R$4:$W$4,0))))</f>
        <v>3347.0252314864965</v>
      </c>
      <c r="X93">
        <f ca="1">IF($C93-X$1&lt;År1,0,W92*(1-VLOOKUP($A93,[1]Hugst!$R$5:$W$9,MATCH(ROUNDUP((X$1)/10,0)*10,[1]Hugst!$R$4:$W$4,0))))</f>
        <v>3338.3754332210347</v>
      </c>
      <c r="Y93">
        <f ca="1">IF($C93-Y$1&lt;År1,0,X92*(1-VLOOKUP($A93,[1]Hugst!$R$5:$W$9,MATCH(ROUNDUP((Y$1)/10,0)*10,[1]Hugst!$R$4:$W$4,0))))</f>
        <v>5297.2092590184038</v>
      </c>
      <c r="Z93">
        <f ca="1">IF($C93-Z$1&lt;År1,0,Y92*(1-VLOOKUP($A93,[1]Hugst!$R$5:$W$9,MATCH(ROUNDUP((Z$1)/10,0)*10,[1]Hugst!$R$4:$W$4,0))))</f>
        <v>5284.4803454248713</v>
      </c>
      <c r="AA93">
        <f ca="1">IF($C93-AA$1&lt;År1,0,Z92*(1-VLOOKUP($A93,[1]Hugst!$R$5:$W$9,MATCH(ROUNDUP((AA$1)/10,0)*10,[1]Hugst!$R$4:$W$4,0))))</f>
        <v>5279.9144566472869</v>
      </c>
      <c r="AB93">
        <f ca="1">IF($C93-AB$1&lt;År1,0,AA92*(1-VLOOKUP($A93,[1]Hugst!$R$5:$W$9,MATCH(ROUNDUP((AB$1)/10,0)*10,[1]Hugst!$R$4:$W$4,0))))</f>
        <v>5275.3716324809366</v>
      </c>
      <c r="AC93">
        <f ca="1">IF($C93-AC$1&lt;År1,0,AB92*(1-VLOOKUP($A93,[1]Hugst!$R$5:$W$9,MATCH(ROUNDUP((AC$1)/10,0)*10,[1]Hugst!$R$4:$W$4,0))))</f>
        <v>5270.8518824765961</v>
      </c>
      <c r="AD93">
        <f ca="1">IF($C93-AD$1&lt;År1,0,AC92*(1-VLOOKUP($A93,[1]Hugst!$R$5:$W$9,MATCH(ROUNDUP((AD$1)/10,0)*10,[1]Hugst!$R$4:$W$4,0))))</f>
        <v>5266.3552163311033</v>
      </c>
      <c r="AE93">
        <f ca="1">IF($C93-AE$1&lt;År1,0,AD92*(1-VLOOKUP($A93,[1]Hugst!$R$5:$W$9,MATCH(ROUNDUP((AE$1)/10,0)*10,[1]Hugst!$R$4:$W$4,0))))</f>
        <v>5261.8816438876875</v>
      </c>
      <c r="AF93">
        <f ca="1">IF($C93-AF$1&lt;År1,0,AE92*(1-VLOOKUP($A93,[1]Hugst!$R$5:$W$9,MATCH(ROUNDUP((AF$1)/10,0)*10,[1]Hugst!$R$4:$W$4,0))))</f>
        <v>5257.4311751362557</v>
      </c>
      <c r="AG93">
        <f ca="1">IF($C93-AG$1&lt;År1,0,AF92*(1-VLOOKUP($A93,[1]Hugst!$R$5:$W$9,MATCH(ROUNDUP((AG$1)/10,0)*10,[1]Hugst!$R$4:$W$4,0))))</f>
        <v>5253.0038202136893</v>
      </c>
      <c r="AH93">
        <f ca="1">IF($C93-AH$1&lt;År1,0,AG92*(1-VLOOKUP($A93,[1]Hugst!$R$5:$W$9,MATCH(ROUNDUP((AH$1)/10,0)*10,[1]Hugst!$R$4:$W$4,0))))</f>
        <v>5248.5995894040661</v>
      </c>
      <c r="AI93">
        <f ca="1">IF($C93-AI$1&lt;År1,0,AH92*(1-VLOOKUP($A93,[1]Hugst!$R$5:$W$9,MATCH(ROUNDUP((AI$1)/10,0)*10,[1]Hugst!$R$4:$W$4,0))))</f>
        <v>5244.2184931391203</v>
      </c>
      <c r="AJ93">
        <f>IF($C93-AJ$1&lt;År1,0,AI92*(1-VLOOKUP($A93,[1]Hugst!$R$5:$W$9,MATCH(ROUNDUP((AJ$1)/10,0)*10,[1]Hugst!$R$4:$W$4,0))))</f>
        <v>0</v>
      </c>
    </row>
    <row r="94" spans="1:38" x14ac:dyDescent="0.25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842.22593295169281</v>
      </c>
      <c r="E94">
        <f t="shared" ca="1" si="1"/>
        <v>147.73690421888023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3431.6295038372405</v>
      </c>
      <c r="G94">
        <f ca="1">IF($C94-G$1&lt;År1,0,F93*(1-VLOOKUP($A94,[1]Hugst!$R$5:$W$9,MATCH(ROUNDUP((G$1)/10,0)*10,[1]Hugst!$R$4:$W$4,0))))</f>
        <v>3434.2118807327383</v>
      </c>
      <c r="H94">
        <f ca="1">IF($C94-H$1&lt;År1,0,G93*(1-VLOOKUP($A94,[1]Hugst!$R$5:$W$9,MATCH(ROUNDUP((H$1)/10,0)*10,[1]Hugst!$R$4:$W$4,0))))</f>
        <v>3432.3680639052614</v>
      </c>
      <c r="I94">
        <f ca="1">IF($C94-I$1&lt;År1,0,H93*(1-VLOOKUP($A94,[1]Hugst!$R$5:$W$9,MATCH(ROUNDUP((I$1)/10,0)*10,[1]Hugst!$R$4:$W$4,0))))</f>
        <v>3430.5389202368347</v>
      </c>
      <c r="J94">
        <f ca="1">IF($C94-J$1&lt;År1,0,I93*(1-VLOOKUP($A94,[1]Hugst!$R$5:$W$9,MATCH(ROUNDUP((J$1)/10,0)*10,[1]Hugst!$R$4:$W$4,0))))</f>
        <v>3428.7245324077153</v>
      </c>
      <c r="K94">
        <f ca="1">IF($C94-K$1&lt;År1,0,J93*(1-VLOOKUP($A94,[1]Hugst!$R$5:$W$9,MATCH(ROUNDUP((K$1)/10,0)*10,[1]Hugst!$R$4:$W$4,0))))</f>
        <v>3426.9249834857178</v>
      </c>
      <c r="L94">
        <f ca="1">IF($C94-L$1&lt;År1,0,K93*(1-VLOOKUP($A94,[1]Hugst!$R$5:$W$9,MATCH(ROUNDUP((L$1)/10,0)*10,[1]Hugst!$R$4:$W$4,0))))</f>
        <v>3425.1403569285535</v>
      </c>
      <c r="M94">
        <f ca="1">IF($C94-M$1&lt;År1,0,L93*(1-VLOOKUP($A94,[1]Hugst!$R$5:$W$9,MATCH(ROUNDUP((M$1)/10,0)*10,[1]Hugst!$R$4:$W$4,0))))</f>
        <v>3423.3707365856276</v>
      </c>
      <c r="N94">
        <f ca="1">IF($C94-N$1&lt;År1,0,M93*(1-VLOOKUP($A94,[1]Hugst!$R$5:$W$9,MATCH(ROUNDUP((N$1)/10,0)*10,[1]Hugst!$R$4:$W$4,0))))</f>
        <v>3421.6162066997854</v>
      </c>
      <c r="O94">
        <f ca="1">IF($C94-O$1&lt;År1,0,N93*(1-VLOOKUP($A94,[1]Hugst!$R$5:$W$9,MATCH(ROUNDUP((O$1)/10,0)*10,[1]Hugst!$R$4:$W$4,0))))</f>
        <v>3419.8768519091204</v>
      </c>
      <c r="P94">
        <f ca="1">IF($C94-P$1&lt;År1,0,O93*(1-VLOOKUP($A94,[1]Hugst!$R$5:$W$9,MATCH(ROUNDUP((P$1)/10,0)*10,[1]Hugst!$R$4:$W$4,0))))</f>
        <v>3412.9386259244598</v>
      </c>
      <c r="Q94">
        <f ca="1">IF($C94-Q$1&lt;År1,0,P93*(1-VLOOKUP($A94,[1]Hugst!$R$5:$W$9,MATCH(ROUNDUP((Q$1)/10,0)*10,[1]Hugst!$R$4:$W$4,0))))</f>
        <v>3402.9861763825311</v>
      </c>
      <c r="R94">
        <f ca="1">IF($C94-R$1&lt;År1,0,Q93*(1-VLOOKUP($A94,[1]Hugst!$R$5:$W$9,MATCH(ROUNDUP((R$1)/10,0)*10,[1]Hugst!$R$4:$W$4,0))))</f>
        <v>3394.1969594319462</v>
      </c>
      <c r="S94">
        <f ca="1">IF($C94-S$1&lt;År1,0,R93*(1-VLOOKUP($A94,[1]Hugst!$R$5:$W$9,MATCH(ROUNDUP((S$1)/10,0)*10,[1]Hugst!$R$4:$W$4,0))))</f>
        <v>3385.4295555991471</v>
      </c>
      <c r="T94">
        <f ca="1">IF($C94-T$1&lt;År1,0,S93*(1-VLOOKUP($A94,[1]Hugst!$R$5:$W$9,MATCH(ROUNDUP((T$1)/10,0)*10,[1]Hugst!$R$4:$W$4,0))))</f>
        <v>3376.6839609634585</v>
      </c>
      <c r="U94">
        <f ca="1">IF($C94-U$1&lt;År1,0,T93*(1-VLOOKUP($A94,[1]Hugst!$R$5:$W$9,MATCH(ROUNDUP((U$1)/10,0)*10,[1]Hugst!$R$4:$W$4,0))))</f>
        <v>3367.9601717125925</v>
      </c>
      <c r="V94">
        <f ca="1">IF($C94-V$1&lt;År1,0,U93*(1-VLOOKUP($A94,[1]Hugst!$R$5:$W$9,MATCH(ROUNDUP((V$1)/10,0)*10,[1]Hugst!$R$4:$W$4,0))))</f>
        <v>3359.2581841429114</v>
      </c>
      <c r="W94">
        <f ca="1">IF($C94-W$1&lt;År1,0,V93*(1-VLOOKUP($A94,[1]Hugst!$R$5:$W$9,MATCH(ROUNDUP((W$1)/10,0)*10,[1]Hugst!$R$4:$W$4,0))))</f>
        <v>3350.5779946597504</v>
      </c>
      <c r="X94">
        <f ca="1">IF($C94-X$1&lt;År1,0,W93*(1-VLOOKUP($A94,[1]Hugst!$R$5:$W$9,MATCH(ROUNDUP((X$1)/10,0)*10,[1]Hugst!$R$4:$W$4,0))))</f>
        <v>3341.9195997774491</v>
      </c>
      <c r="Y94">
        <f ca="1">IF($C94-Y$1&lt;År1,0,X93*(1-VLOOKUP($A94,[1]Hugst!$R$5:$W$9,MATCH(ROUNDUP((Y$1)/10,0)*10,[1]Hugst!$R$4:$W$4,0))))</f>
        <v>3333.2829961195112</v>
      </c>
      <c r="Z94">
        <f ca="1">IF($C94-Z$1&lt;År1,0,Y93*(1-VLOOKUP($A94,[1]Hugst!$R$5:$W$9,MATCH(ROUNDUP((Z$1)/10,0)*10,[1]Hugst!$R$4:$W$4,0))))</f>
        <v>5288.0064802209563</v>
      </c>
      <c r="AA94">
        <f ca="1">IF($C94-AA$1&lt;År1,0,Z93*(1-VLOOKUP($A94,[1]Hugst!$R$5:$W$9,MATCH(ROUNDUP((AA$1)/10,0)*10,[1]Hugst!$R$4:$W$4,0))))</f>
        <v>5275.2996804179893</v>
      </c>
      <c r="AB94">
        <f ca="1">IF($C94-AB$1&lt;År1,0,AA93*(1-VLOOKUP($A94,[1]Hugst!$R$5:$W$9,MATCH(ROUNDUP((AB$1)/10,0)*10,[1]Hugst!$R$4:$W$4,0))))</f>
        <v>5270.7417239048063</v>
      </c>
      <c r="AC94">
        <f ca="1">IF($C94-AC$1&lt;År1,0,AB93*(1-VLOOKUP($A94,[1]Hugst!$R$5:$W$9,MATCH(ROUNDUP((AC$1)/10,0)*10,[1]Hugst!$R$4:$W$4,0))))</f>
        <v>5266.206791932982</v>
      </c>
      <c r="AD94">
        <f ca="1">IF($C94-AD$1&lt;År1,0,AC93*(1-VLOOKUP($A94,[1]Hugst!$R$5:$W$9,MATCH(ROUNDUP((AD$1)/10,0)*10,[1]Hugst!$R$4:$W$4,0))))</f>
        <v>5261.6948940367001</v>
      </c>
      <c r="AE94">
        <f ca="1">IF($C94-AE$1&lt;År1,0,AD93*(1-VLOOKUP($A94,[1]Hugst!$R$5:$W$9,MATCH(ROUNDUP((AE$1)/10,0)*10,[1]Hugst!$R$4:$W$4,0))))</f>
        <v>5257.206039895952</v>
      </c>
      <c r="AF94">
        <f ca="1">IF($C94-AF$1&lt;År1,0,AE93*(1-VLOOKUP($A94,[1]Hugst!$R$5:$W$9,MATCH(ROUNDUP((AF$1)/10,0)*10,[1]Hugst!$R$4:$W$4,0))))</f>
        <v>5252.7402393368657</v>
      </c>
      <c r="AG94">
        <f ca="1">IF($C94-AG$1&lt;År1,0,AF93*(1-VLOOKUP($A94,[1]Hugst!$R$5:$W$9,MATCH(ROUNDUP((AG$1)/10,0)*10,[1]Hugst!$R$4:$W$4,0))))</f>
        <v>5248.2975023319932</v>
      </c>
      <c r="AH94">
        <f ca="1">IF($C94-AH$1&lt;År1,0,AG93*(1-VLOOKUP($A94,[1]Hugst!$R$5:$W$9,MATCH(ROUNDUP((AH$1)/10,0)*10,[1]Hugst!$R$4:$W$4,0))))</f>
        <v>5243.8778390006064</v>
      </c>
      <c r="AI94">
        <f ca="1">IF($C94-AI$1&lt;År1,0,AH93*(1-VLOOKUP($A94,[1]Hugst!$R$5:$W$9,MATCH(ROUNDUP((AI$1)/10,0)*10,[1]Hugst!$R$4:$W$4,0))))</f>
        <v>5239.481259608915</v>
      </c>
      <c r="AJ94">
        <f ca="1">IF($C94-AJ$1&lt;År1,0,AI93*(1-VLOOKUP($A94,[1]Hugst!$R$5:$W$9,MATCH(ROUNDUP((AJ$1)/10,0)*10,[1]Hugst!$R$4:$W$4,0))))</f>
        <v>5239.5520275308181</v>
      </c>
      <c r="AL94">
        <f ca="1">SUM(F94:AJ94)</f>
        <v>125842.74073966093</v>
      </c>
    </row>
    <row r="95" spans="1:38" x14ac:dyDescent="0.25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286.52732634810457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960.76975059052859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25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285.09468971636375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959.33711395878777</v>
      </c>
      <c r="G96">
        <f ca="1">IF($C96-G$1&lt;År1,0,F95*(1-VLOOKUP($A96,[1]Hugst!$R$5:$W$9,MATCH(ROUNDUP((G$1)/10,0)*10,[1]Hugst!$R$4:$W$4,0))))</f>
        <v>960.76975059052859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25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283.66921626778276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957.91164051020678</v>
      </c>
      <c r="G97">
        <f ca="1">IF($C97-G$1&lt;År1,0,F96*(1-VLOOKUP($A97,[1]Hugst!$R$5:$W$9,MATCH(ROUNDUP((G$1)/10,0)*10,[1]Hugst!$R$4:$W$4,0))))</f>
        <v>959.33711395878777</v>
      </c>
      <c r="H97">
        <f ca="1">IF($C97-H$1&lt;År1,0,G96*(1-VLOOKUP($A97,[1]Hugst!$R$5:$W$9,MATCH(ROUNDUP((H$1)/10,0)*10,[1]Hugst!$R$4:$W$4,0))))</f>
        <v>960.76975059052859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25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282.25087018643683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956.49329442886085</v>
      </c>
      <c r="G98">
        <f ca="1">IF($C98-G$1&lt;År1,0,F97*(1-VLOOKUP($A98,[1]Hugst!$R$5:$W$9,MATCH(ROUNDUP((G$1)/10,0)*10,[1]Hugst!$R$4:$W$4,0))))</f>
        <v>957.91164051020678</v>
      </c>
      <c r="H98">
        <f ca="1">IF($C98-H$1&lt;År1,0,G97*(1-VLOOKUP($A98,[1]Hugst!$R$5:$W$9,MATCH(ROUNDUP((H$1)/10,0)*10,[1]Hugst!$R$4:$W$4,0))))</f>
        <v>959.33711395878777</v>
      </c>
      <c r="I98">
        <f ca="1">IF($C98-I$1&lt;År1,0,H97*(1-VLOOKUP($A98,[1]Hugst!$R$5:$W$9,MATCH(ROUNDUP((I$1)/10,0)*10,[1]Hugst!$R$4:$W$4,0))))</f>
        <v>960.76975059052859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25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280.83961583551218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955.0820400779362</v>
      </c>
      <c r="G99">
        <f ca="1">IF($C99-G$1&lt;År1,0,F98*(1-VLOOKUP($A99,[1]Hugst!$R$5:$W$9,MATCH(ROUNDUP((G$1)/10,0)*10,[1]Hugst!$R$4:$W$4,0))))</f>
        <v>956.49329442886085</v>
      </c>
      <c r="H99">
        <f ca="1">IF($C99-H$1&lt;År1,0,G98*(1-VLOOKUP($A99,[1]Hugst!$R$5:$W$9,MATCH(ROUNDUP((H$1)/10,0)*10,[1]Hugst!$R$4:$W$4,0))))</f>
        <v>957.91164051020678</v>
      </c>
      <c r="I99">
        <f ca="1">IF($C99-I$1&lt;År1,0,H98*(1-VLOOKUP($A99,[1]Hugst!$R$5:$W$9,MATCH(ROUNDUP((I$1)/10,0)*10,[1]Hugst!$R$4:$W$4,0))))</f>
        <v>959.33711395878777</v>
      </c>
      <c r="J99">
        <f ca="1">IF($C99-J$1&lt;År1,0,I98*(1-VLOOKUP($A99,[1]Hugst!$R$5:$W$9,MATCH(ROUNDUP((J$1)/10,0)*10,[1]Hugst!$R$4:$W$4,0))))</f>
        <v>960.76975059052859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25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279.4354177563298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953.67784199875382</v>
      </c>
      <c r="G100">
        <f ca="1">IF($C100-G$1&lt;År1,0,F99*(1-VLOOKUP($A100,[1]Hugst!$R$5:$W$9,MATCH(ROUNDUP((G$1)/10,0)*10,[1]Hugst!$R$4:$W$4,0))))</f>
        <v>955.0820400779362</v>
      </c>
      <c r="H100">
        <f ca="1">IF($C100-H$1&lt;År1,0,G99*(1-VLOOKUP($A100,[1]Hugst!$R$5:$W$9,MATCH(ROUNDUP((H$1)/10,0)*10,[1]Hugst!$R$4:$W$4,0))))</f>
        <v>956.49329442886085</v>
      </c>
      <c r="I100">
        <f ca="1">IF($C100-I$1&lt;År1,0,H99*(1-VLOOKUP($A100,[1]Hugst!$R$5:$W$9,MATCH(ROUNDUP((I$1)/10,0)*10,[1]Hugst!$R$4:$W$4,0))))</f>
        <v>957.91164051020678</v>
      </c>
      <c r="J100">
        <f ca="1">IF($C100-J$1&lt;År1,0,I99*(1-VLOOKUP($A100,[1]Hugst!$R$5:$W$9,MATCH(ROUNDUP((J$1)/10,0)*10,[1]Hugst!$R$4:$W$4,0))))</f>
        <v>959.33711395878777</v>
      </c>
      <c r="K100">
        <f ca="1">IF($C100-K$1&lt;År1,0,J99*(1-VLOOKUP($A100,[1]Hugst!$R$5:$W$9,MATCH(ROUNDUP((K$1)/10,0)*10,[1]Hugst!$R$4:$W$4,0))))</f>
        <v>960.76975059052859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25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278.03824066756056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952.28066490998458</v>
      </c>
      <c r="G101">
        <f ca="1">IF($C101-G$1&lt;År1,0,F100*(1-VLOOKUP($A101,[1]Hugst!$R$5:$W$9,MATCH(ROUNDUP((G$1)/10,0)*10,[1]Hugst!$R$4:$W$4,0))))</f>
        <v>953.67784199875382</v>
      </c>
      <c r="H101">
        <f ca="1">IF($C101-H$1&lt;År1,0,G100*(1-VLOOKUP($A101,[1]Hugst!$R$5:$W$9,MATCH(ROUNDUP((H$1)/10,0)*10,[1]Hugst!$R$4:$W$4,0))))</f>
        <v>955.0820400779362</v>
      </c>
      <c r="I101">
        <f ca="1">IF($C101-I$1&lt;År1,0,H100*(1-VLOOKUP($A101,[1]Hugst!$R$5:$W$9,MATCH(ROUNDUP((I$1)/10,0)*10,[1]Hugst!$R$4:$W$4,0))))</f>
        <v>956.49329442886085</v>
      </c>
      <c r="J101">
        <f ca="1">IF($C101-J$1&lt;År1,0,I100*(1-VLOOKUP($A101,[1]Hugst!$R$5:$W$9,MATCH(ROUNDUP((J$1)/10,0)*10,[1]Hugst!$R$4:$W$4,0))))</f>
        <v>957.91164051020678</v>
      </c>
      <c r="K101">
        <f ca="1">IF($C101-K$1&lt;År1,0,J100*(1-VLOOKUP($A101,[1]Hugst!$R$5:$W$9,MATCH(ROUNDUP((K$1)/10,0)*10,[1]Hugst!$R$4:$W$4,0))))</f>
        <v>959.33711395878777</v>
      </c>
      <c r="L101">
        <f ca="1">IF($C101-L$1&lt;År1,0,K100*(1-VLOOKUP($A101,[1]Hugst!$R$5:$W$9,MATCH(ROUNDUP((L$1)/10,0)*10,[1]Hugst!$R$4:$W$4,0))))</f>
        <v>960.76975059052859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25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276.64804946420918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950.8904737066332</v>
      </c>
      <c r="G102">
        <f ca="1">IF($C102-G$1&lt;År1,0,F101*(1-VLOOKUP($A102,[1]Hugst!$R$5:$W$9,MATCH(ROUNDUP((G$1)/10,0)*10,[1]Hugst!$R$4:$W$4,0))))</f>
        <v>952.28066490998458</v>
      </c>
      <c r="H102">
        <f ca="1">IF($C102-H$1&lt;År1,0,G101*(1-VLOOKUP($A102,[1]Hugst!$R$5:$W$9,MATCH(ROUNDUP((H$1)/10,0)*10,[1]Hugst!$R$4:$W$4,0))))</f>
        <v>953.67784199875382</v>
      </c>
      <c r="I102">
        <f ca="1">IF($C102-I$1&lt;År1,0,H101*(1-VLOOKUP($A102,[1]Hugst!$R$5:$W$9,MATCH(ROUNDUP((I$1)/10,0)*10,[1]Hugst!$R$4:$W$4,0))))</f>
        <v>955.0820400779362</v>
      </c>
      <c r="J102">
        <f ca="1">IF($C102-J$1&lt;År1,0,I101*(1-VLOOKUP($A102,[1]Hugst!$R$5:$W$9,MATCH(ROUNDUP((J$1)/10,0)*10,[1]Hugst!$R$4:$W$4,0))))</f>
        <v>956.49329442886085</v>
      </c>
      <c r="K102">
        <f ca="1">IF($C102-K$1&lt;År1,0,J101*(1-VLOOKUP($A102,[1]Hugst!$R$5:$W$9,MATCH(ROUNDUP((K$1)/10,0)*10,[1]Hugst!$R$4:$W$4,0))))</f>
        <v>957.91164051020678</v>
      </c>
      <c r="L102">
        <f ca="1">IF($C102-L$1&lt;År1,0,K101*(1-VLOOKUP($A102,[1]Hugst!$R$5:$W$9,MATCH(ROUNDUP((L$1)/10,0)*10,[1]Hugst!$R$4:$W$4,0))))</f>
        <v>959.33711395878777</v>
      </c>
      <c r="M102">
        <f ca="1">IF($C102-M$1&lt;År1,0,L101*(1-VLOOKUP($A102,[1]Hugst!$R$5:$W$9,MATCH(ROUNDUP((M$1)/10,0)*10,[1]Hugst!$R$4:$W$4,0))))</f>
        <v>960.76975059052859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25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275.26480921689426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949.50723345931829</v>
      </c>
      <c r="G103">
        <f ca="1">IF($C103-G$1&lt;År1,0,F102*(1-VLOOKUP($A103,[1]Hugst!$R$5:$W$9,MATCH(ROUNDUP((G$1)/10,0)*10,[1]Hugst!$R$4:$W$4,0))))</f>
        <v>950.8904737066332</v>
      </c>
      <c r="H103">
        <f ca="1">IF($C103-H$1&lt;År1,0,G102*(1-VLOOKUP($A103,[1]Hugst!$R$5:$W$9,MATCH(ROUNDUP((H$1)/10,0)*10,[1]Hugst!$R$4:$W$4,0))))</f>
        <v>952.28066490998458</v>
      </c>
      <c r="I103">
        <f ca="1">IF($C103-I$1&lt;År1,0,H102*(1-VLOOKUP($A103,[1]Hugst!$R$5:$W$9,MATCH(ROUNDUP((I$1)/10,0)*10,[1]Hugst!$R$4:$W$4,0))))</f>
        <v>953.67784199875382</v>
      </c>
      <c r="J103">
        <f ca="1">IF($C103-J$1&lt;År1,0,I102*(1-VLOOKUP($A103,[1]Hugst!$R$5:$W$9,MATCH(ROUNDUP((J$1)/10,0)*10,[1]Hugst!$R$4:$W$4,0))))</f>
        <v>955.0820400779362</v>
      </c>
      <c r="K103">
        <f ca="1">IF($C103-K$1&lt;År1,0,J102*(1-VLOOKUP($A103,[1]Hugst!$R$5:$W$9,MATCH(ROUNDUP((K$1)/10,0)*10,[1]Hugst!$R$4:$W$4,0))))</f>
        <v>956.49329442886085</v>
      </c>
      <c r="L103">
        <f ca="1">IF($C103-L$1&lt;År1,0,K102*(1-VLOOKUP($A103,[1]Hugst!$R$5:$W$9,MATCH(ROUNDUP((L$1)/10,0)*10,[1]Hugst!$R$4:$W$4,0))))</f>
        <v>957.91164051020678</v>
      </c>
      <c r="M103">
        <f ca="1">IF($C103-M$1&lt;År1,0,L102*(1-VLOOKUP($A103,[1]Hugst!$R$5:$W$9,MATCH(ROUNDUP((M$1)/10,0)*10,[1]Hugst!$R$4:$W$4,0))))</f>
        <v>959.33711395878777</v>
      </c>
      <c r="N103">
        <f ca="1">IF($C103-N$1&lt;År1,0,M102*(1-VLOOKUP($A103,[1]Hugst!$R$5:$W$9,MATCH(ROUNDUP((N$1)/10,0)*10,[1]Hugst!$R$4:$W$4,0))))</f>
        <v>960.76975059052859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25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273.88848517080805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948.13090941323208</v>
      </c>
      <c r="G104">
        <f ca="1">IF($C104-G$1&lt;År1,0,F103*(1-VLOOKUP($A104,[1]Hugst!$R$5:$W$9,MATCH(ROUNDUP((G$1)/10,0)*10,[1]Hugst!$R$4:$W$4,0))))</f>
        <v>949.50723345931829</v>
      </c>
      <c r="H104">
        <f ca="1">IF($C104-H$1&lt;År1,0,G103*(1-VLOOKUP($A104,[1]Hugst!$R$5:$W$9,MATCH(ROUNDUP((H$1)/10,0)*10,[1]Hugst!$R$4:$W$4,0))))</f>
        <v>950.8904737066332</v>
      </c>
      <c r="I104">
        <f ca="1">IF($C104-I$1&lt;År1,0,H103*(1-VLOOKUP($A104,[1]Hugst!$R$5:$W$9,MATCH(ROUNDUP((I$1)/10,0)*10,[1]Hugst!$R$4:$W$4,0))))</f>
        <v>952.28066490998458</v>
      </c>
      <c r="J104">
        <f ca="1">IF($C104-J$1&lt;År1,0,I103*(1-VLOOKUP($A104,[1]Hugst!$R$5:$W$9,MATCH(ROUNDUP((J$1)/10,0)*10,[1]Hugst!$R$4:$W$4,0))))</f>
        <v>953.67784199875382</v>
      </c>
      <c r="K104">
        <f ca="1">IF($C104-K$1&lt;År1,0,J103*(1-VLOOKUP($A104,[1]Hugst!$R$5:$W$9,MATCH(ROUNDUP((K$1)/10,0)*10,[1]Hugst!$R$4:$W$4,0))))</f>
        <v>955.0820400779362</v>
      </c>
      <c r="L104">
        <f ca="1">IF($C104-L$1&lt;År1,0,K103*(1-VLOOKUP($A104,[1]Hugst!$R$5:$W$9,MATCH(ROUNDUP((L$1)/10,0)*10,[1]Hugst!$R$4:$W$4,0))))</f>
        <v>956.49329442886085</v>
      </c>
      <c r="M104">
        <f ca="1">IF($C104-M$1&lt;År1,0,L103*(1-VLOOKUP($A104,[1]Hugst!$R$5:$W$9,MATCH(ROUNDUP((M$1)/10,0)*10,[1]Hugst!$R$4:$W$4,0))))</f>
        <v>957.91164051020678</v>
      </c>
      <c r="N104">
        <f ca="1">IF($C104-N$1&lt;År1,0,M103*(1-VLOOKUP($A104,[1]Hugst!$R$5:$W$9,MATCH(ROUNDUP((N$1)/10,0)*10,[1]Hugst!$R$4:$W$4,0))))</f>
        <v>959.33711395878777</v>
      </c>
      <c r="O104">
        <f ca="1">IF($C104-O$1&lt;År1,0,N103*(1-VLOOKUP($A104,[1]Hugst!$R$5:$W$9,MATCH(ROUNDUP((O$1)/10,0)*10,[1]Hugst!$R$4:$W$4,0))))</f>
        <v>960.76975059052859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25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272.51904274496019</v>
      </c>
      <c r="E105">
        <f t="shared" ca="1" si="2"/>
        <v>1.4655809754767688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948.22704796286098</v>
      </c>
      <c r="G105">
        <f ca="1">IF($C105-G$1&lt;År1,0,F104*(1-VLOOKUP($A105,[1]Hugst!$R$5:$W$9,MATCH(ROUNDUP((G$1)/10,0)*10,[1]Hugst!$R$4:$W$4,0))))</f>
        <v>948.13090941323208</v>
      </c>
      <c r="H105">
        <f ca="1">IF($C105-H$1&lt;År1,0,G104*(1-VLOOKUP($A105,[1]Hugst!$R$5:$W$9,MATCH(ROUNDUP((H$1)/10,0)*10,[1]Hugst!$R$4:$W$4,0))))</f>
        <v>949.50723345931829</v>
      </c>
      <c r="I105">
        <f ca="1">IF($C105-I$1&lt;År1,0,H104*(1-VLOOKUP($A105,[1]Hugst!$R$5:$W$9,MATCH(ROUNDUP((I$1)/10,0)*10,[1]Hugst!$R$4:$W$4,0))))</f>
        <v>950.8904737066332</v>
      </c>
      <c r="J105">
        <f ca="1">IF($C105-J$1&lt;År1,0,I104*(1-VLOOKUP($A105,[1]Hugst!$R$5:$W$9,MATCH(ROUNDUP((J$1)/10,0)*10,[1]Hugst!$R$4:$W$4,0))))</f>
        <v>952.28066490998458</v>
      </c>
      <c r="K105">
        <f ca="1">IF($C105-K$1&lt;År1,0,J104*(1-VLOOKUP($A105,[1]Hugst!$R$5:$W$9,MATCH(ROUNDUP((K$1)/10,0)*10,[1]Hugst!$R$4:$W$4,0))))</f>
        <v>953.67784199875382</v>
      </c>
      <c r="L105">
        <f ca="1">IF($C105-L$1&lt;År1,0,K104*(1-VLOOKUP($A105,[1]Hugst!$R$5:$W$9,MATCH(ROUNDUP((L$1)/10,0)*10,[1]Hugst!$R$4:$W$4,0))))</f>
        <v>955.0820400779362</v>
      </c>
      <c r="M105">
        <f ca="1">IF($C105-M$1&lt;År1,0,L104*(1-VLOOKUP($A105,[1]Hugst!$R$5:$W$9,MATCH(ROUNDUP((M$1)/10,0)*10,[1]Hugst!$R$4:$W$4,0))))</f>
        <v>956.49329442886085</v>
      </c>
      <c r="N105">
        <f ca="1">IF($C105-N$1&lt;År1,0,M104*(1-VLOOKUP($A105,[1]Hugst!$R$5:$W$9,MATCH(ROUNDUP((N$1)/10,0)*10,[1]Hugst!$R$4:$W$4,0))))</f>
        <v>957.91164051020678</v>
      </c>
      <c r="O105">
        <f ca="1">IF($C105-O$1&lt;År1,0,N104*(1-VLOOKUP($A105,[1]Hugst!$R$5:$W$9,MATCH(ROUNDUP((O$1)/10,0)*10,[1]Hugst!$R$4:$W$4,0))))</f>
        <v>959.33711395878777</v>
      </c>
      <c r="P105">
        <f ca="1">IF($C105-P$1&lt;År1,0,O104*(1-VLOOKUP($A105,[1]Hugst!$R$5:$W$9,MATCH(ROUNDUP((P$1)/10,0)*10,[1]Hugst!$R$4:$W$4,0))))</f>
        <v>959.30416961505148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25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271.15644753122115</v>
      </c>
      <c r="E106">
        <f t="shared" ca="1" si="2"/>
        <v>2.926740941045864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644.9165218056005</v>
      </c>
      <c r="G106">
        <f ca="1">IF($C106-G$1&lt;År1,0,F105*(1-VLOOKUP($A106,[1]Hugst!$R$5:$W$9,MATCH(ROUNDUP((G$1)/10,0)*10,[1]Hugst!$R$4:$W$4,0))))</f>
        <v>948.22704796286098</v>
      </c>
      <c r="H106">
        <f ca="1">IF($C106-H$1&lt;År1,0,G105*(1-VLOOKUP($A106,[1]Hugst!$R$5:$W$9,MATCH(ROUNDUP((H$1)/10,0)*10,[1]Hugst!$R$4:$W$4,0))))</f>
        <v>948.13090941323208</v>
      </c>
      <c r="I106">
        <f ca="1">IF($C106-I$1&lt;År1,0,H105*(1-VLOOKUP($A106,[1]Hugst!$R$5:$W$9,MATCH(ROUNDUP((I$1)/10,0)*10,[1]Hugst!$R$4:$W$4,0))))</f>
        <v>949.50723345931829</v>
      </c>
      <c r="J106">
        <f ca="1">IF($C106-J$1&lt;År1,0,I105*(1-VLOOKUP($A106,[1]Hugst!$R$5:$W$9,MATCH(ROUNDUP((J$1)/10,0)*10,[1]Hugst!$R$4:$W$4,0))))</f>
        <v>950.8904737066332</v>
      </c>
      <c r="K106">
        <f ca="1">IF($C106-K$1&lt;År1,0,J105*(1-VLOOKUP($A106,[1]Hugst!$R$5:$W$9,MATCH(ROUNDUP((K$1)/10,0)*10,[1]Hugst!$R$4:$W$4,0))))</f>
        <v>952.28066490998458</v>
      </c>
      <c r="L106">
        <f ca="1">IF($C106-L$1&lt;År1,0,K105*(1-VLOOKUP($A106,[1]Hugst!$R$5:$W$9,MATCH(ROUNDUP((L$1)/10,0)*10,[1]Hugst!$R$4:$W$4,0))))</f>
        <v>953.67784199875382</v>
      </c>
      <c r="M106">
        <f ca="1">IF($C106-M$1&lt;År1,0,L105*(1-VLOOKUP($A106,[1]Hugst!$R$5:$W$9,MATCH(ROUNDUP((M$1)/10,0)*10,[1]Hugst!$R$4:$W$4,0))))</f>
        <v>955.0820400779362</v>
      </c>
      <c r="N106">
        <f ca="1">IF($C106-N$1&lt;År1,0,M105*(1-VLOOKUP($A106,[1]Hugst!$R$5:$W$9,MATCH(ROUNDUP((N$1)/10,0)*10,[1]Hugst!$R$4:$W$4,0))))</f>
        <v>956.49329442886085</v>
      </c>
      <c r="O106">
        <f ca="1">IF($C106-O$1&lt;År1,0,N105*(1-VLOOKUP($A106,[1]Hugst!$R$5:$W$9,MATCH(ROUNDUP((O$1)/10,0)*10,[1]Hugst!$R$4:$W$4,0))))</f>
        <v>957.91164051020678</v>
      </c>
      <c r="P106">
        <f ca="1">IF($C106-P$1&lt;År1,0,O105*(1-VLOOKUP($A106,[1]Hugst!$R$5:$W$9,MATCH(ROUNDUP((P$1)/10,0)*10,[1]Hugst!$R$4:$W$4,0))))</f>
        <v>957.8737183612235</v>
      </c>
      <c r="Q106">
        <f ca="1">IF($C106-Q$1&lt;År1,0,P105*(1-VLOOKUP($A106,[1]Hugst!$R$5:$W$9,MATCH(ROUNDUP((Q$1)/10,0)*10,[1]Hugst!$R$4:$W$4,0))))</f>
        <v>957.84082427157091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25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269.80066529357509</v>
      </c>
      <c r="E107">
        <f t="shared" ca="1" si="2"/>
        <v>4.3834975675054011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645.01749619441398</v>
      </c>
      <c r="G107">
        <f ca="1">IF($C107-G$1&lt;År1,0,F106*(1-VLOOKUP($A107,[1]Hugst!$R$5:$W$9,MATCH(ROUNDUP((G$1)/10,0)*10,[1]Hugst!$R$4:$W$4,0))))</f>
        <v>644.9165218056005</v>
      </c>
      <c r="H107">
        <f ca="1">IF($C107-H$1&lt;År1,0,G106*(1-VLOOKUP($A107,[1]Hugst!$R$5:$W$9,MATCH(ROUNDUP((H$1)/10,0)*10,[1]Hugst!$R$4:$W$4,0))))</f>
        <v>948.22704796286098</v>
      </c>
      <c r="I107">
        <f ca="1">IF($C107-I$1&lt;År1,0,H106*(1-VLOOKUP($A107,[1]Hugst!$R$5:$W$9,MATCH(ROUNDUP((I$1)/10,0)*10,[1]Hugst!$R$4:$W$4,0))))</f>
        <v>948.13090941323208</v>
      </c>
      <c r="J107">
        <f ca="1">IF($C107-J$1&lt;År1,0,I106*(1-VLOOKUP($A107,[1]Hugst!$R$5:$W$9,MATCH(ROUNDUP((J$1)/10,0)*10,[1]Hugst!$R$4:$W$4,0))))</f>
        <v>949.50723345931829</v>
      </c>
      <c r="K107">
        <f ca="1">IF($C107-K$1&lt;År1,0,J106*(1-VLOOKUP($A107,[1]Hugst!$R$5:$W$9,MATCH(ROUNDUP((K$1)/10,0)*10,[1]Hugst!$R$4:$W$4,0))))</f>
        <v>950.8904737066332</v>
      </c>
      <c r="L107">
        <f ca="1">IF($C107-L$1&lt;År1,0,K106*(1-VLOOKUP($A107,[1]Hugst!$R$5:$W$9,MATCH(ROUNDUP((L$1)/10,0)*10,[1]Hugst!$R$4:$W$4,0))))</f>
        <v>952.28066490998458</v>
      </c>
      <c r="M107">
        <f ca="1">IF($C107-M$1&lt;År1,0,L106*(1-VLOOKUP($A107,[1]Hugst!$R$5:$W$9,MATCH(ROUNDUP((M$1)/10,0)*10,[1]Hugst!$R$4:$W$4,0))))</f>
        <v>953.67784199875382</v>
      </c>
      <c r="N107">
        <f ca="1">IF($C107-N$1&lt;År1,0,M106*(1-VLOOKUP($A107,[1]Hugst!$R$5:$W$9,MATCH(ROUNDUP((N$1)/10,0)*10,[1]Hugst!$R$4:$W$4,0))))</f>
        <v>955.0820400779362</v>
      </c>
      <c r="O107">
        <f ca="1">IF($C107-O$1&lt;År1,0,N106*(1-VLOOKUP($A107,[1]Hugst!$R$5:$W$9,MATCH(ROUNDUP((O$1)/10,0)*10,[1]Hugst!$R$4:$W$4,0))))</f>
        <v>956.49329442886085</v>
      </c>
      <c r="P107">
        <f ca="1">IF($C107-P$1&lt;År1,0,O106*(1-VLOOKUP($A107,[1]Hugst!$R$5:$W$9,MATCH(ROUNDUP((P$1)/10,0)*10,[1]Hugst!$R$4:$W$4,0))))</f>
        <v>956.45041936366579</v>
      </c>
      <c r="Q107">
        <f ca="1">IF($C107-Q$1&lt;År1,0,P106*(1-VLOOKUP($A107,[1]Hugst!$R$5:$W$9,MATCH(ROUNDUP((Q$1)/10,0)*10,[1]Hugst!$R$4:$W$4,0))))</f>
        <v>956.41255506202833</v>
      </c>
      <c r="R107">
        <f ca="1">IF($C107-R$1&lt;År1,0,Q106*(1-VLOOKUP($A107,[1]Hugst!$R$5:$W$9,MATCH(ROUNDUP((R$1)/10,0)*10,[1]Hugst!$R$4:$W$4,0))))</f>
        <v>956.37971114980064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25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268.45166196710352</v>
      </c>
      <c r="E108">
        <f t="shared" ca="1" si="2"/>
        <v>5.8358684440754587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645.12086374451246</v>
      </c>
      <c r="G108">
        <f ca="1">IF($C108-G$1&lt;År1,0,F107*(1-VLOOKUP($A108,[1]Hugst!$R$5:$W$9,MATCH(ROUNDUP((G$1)/10,0)*10,[1]Hugst!$R$4:$W$4,0))))</f>
        <v>645.01749619441398</v>
      </c>
      <c r="H108">
        <f ca="1">IF($C108-H$1&lt;År1,0,G107*(1-VLOOKUP($A108,[1]Hugst!$R$5:$W$9,MATCH(ROUNDUP((H$1)/10,0)*10,[1]Hugst!$R$4:$W$4,0))))</f>
        <v>644.9165218056005</v>
      </c>
      <c r="I108">
        <f ca="1">IF($C108-I$1&lt;År1,0,H107*(1-VLOOKUP($A108,[1]Hugst!$R$5:$W$9,MATCH(ROUNDUP((I$1)/10,0)*10,[1]Hugst!$R$4:$W$4,0))))</f>
        <v>948.22704796286098</v>
      </c>
      <c r="J108">
        <f ca="1">IF($C108-J$1&lt;År1,0,I107*(1-VLOOKUP($A108,[1]Hugst!$R$5:$W$9,MATCH(ROUNDUP((J$1)/10,0)*10,[1]Hugst!$R$4:$W$4,0))))</f>
        <v>948.13090941323208</v>
      </c>
      <c r="K108">
        <f ca="1">IF($C108-K$1&lt;År1,0,J107*(1-VLOOKUP($A108,[1]Hugst!$R$5:$W$9,MATCH(ROUNDUP((K$1)/10,0)*10,[1]Hugst!$R$4:$W$4,0))))</f>
        <v>949.50723345931829</v>
      </c>
      <c r="L108">
        <f ca="1">IF($C108-L$1&lt;År1,0,K107*(1-VLOOKUP($A108,[1]Hugst!$R$5:$W$9,MATCH(ROUNDUP((L$1)/10,0)*10,[1]Hugst!$R$4:$W$4,0))))</f>
        <v>950.8904737066332</v>
      </c>
      <c r="M108">
        <f ca="1">IF($C108-M$1&lt;År1,0,L107*(1-VLOOKUP($A108,[1]Hugst!$R$5:$W$9,MATCH(ROUNDUP((M$1)/10,0)*10,[1]Hugst!$R$4:$W$4,0))))</f>
        <v>952.28066490998458</v>
      </c>
      <c r="N108">
        <f ca="1">IF($C108-N$1&lt;År1,0,M107*(1-VLOOKUP($A108,[1]Hugst!$R$5:$W$9,MATCH(ROUNDUP((N$1)/10,0)*10,[1]Hugst!$R$4:$W$4,0))))</f>
        <v>953.67784199875382</v>
      </c>
      <c r="O108">
        <f ca="1">IF($C108-O$1&lt;År1,0,N107*(1-VLOOKUP($A108,[1]Hugst!$R$5:$W$9,MATCH(ROUNDUP((O$1)/10,0)*10,[1]Hugst!$R$4:$W$4,0))))</f>
        <v>955.0820400779362</v>
      </c>
      <c r="P108">
        <f ca="1">IF($C108-P$1&lt;År1,0,O107*(1-VLOOKUP($A108,[1]Hugst!$R$5:$W$9,MATCH(ROUNDUP((P$1)/10,0)*10,[1]Hugst!$R$4:$W$4,0))))</f>
        <v>955.03423686108795</v>
      </c>
      <c r="Q108">
        <f ca="1">IF($C108-Q$1&lt;År1,0,P107*(1-VLOOKUP($A108,[1]Hugst!$R$5:$W$9,MATCH(ROUNDUP((Q$1)/10,0)*10,[1]Hugst!$R$4:$W$4,0))))</f>
        <v>954.99142719853478</v>
      </c>
      <c r="R108">
        <f ca="1">IF($C108-R$1&lt;År1,0,Q107*(1-VLOOKUP($A108,[1]Hugst!$R$5:$W$9,MATCH(ROUNDUP((R$1)/10,0)*10,[1]Hugst!$R$4:$W$4,0))))</f>
        <v>954.95362065600148</v>
      </c>
      <c r="S108">
        <f ca="1">IF($C108-S$1&lt;År1,0,R107*(1-VLOOKUP($A108,[1]Hugst!$R$5:$W$9,MATCH(ROUNDUP((S$1)/10,0)*10,[1]Hugst!$R$4:$W$4,0))))</f>
        <v>954.92082684465686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25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267.10940365726901</v>
      </c>
      <c r="E109">
        <f t="shared" ca="1" si="2"/>
        <v>7.2838710787709715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645.22660806937347</v>
      </c>
      <c r="G109">
        <f ca="1">IF($C109-G$1&lt;År1,0,F108*(1-VLOOKUP($A109,[1]Hugst!$R$5:$W$9,MATCH(ROUNDUP((G$1)/10,0)*10,[1]Hugst!$R$4:$W$4,0))))</f>
        <v>645.12086374451246</v>
      </c>
      <c r="H109">
        <f ca="1">IF($C109-H$1&lt;År1,0,G108*(1-VLOOKUP($A109,[1]Hugst!$R$5:$W$9,MATCH(ROUNDUP((H$1)/10,0)*10,[1]Hugst!$R$4:$W$4,0))))</f>
        <v>645.01749619441398</v>
      </c>
      <c r="I109">
        <f ca="1">IF($C109-I$1&lt;År1,0,H108*(1-VLOOKUP($A109,[1]Hugst!$R$5:$W$9,MATCH(ROUNDUP((I$1)/10,0)*10,[1]Hugst!$R$4:$W$4,0))))</f>
        <v>644.9165218056005</v>
      </c>
      <c r="J109">
        <f ca="1">IF($C109-J$1&lt;År1,0,I108*(1-VLOOKUP($A109,[1]Hugst!$R$5:$W$9,MATCH(ROUNDUP((J$1)/10,0)*10,[1]Hugst!$R$4:$W$4,0))))</f>
        <v>948.22704796286098</v>
      </c>
      <c r="K109">
        <f ca="1">IF($C109-K$1&lt;År1,0,J108*(1-VLOOKUP($A109,[1]Hugst!$R$5:$W$9,MATCH(ROUNDUP((K$1)/10,0)*10,[1]Hugst!$R$4:$W$4,0))))</f>
        <v>948.13090941323208</v>
      </c>
      <c r="L109">
        <f ca="1">IF($C109-L$1&lt;År1,0,K108*(1-VLOOKUP($A109,[1]Hugst!$R$5:$W$9,MATCH(ROUNDUP((L$1)/10,0)*10,[1]Hugst!$R$4:$W$4,0))))</f>
        <v>949.50723345931829</v>
      </c>
      <c r="M109">
        <f ca="1">IF($C109-M$1&lt;År1,0,L108*(1-VLOOKUP($A109,[1]Hugst!$R$5:$W$9,MATCH(ROUNDUP((M$1)/10,0)*10,[1]Hugst!$R$4:$W$4,0))))</f>
        <v>950.8904737066332</v>
      </c>
      <c r="N109">
        <f ca="1">IF($C109-N$1&lt;År1,0,M108*(1-VLOOKUP($A109,[1]Hugst!$R$5:$W$9,MATCH(ROUNDUP((N$1)/10,0)*10,[1]Hugst!$R$4:$W$4,0))))</f>
        <v>952.28066490998458</v>
      </c>
      <c r="O109">
        <f ca="1">IF($C109-O$1&lt;År1,0,N108*(1-VLOOKUP($A109,[1]Hugst!$R$5:$W$9,MATCH(ROUNDUP((O$1)/10,0)*10,[1]Hugst!$R$4:$W$4,0))))</f>
        <v>953.67784199875382</v>
      </c>
      <c r="P109">
        <f ca="1">IF($C109-P$1&lt;År1,0,O108*(1-VLOOKUP($A109,[1]Hugst!$R$5:$W$9,MATCH(ROUNDUP((P$1)/10,0)*10,[1]Hugst!$R$4:$W$4,0))))</f>
        <v>953.62513527103761</v>
      </c>
      <c r="Q109">
        <f ca="1">IF($C109-Q$1&lt;År1,0,P108*(1-VLOOKUP($A109,[1]Hugst!$R$5:$W$9,MATCH(ROUNDUP((Q$1)/10,0)*10,[1]Hugst!$R$4:$W$4,0))))</f>
        <v>953.57740497435066</v>
      </c>
      <c r="R109">
        <f ca="1">IF($C109-R$1&lt;År1,0,Q108*(1-VLOOKUP($A109,[1]Hugst!$R$5:$W$9,MATCH(ROUNDUP((R$1)/10,0)*10,[1]Hugst!$R$4:$W$4,0))))</f>
        <v>953.53466061467259</v>
      </c>
      <c r="S109">
        <f ca="1">IF($C109-S$1&lt;År1,0,R108*(1-VLOOKUP($A109,[1]Hugst!$R$5:$W$9,MATCH(ROUNDUP((S$1)/10,0)*10,[1]Hugst!$R$4:$W$4,0))))</f>
        <v>953.49691174313637</v>
      </c>
      <c r="T109">
        <f ca="1">IF($C109-T$1&lt;År1,0,S108*(1-VLOOKUP($A109,[1]Hugst!$R$5:$W$9,MATCH(ROUNDUP((T$1)/10,0)*10,[1]Hugst!$R$4:$W$4,0))))</f>
        <v>953.46416795624975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25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265.77385663898804</v>
      </c>
      <c r="E110">
        <f t="shared" ca="1" si="2"/>
        <v>8.7275228988146409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645.33471287113616</v>
      </c>
      <c r="G110">
        <f ca="1">IF($C110-G$1&lt;År1,0,F109*(1-VLOOKUP($A110,[1]Hugst!$R$5:$W$9,MATCH(ROUNDUP((G$1)/10,0)*10,[1]Hugst!$R$4:$W$4,0))))</f>
        <v>645.22660806937347</v>
      </c>
      <c r="H110">
        <f ca="1">IF($C110-H$1&lt;År1,0,G109*(1-VLOOKUP($A110,[1]Hugst!$R$5:$W$9,MATCH(ROUNDUP((H$1)/10,0)*10,[1]Hugst!$R$4:$W$4,0))))</f>
        <v>645.12086374451246</v>
      </c>
      <c r="I110">
        <f ca="1">IF($C110-I$1&lt;År1,0,H109*(1-VLOOKUP($A110,[1]Hugst!$R$5:$W$9,MATCH(ROUNDUP((I$1)/10,0)*10,[1]Hugst!$R$4:$W$4,0))))</f>
        <v>645.01749619441398</v>
      </c>
      <c r="J110">
        <f ca="1">IF($C110-J$1&lt;År1,0,I109*(1-VLOOKUP($A110,[1]Hugst!$R$5:$W$9,MATCH(ROUNDUP((J$1)/10,0)*10,[1]Hugst!$R$4:$W$4,0))))</f>
        <v>644.9165218056005</v>
      </c>
      <c r="K110">
        <f ca="1">IF($C110-K$1&lt;År1,0,J109*(1-VLOOKUP($A110,[1]Hugst!$R$5:$W$9,MATCH(ROUNDUP((K$1)/10,0)*10,[1]Hugst!$R$4:$W$4,0))))</f>
        <v>948.22704796286098</v>
      </c>
      <c r="L110">
        <f ca="1">IF($C110-L$1&lt;År1,0,K109*(1-VLOOKUP($A110,[1]Hugst!$R$5:$W$9,MATCH(ROUNDUP((L$1)/10,0)*10,[1]Hugst!$R$4:$W$4,0))))</f>
        <v>948.13090941323208</v>
      </c>
      <c r="M110">
        <f ca="1">IF($C110-M$1&lt;År1,0,L109*(1-VLOOKUP($A110,[1]Hugst!$R$5:$W$9,MATCH(ROUNDUP((M$1)/10,0)*10,[1]Hugst!$R$4:$W$4,0))))</f>
        <v>949.50723345931829</v>
      </c>
      <c r="N110">
        <f ca="1">IF($C110-N$1&lt;År1,0,M109*(1-VLOOKUP($A110,[1]Hugst!$R$5:$W$9,MATCH(ROUNDUP((N$1)/10,0)*10,[1]Hugst!$R$4:$W$4,0))))</f>
        <v>950.8904737066332</v>
      </c>
      <c r="O110">
        <f ca="1">IF($C110-O$1&lt;År1,0,N109*(1-VLOOKUP($A110,[1]Hugst!$R$5:$W$9,MATCH(ROUNDUP((O$1)/10,0)*10,[1]Hugst!$R$4:$W$4,0))))</f>
        <v>952.28066490998458</v>
      </c>
      <c r="P110">
        <f ca="1">IF($C110-P$1&lt;År1,0,O109*(1-VLOOKUP($A110,[1]Hugst!$R$5:$W$9,MATCH(ROUNDUP((P$1)/10,0)*10,[1]Hugst!$R$4:$W$4,0))))</f>
        <v>952.22307918892523</v>
      </c>
      <c r="Q110">
        <f ca="1">IF($C110-Q$1&lt;År1,0,P109*(1-VLOOKUP($A110,[1]Hugst!$R$5:$W$9,MATCH(ROUNDUP((Q$1)/10,0)*10,[1]Hugst!$R$4:$W$4,0))))</f>
        <v>952.17045286130212</v>
      </c>
      <c r="R110">
        <f ca="1">IF($C110-R$1&lt;År1,0,Q109*(1-VLOOKUP($A110,[1]Hugst!$R$5:$W$9,MATCH(ROUNDUP((R$1)/10,0)*10,[1]Hugst!$R$4:$W$4,0))))</f>
        <v>952.12279537354232</v>
      </c>
      <c r="S110">
        <f ca="1">IF($C110-S$1&lt;År1,0,R109*(1-VLOOKUP($A110,[1]Hugst!$R$5:$W$9,MATCH(ROUNDUP((S$1)/10,0)*10,[1]Hugst!$R$4:$W$4,0))))</f>
        <v>952.08011621712478</v>
      </c>
      <c r="T110">
        <f ca="1">IF($C110-T$1&lt;År1,0,S109*(1-VLOOKUP($A110,[1]Hugst!$R$5:$W$9,MATCH(ROUNDUP((T$1)/10,0)*10,[1]Hugst!$R$4:$W$4,0))))</f>
        <v>952.04242492861295</v>
      </c>
      <c r="U110">
        <f ca="1">IF($C110-U$1&lt;År1,0,T109*(1-VLOOKUP($A110,[1]Hugst!$R$5:$W$9,MATCH(ROUNDUP((U$1)/10,0)*10,[1]Hugst!$R$4:$W$4,0))))</f>
        <v>952.0097310898758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25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264.444987355786</v>
      </c>
      <c r="E111">
        <f t="shared" ca="1" si="2"/>
        <v>10.166841251040751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645.44516194016023</v>
      </c>
      <c r="G111">
        <f ca="1">IF($C111-G$1&lt;År1,0,F110*(1-VLOOKUP($A111,[1]Hugst!$R$5:$W$9,MATCH(ROUNDUP((G$1)/10,0)*10,[1]Hugst!$R$4:$W$4,0))))</f>
        <v>645.33471287113616</v>
      </c>
      <c r="H111">
        <f ca="1">IF($C111-H$1&lt;År1,0,G110*(1-VLOOKUP($A111,[1]Hugst!$R$5:$W$9,MATCH(ROUNDUP((H$1)/10,0)*10,[1]Hugst!$R$4:$W$4,0))))</f>
        <v>645.22660806937347</v>
      </c>
      <c r="I111">
        <f ca="1">IF($C111-I$1&lt;År1,0,H110*(1-VLOOKUP($A111,[1]Hugst!$R$5:$W$9,MATCH(ROUNDUP((I$1)/10,0)*10,[1]Hugst!$R$4:$W$4,0))))</f>
        <v>645.12086374451246</v>
      </c>
      <c r="J111">
        <f ca="1">IF($C111-J$1&lt;År1,0,I110*(1-VLOOKUP($A111,[1]Hugst!$R$5:$W$9,MATCH(ROUNDUP((J$1)/10,0)*10,[1]Hugst!$R$4:$W$4,0))))</f>
        <v>645.01749619441398</v>
      </c>
      <c r="K111">
        <f ca="1">IF($C111-K$1&lt;År1,0,J110*(1-VLOOKUP($A111,[1]Hugst!$R$5:$W$9,MATCH(ROUNDUP((K$1)/10,0)*10,[1]Hugst!$R$4:$W$4,0))))</f>
        <v>644.9165218056005</v>
      </c>
      <c r="L111">
        <f ca="1">IF($C111-L$1&lt;År1,0,K110*(1-VLOOKUP($A111,[1]Hugst!$R$5:$W$9,MATCH(ROUNDUP((L$1)/10,0)*10,[1]Hugst!$R$4:$W$4,0))))</f>
        <v>948.22704796286098</v>
      </c>
      <c r="M111">
        <f ca="1">IF($C111-M$1&lt;År1,0,L110*(1-VLOOKUP($A111,[1]Hugst!$R$5:$W$9,MATCH(ROUNDUP((M$1)/10,0)*10,[1]Hugst!$R$4:$W$4,0))))</f>
        <v>948.13090941323208</v>
      </c>
      <c r="N111">
        <f ca="1">IF($C111-N$1&lt;År1,0,M110*(1-VLOOKUP($A111,[1]Hugst!$R$5:$W$9,MATCH(ROUNDUP((N$1)/10,0)*10,[1]Hugst!$R$4:$W$4,0))))</f>
        <v>949.50723345931829</v>
      </c>
      <c r="O111">
        <f ca="1">IF($C111-O$1&lt;År1,0,N110*(1-VLOOKUP($A111,[1]Hugst!$R$5:$W$9,MATCH(ROUNDUP((O$1)/10,0)*10,[1]Hugst!$R$4:$W$4,0))))</f>
        <v>950.8904737066332</v>
      </c>
      <c r="P111">
        <f ca="1">IF($C111-P$1&lt;År1,0,O110*(1-VLOOKUP($A111,[1]Hugst!$R$5:$W$9,MATCH(ROUNDUP((P$1)/10,0)*10,[1]Hugst!$R$4:$W$4,0))))</f>
        <v>950.82803338724045</v>
      </c>
      <c r="Q111">
        <f ca="1">IF($C111-Q$1&lt;År1,0,P110*(1-VLOOKUP($A111,[1]Hugst!$R$5:$W$9,MATCH(ROUNDUP((Q$1)/10,0)*10,[1]Hugst!$R$4:$W$4,0))))</f>
        <v>950.77053550880646</v>
      </c>
      <c r="R111">
        <f ca="1">IF($C111-R$1&lt;År1,0,Q110*(1-VLOOKUP($A111,[1]Hugst!$R$5:$W$9,MATCH(ROUNDUP((R$1)/10,0)*10,[1]Hugst!$R$4:$W$4,0))))</f>
        <v>950.71798945863236</v>
      </c>
      <c r="S111">
        <f ca="1">IF($C111-S$1&lt;År1,0,R110*(1-VLOOKUP($A111,[1]Hugst!$R$5:$W$9,MATCH(ROUNDUP((S$1)/10,0)*10,[1]Hugst!$R$4:$W$4,0))))</f>
        <v>950.67040466873516</v>
      </c>
      <c r="T111">
        <f ca="1">IF($C111-T$1&lt;År1,0,S110*(1-VLOOKUP($A111,[1]Hugst!$R$5:$W$9,MATCH(ROUNDUP((T$1)/10,0)*10,[1]Hugst!$R$4:$W$4,0))))</f>
        <v>950.62779061611559</v>
      </c>
      <c r="U111">
        <f ca="1">IF($C111-U$1&lt;År1,0,T110*(1-VLOOKUP($A111,[1]Hugst!$R$5:$W$9,MATCH(ROUNDUP((U$1)/10,0)*10,[1]Hugst!$R$4:$W$4,0))))</f>
        <v>950.5901568227896</v>
      </c>
      <c r="V111">
        <f ca="1">IF($C111-V$1&lt;År1,0,U110*(1-VLOOKUP($A111,[1]Hugst!$R$5:$W$9,MATCH(ROUNDUP((V$1)/10,0)*10,[1]Hugst!$R$4:$W$4,0))))</f>
        <v>950.55751285600991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25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263.12276241901054</v>
      </c>
      <c r="E112">
        <f t="shared" ca="1" si="2"/>
        <v>11.601843402244413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645.55793915458844</v>
      </c>
      <c r="G112">
        <f ca="1">IF($C112-G$1&lt;År1,0,F111*(1-VLOOKUP($A112,[1]Hugst!$R$5:$W$9,MATCH(ROUNDUP((G$1)/10,0)*10,[1]Hugst!$R$4:$W$4,0))))</f>
        <v>645.44516194016023</v>
      </c>
      <c r="H112">
        <f ca="1">IF($C112-H$1&lt;År1,0,G111*(1-VLOOKUP($A112,[1]Hugst!$R$5:$W$9,MATCH(ROUNDUP((H$1)/10,0)*10,[1]Hugst!$R$4:$W$4,0))))</f>
        <v>645.33471287113616</v>
      </c>
      <c r="I112">
        <f ca="1">IF($C112-I$1&lt;År1,0,H111*(1-VLOOKUP($A112,[1]Hugst!$R$5:$W$9,MATCH(ROUNDUP((I$1)/10,0)*10,[1]Hugst!$R$4:$W$4,0))))</f>
        <v>645.22660806937347</v>
      </c>
      <c r="J112">
        <f ca="1">IF($C112-J$1&lt;År1,0,I111*(1-VLOOKUP($A112,[1]Hugst!$R$5:$W$9,MATCH(ROUNDUP((J$1)/10,0)*10,[1]Hugst!$R$4:$W$4,0))))</f>
        <v>645.12086374451246</v>
      </c>
      <c r="K112">
        <f ca="1">IF($C112-K$1&lt;År1,0,J111*(1-VLOOKUP($A112,[1]Hugst!$R$5:$W$9,MATCH(ROUNDUP((K$1)/10,0)*10,[1]Hugst!$R$4:$W$4,0))))</f>
        <v>645.01749619441398</v>
      </c>
      <c r="L112">
        <f ca="1">IF($C112-L$1&lt;År1,0,K111*(1-VLOOKUP($A112,[1]Hugst!$R$5:$W$9,MATCH(ROUNDUP((L$1)/10,0)*10,[1]Hugst!$R$4:$W$4,0))))</f>
        <v>644.9165218056005</v>
      </c>
      <c r="M112">
        <f ca="1">IF($C112-M$1&lt;År1,0,L111*(1-VLOOKUP($A112,[1]Hugst!$R$5:$W$9,MATCH(ROUNDUP((M$1)/10,0)*10,[1]Hugst!$R$4:$W$4,0))))</f>
        <v>948.22704796286098</v>
      </c>
      <c r="N112">
        <f ca="1">IF($C112-N$1&lt;År1,0,M111*(1-VLOOKUP($A112,[1]Hugst!$R$5:$W$9,MATCH(ROUNDUP((N$1)/10,0)*10,[1]Hugst!$R$4:$W$4,0))))</f>
        <v>948.13090941323208</v>
      </c>
      <c r="O112">
        <f ca="1">IF($C112-O$1&lt;År1,0,N111*(1-VLOOKUP($A112,[1]Hugst!$R$5:$W$9,MATCH(ROUNDUP((O$1)/10,0)*10,[1]Hugst!$R$4:$W$4,0))))</f>
        <v>949.50723345931829</v>
      </c>
      <c r="P112">
        <f ca="1">IF($C112-P$1&lt;År1,0,O111*(1-VLOOKUP($A112,[1]Hugst!$R$5:$W$9,MATCH(ROUNDUP((P$1)/10,0)*10,[1]Hugst!$R$4:$W$4,0))))</f>
        <v>949.43996281453826</v>
      </c>
      <c r="Q112">
        <f ca="1">IF($C112-Q$1&lt;År1,0,P111*(1-VLOOKUP($A112,[1]Hugst!$R$5:$W$9,MATCH(ROUNDUP((Q$1)/10,0)*10,[1]Hugst!$R$4:$W$4,0))))</f>
        <v>949.37761774309035</v>
      </c>
      <c r="R112">
        <f ca="1">IF($C112-R$1&lt;År1,0,Q111*(1-VLOOKUP($A112,[1]Hugst!$R$5:$W$9,MATCH(ROUNDUP((R$1)/10,0)*10,[1]Hugst!$R$4:$W$4,0))))</f>
        <v>949.32020757328451</v>
      </c>
      <c r="S112">
        <f ca="1">IF($C112-S$1&lt;År1,0,R111*(1-VLOOKUP($A112,[1]Hugst!$R$5:$W$9,MATCH(ROUNDUP((S$1)/10,0)*10,[1]Hugst!$R$4:$W$4,0))))</f>
        <v>949.2677416781022</v>
      </c>
      <c r="T112">
        <f ca="1">IF($C112-T$1&lt;År1,0,S111*(1-VLOOKUP($A112,[1]Hugst!$R$5:$W$9,MATCH(ROUNDUP((T$1)/10,0)*10,[1]Hugst!$R$4:$W$4,0))))</f>
        <v>949.22022947517269</v>
      </c>
      <c r="U112">
        <f ca="1">IF($C112-U$1&lt;År1,0,T111*(1-VLOOKUP($A112,[1]Hugst!$R$5:$W$9,MATCH(ROUNDUP((U$1)/10,0)*10,[1]Hugst!$R$4:$W$4,0))))</f>
        <v>949.17768042704017</v>
      </c>
      <c r="V112">
        <f ca="1">IF($C112-V$1&lt;År1,0,U111*(1-VLOOKUP($A112,[1]Hugst!$R$5:$W$9,MATCH(ROUNDUP((V$1)/10,0)*10,[1]Hugst!$R$4:$W$4,0))))</f>
        <v>949.14010404119551</v>
      </c>
      <c r="W112">
        <f ca="1">IF($C112-W$1&lt;År1,0,V111*(1-VLOOKUP($A112,[1]Hugst!$R$5:$W$9,MATCH(ROUNDUP((W$1)/10,0)*10,[1]Hugst!$R$4:$W$4,0))))</f>
        <v>949.10750987029735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25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261.80714860692024</v>
      </c>
      <c r="E113">
        <f t="shared" ca="1" si="2"/>
        <v>13.032546539614486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645.67302847986821</v>
      </c>
      <c r="G113">
        <f ca="1">IF($C113-G$1&lt;År1,0,F112*(1-VLOOKUP($A113,[1]Hugst!$R$5:$W$9,MATCH(ROUNDUP((G$1)/10,0)*10,[1]Hugst!$R$4:$W$4,0))))</f>
        <v>645.55793915458844</v>
      </c>
      <c r="H113">
        <f ca="1">IF($C113-H$1&lt;År1,0,G112*(1-VLOOKUP($A113,[1]Hugst!$R$5:$W$9,MATCH(ROUNDUP((H$1)/10,0)*10,[1]Hugst!$R$4:$W$4,0))))</f>
        <v>645.44516194016023</v>
      </c>
      <c r="I113">
        <f ca="1">IF($C113-I$1&lt;År1,0,H112*(1-VLOOKUP($A113,[1]Hugst!$R$5:$W$9,MATCH(ROUNDUP((I$1)/10,0)*10,[1]Hugst!$R$4:$W$4,0))))</f>
        <v>645.33471287113616</v>
      </c>
      <c r="J113">
        <f ca="1">IF($C113-J$1&lt;År1,0,I112*(1-VLOOKUP($A113,[1]Hugst!$R$5:$W$9,MATCH(ROUNDUP((J$1)/10,0)*10,[1]Hugst!$R$4:$W$4,0))))</f>
        <v>645.22660806937347</v>
      </c>
      <c r="K113">
        <f ca="1">IF($C113-K$1&lt;År1,0,J112*(1-VLOOKUP($A113,[1]Hugst!$R$5:$W$9,MATCH(ROUNDUP((K$1)/10,0)*10,[1]Hugst!$R$4:$W$4,0))))</f>
        <v>645.12086374451246</v>
      </c>
      <c r="L113">
        <f ca="1">IF($C113-L$1&lt;År1,0,K112*(1-VLOOKUP($A113,[1]Hugst!$R$5:$W$9,MATCH(ROUNDUP((L$1)/10,0)*10,[1]Hugst!$R$4:$W$4,0))))</f>
        <v>645.01749619441398</v>
      </c>
      <c r="M113">
        <f ca="1">IF($C113-M$1&lt;År1,0,L112*(1-VLOOKUP($A113,[1]Hugst!$R$5:$W$9,MATCH(ROUNDUP((M$1)/10,0)*10,[1]Hugst!$R$4:$W$4,0))))</f>
        <v>644.9165218056005</v>
      </c>
      <c r="N113">
        <f ca="1">IF($C113-N$1&lt;År1,0,M112*(1-VLOOKUP($A113,[1]Hugst!$R$5:$W$9,MATCH(ROUNDUP((N$1)/10,0)*10,[1]Hugst!$R$4:$W$4,0))))</f>
        <v>948.22704796286098</v>
      </c>
      <c r="O113">
        <f ca="1">IF($C113-O$1&lt;År1,0,N112*(1-VLOOKUP($A113,[1]Hugst!$R$5:$W$9,MATCH(ROUNDUP((O$1)/10,0)*10,[1]Hugst!$R$4:$W$4,0))))</f>
        <v>948.13090941323208</v>
      </c>
      <c r="P113">
        <f ca="1">IF($C113-P$1&lt;År1,0,O112*(1-VLOOKUP($A113,[1]Hugst!$R$5:$W$9,MATCH(ROUNDUP((P$1)/10,0)*10,[1]Hugst!$R$4:$W$4,0))))</f>
        <v>948.05883259471932</v>
      </c>
      <c r="Q113">
        <f ca="1">IF($C113-Q$1&lt;År1,0,P112*(1-VLOOKUP($A113,[1]Hugst!$R$5:$W$9,MATCH(ROUNDUP((Q$1)/10,0)*10,[1]Hugst!$R$4:$W$4,0))))</f>
        <v>947.99166456617706</v>
      </c>
      <c r="R113">
        <f ca="1">IF($C113-R$1&lt;År1,0,Q112*(1-VLOOKUP($A113,[1]Hugst!$R$5:$W$9,MATCH(ROUNDUP((R$1)/10,0)*10,[1]Hugst!$R$4:$W$4,0))))</f>
        <v>947.92941459738051</v>
      </c>
      <c r="S113">
        <f ca="1">IF($C113-S$1&lt;År1,0,R112*(1-VLOOKUP($A113,[1]Hugst!$R$5:$W$9,MATCH(ROUNDUP((S$1)/10,0)*10,[1]Hugst!$R$4:$W$4,0))))</f>
        <v>947.87209200241</v>
      </c>
      <c r="T113">
        <f ca="1">IF($C113-T$1&lt;År1,0,S112*(1-VLOOKUP($A113,[1]Hugst!$R$5:$W$9,MATCH(ROUNDUP((T$1)/10,0)*10,[1]Hugst!$R$4:$W$4,0))))</f>
        <v>947.81970613994918</v>
      </c>
      <c r="U113">
        <f ca="1">IF($C113-U$1&lt;År1,0,T112*(1-VLOOKUP($A113,[1]Hugst!$R$5:$W$9,MATCH(ROUNDUP((U$1)/10,0)*10,[1]Hugst!$R$4:$W$4,0))))</f>
        <v>947.77226641326138</v>
      </c>
      <c r="V113">
        <f ca="1">IF($C113-V$1&lt;År1,0,U112*(1-VLOOKUP($A113,[1]Hugst!$R$5:$W$9,MATCH(ROUNDUP((V$1)/10,0)*10,[1]Hugst!$R$4:$W$4,0))))</f>
        <v>947.72978227045655</v>
      </c>
      <c r="W113">
        <f ca="1">IF($C113-W$1&lt;År1,0,V112*(1-VLOOKUP($A113,[1]Hugst!$R$5:$W$9,MATCH(ROUNDUP((W$1)/10,0)*10,[1]Hugst!$R$4:$W$4,0))))</f>
        <v>947.69226320452242</v>
      </c>
      <c r="X113">
        <f ca="1">IF($C113-X$1&lt;År1,0,W112*(1-VLOOKUP($A113,[1]Hugst!$R$5:$W$9,MATCH(ROUNDUP((X$1)/10,0)*10,[1]Hugst!$R$4:$W$4,0))))</f>
        <v>947.65971875354603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25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260.49811286387649</v>
      </c>
      <c r="E114">
        <f t="shared" ca="1" si="2"/>
        <v>14.458967771122843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645.79041396833281</v>
      </c>
      <c r="G114">
        <f ca="1">IF($C114-G$1&lt;År1,0,F113*(1-VLOOKUP($A114,[1]Hugst!$R$5:$W$9,MATCH(ROUNDUP((G$1)/10,0)*10,[1]Hugst!$R$4:$W$4,0))))</f>
        <v>645.67302847986821</v>
      </c>
      <c r="H114">
        <f ca="1">IF($C114-H$1&lt;År1,0,G113*(1-VLOOKUP($A114,[1]Hugst!$R$5:$W$9,MATCH(ROUNDUP((H$1)/10,0)*10,[1]Hugst!$R$4:$W$4,0))))</f>
        <v>645.55793915458844</v>
      </c>
      <c r="I114">
        <f ca="1">IF($C114-I$1&lt;År1,0,H113*(1-VLOOKUP($A114,[1]Hugst!$R$5:$W$9,MATCH(ROUNDUP((I$1)/10,0)*10,[1]Hugst!$R$4:$W$4,0))))</f>
        <v>645.44516194016023</v>
      </c>
      <c r="J114">
        <f ca="1">IF($C114-J$1&lt;År1,0,I113*(1-VLOOKUP($A114,[1]Hugst!$R$5:$W$9,MATCH(ROUNDUP((J$1)/10,0)*10,[1]Hugst!$R$4:$W$4,0))))</f>
        <v>645.33471287113616</v>
      </c>
      <c r="K114">
        <f ca="1">IF($C114-K$1&lt;År1,0,J113*(1-VLOOKUP($A114,[1]Hugst!$R$5:$W$9,MATCH(ROUNDUP((K$1)/10,0)*10,[1]Hugst!$R$4:$W$4,0))))</f>
        <v>645.22660806937347</v>
      </c>
      <c r="L114">
        <f ca="1">IF($C114-L$1&lt;År1,0,K113*(1-VLOOKUP($A114,[1]Hugst!$R$5:$W$9,MATCH(ROUNDUP((L$1)/10,0)*10,[1]Hugst!$R$4:$W$4,0))))</f>
        <v>645.12086374451246</v>
      </c>
      <c r="M114">
        <f ca="1">IF($C114-M$1&lt;År1,0,L113*(1-VLOOKUP($A114,[1]Hugst!$R$5:$W$9,MATCH(ROUNDUP((M$1)/10,0)*10,[1]Hugst!$R$4:$W$4,0))))</f>
        <v>645.01749619441398</v>
      </c>
      <c r="N114">
        <f ca="1">IF($C114-N$1&lt;År1,0,M113*(1-VLOOKUP($A114,[1]Hugst!$R$5:$W$9,MATCH(ROUNDUP((N$1)/10,0)*10,[1]Hugst!$R$4:$W$4,0))))</f>
        <v>644.9165218056005</v>
      </c>
      <c r="O114">
        <f ca="1">IF($C114-O$1&lt;År1,0,N113*(1-VLOOKUP($A114,[1]Hugst!$R$5:$W$9,MATCH(ROUNDUP((O$1)/10,0)*10,[1]Hugst!$R$4:$W$4,0))))</f>
        <v>948.22704796286098</v>
      </c>
      <c r="P114">
        <f ca="1">IF($C114-P$1&lt;År1,0,O113*(1-VLOOKUP($A114,[1]Hugst!$R$5:$W$9,MATCH(ROUNDUP((P$1)/10,0)*10,[1]Hugst!$R$4:$W$4,0))))</f>
        <v>946.68460802599157</v>
      </c>
      <c r="Q114">
        <f ca="1">IF($C114-Q$1&lt;År1,0,P113*(1-VLOOKUP($A114,[1]Hugst!$R$5:$W$9,MATCH(ROUNDUP((Q$1)/10,0)*10,[1]Hugst!$R$4:$W$4,0))))</f>
        <v>946.61264115516803</v>
      </c>
      <c r="R114">
        <f ca="1">IF($C114-R$1&lt;År1,0,Q113*(1-VLOOKUP($A114,[1]Hugst!$R$5:$W$9,MATCH(ROUNDUP((R$1)/10,0)*10,[1]Hugst!$R$4:$W$4,0))))</f>
        <v>946.5455755863303</v>
      </c>
      <c r="S114">
        <f ca="1">IF($C114-S$1&lt;År1,0,R113*(1-VLOOKUP($A114,[1]Hugst!$R$5:$W$9,MATCH(ROUNDUP((S$1)/10,0)*10,[1]Hugst!$R$4:$W$4,0))))</f>
        <v>946.48342057511331</v>
      </c>
      <c r="T114">
        <f ca="1">IF($C114-T$1&lt;År1,0,S113*(1-VLOOKUP($A114,[1]Hugst!$R$5:$W$9,MATCH(ROUNDUP((T$1)/10,0)*10,[1]Hugst!$R$4:$W$4,0))))</f>
        <v>946.42618542138939</v>
      </c>
      <c r="U114">
        <f ca="1">IF($C114-U$1&lt;År1,0,T113*(1-VLOOKUP($A114,[1]Hugst!$R$5:$W$9,MATCH(ROUNDUP((U$1)/10,0)*10,[1]Hugst!$R$4:$W$4,0))))</f>
        <v>946.37387946956619</v>
      </c>
      <c r="V114">
        <f ca="1">IF($C114-V$1&lt;År1,0,U113*(1-VLOOKUP($A114,[1]Hugst!$R$5:$W$9,MATCH(ROUNDUP((V$1)/10,0)*10,[1]Hugst!$R$4:$W$4,0))))</f>
        <v>946.32651210856318</v>
      </c>
      <c r="W114">
        <f ca="1">IF($C114-W$1&lt;År1,0,V113*(1-VLOOKUP($A114,[1]Hugst!$R$5:$W$9,MATCH(ROUNDUP((W$1)/10,0)*10,[1]Hugst!$R$4:$W$4,0))))</f>
        <v>946.28409277207788</v>
      </c>
      <c r="X114">
        <f ca="1">IF($C114-X$1&lt;År1,0,W113*(1-VLOOKUP($A114,[1]Hugst!$R$5:$W$9,MATCH(ROUNDUP((X$1)/10,0)*10,[1]Hugst!$R$4:$W$4,0))))</f>
        <v>946.24663093861716</v>
      </c>
      <c r="Y114">
        <f ca="1">IF($C114-Y$1&lt;År1,0,X113*(1-VLOOKUP($A114,[1]Hugst!$R$5:$W$9,MATCH(ROUNDUP((Y$1)/10,0)*10,[1]Hugst!$R$4:$W$4,0))))</f>
        <v>946.21413613171853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25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259.19562229955955</v>
      </c>
      <c r="E115">
        <f t="shared" ca="1" si="2"/>
        <v>16.083828854487365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646.1127844873804</v>
      </c>
      <c r="G115">
        <f ca="1">IF($C115-G$1&lt;År1,0,F114*(1-VLOOKUP($A115,[1]Hugst!$R$5:$W$9,MATCH(ROUNDUP((G$1)/10,0)*10,[1]Hugst!$R$4:$W$4,0))))</f>
        <v>645.79041396833281</v>
      </c>
      <c r="H115">
        <f ca="1">IF($C115-H$1&lt;År1,0,G114*(1-VLOOKUP($A115,[1]Hugst!$R$5:$W$9,MATCH(ROUNDUP((H$1)/10,0)*10,[1]Hugst!$R$4:$W$4,0))))</f>
        <v>645.67302847986821</v>
      </c>
      <c r="I115">
        <f ca="1">IF($C115-I$1&lt;År1,0,H114*(1-VLOOKUP($A115,[1]Hugst!$R$5:$W$9,MATCH(ROUNDUP((I$1)/10,0)*10,[1]Hugst!$R$4:$W$4,0))))</f>
        <v>645.55793915458844</v>
      </c>
      <c r="J115">
        <f ca="1">IF($C115-J$1&lt;År1,0,I114*(1-VLOOKUP($A115,[1]Hugst!$R$5:$W$9,MATCH(ROUNDUP((J$1)/10,0)*10,[1]Hugst!$R$4:$W$4,0))))</f>
        <v>645.44516194016023</v>
      </c>
      <c r="K115">
        <f ca="1">IF($C115-K$1&lt;År1,0,J114*(1-VLOOKUP($A115,[1]Hugst!$R$5:$W$9,MATCH(ROUNDUP((K$1)/10,0)*10,[1]Hugst!$R$4:$W$4,0))))</f>
        <v>645.33471287113616</v>
      </c>
      <c r="L115">
        <f ca="1">IF($C115-L$1&lt;År1,0,K114*(1-VLOOKUP($A115,[1]Hugst!$R$5:$W$9,MATCH(ROUNDUP((L$1)/10,0)*10,[1]Hugst!$R$4:$W$4,0))))</f>
        <v>645.22660806937347</v>
      </c>
      <c r="M115">
        <f ca="1">IF($C115-M$1&lt;År1,0,L114*(1-VLOOKUP($A115,[1]Hugst!$R$5:$W$9,MATCH(ROUNDUP((M$1)/10,0)*10,[1]Hugst!$R$4:$W$4,0))))</f>
        <v>645.12086374451246</v>
      </c>
      <c r="N115">
        <f ca="1">IF($C115-N$1&lt;År1,0,M114*(1-VLOOKUP($A115,[1]Hugst!$R$5:$W$9,MATCH(ROUNDUP((N$1)/10,0)*10,[1]Hugst!$R$4:$W$4,0))))</f>
        <v>645.01749619441398</v>
      </c>
      <c r="O115">
        <f ca="1">IF($C115-O$1&lt;År1,0,N114*(1-VLOOKUP($A115,[1]Hugst!$R$5:$W$9,MATCH(ROUNDUP((O$1)/10,0)*10,[1]Hugst!$R$4:$W$4,0))))</f>
        <v>644.9165218056005</v>
      </c>
      <c r="P115">
        <f ca="1">IF($C115-P$1&lt;År1,0,O114*(1-VLOOKUP($A115,[1]Hugst!$R$5:$W$9,MATCH(ROUNDUP((P$1)/10,0)*10,[1]Hugst!$R$4:$W$4,0))))</f>
        <v>946.78059992359556</v>
      </c>
      <c r="Q115">
        <f ca="1">IF($C115-Q$1&lt;År1,0,P114*(1-VLOOKUP($A115,[1]Hugst!$R$5:$W$9,MATCH(ROUNDUP((Q$1)/10,0)*10,[1]Hugst!$R$4:$W$4,0))))</f>
        <v>945.24051286120607</v>
      </c>
      <c r="R115">
        <f ca="1">IF($C115-R$1&lt;År1,0,Q114*(1-VLOOKUP($A115,[1]Hugst!$R$5:$W$9,MATCH(ROUNDUP((R$1)/10,0)*10,[1]Hugst!$R$4:$W$4,0))))</f>
        <v>945.16865577035503</v>
      </c>
      <c r="S115">
        <f ca="1">IF($C115-S$1&lt;År1,0,R114*(1-VLOOKUP($A115,[1]Hugst!$R$5:$W$9,MATCH(ROUNDUP((S$1)/10,0)*10,[1]Hugst!$R$4:$W$4,0))))</f>
        <v>945.10169250492743</v>
      </c>
      <c r="T115">
        <f ca="1">IF($C115-T$1&lt;År1,0,S114*(1-VLOOKUP($A115,[1]Hugst!$R$5:$W$9,MATCH(ROUNDUP((T$1)/10,0)*10,[1]Hugst!$R$4:$W$4,0))))</f>
        <v>945.03963230643933</v>
      </c>
      <c r="U115">
        <f ca="1">IF($C115-U$1&lt;År1,0,T114*(1-VLOOKUP($A115,[1]Hugst!$R$5:$W$9,MATCH(ROUNDUP((U$1)/10,0)*10,[1]Hugst!$R$4:$W$4,0))))</f>
        <v>944.9824844605771</v>
      </c>
      <c r="V115">
        <f ca="1">IF($C115-V$1&lt;År1,0,U114*(1-VLOOKUP($A115,[1]Hugst!$R$5:$W$9,MATCH(ROUNDUP((V$1)/10,0)*10,[1]Hugst!$R$4:$W$4,0))))</f>
        <v>944.93025829749399</v>
      </c>
      <c r="W115">
        <f ca="1">IF($C115-W$1&lt;År1,0,V114*(1-VLOOKUP($A115,[1]Hugst!$R$5:$W$9,MATCH(ROUNDUP((W$1)/10,0)*10,[1]Hugst!$R$4:$W$4,0))))</f>
        <v>944.88296319178733</v>
      </c>
      <c r="X115">
        <f ca="1">IF($C115-X$1&lt;År1,0,W114*(1-VLOOKUP($A115,[1]Hugst!$R$5:$W$9,MATCH(ROUNDUP((X$1)/10,0)*10,[1]Hugst!$R$4:$W$4,0))))</f>
        <v>944.84060856276449</v>
      </c>
      <c r="Y115">
        <f ca="1">IF($C115-Y$1&lt;År1,0,X114*(1-VLOOKUP($A115,[1]Hugst!$R$5:$W$9,MATCH(ROUNDUP((Y$1)/10,0)*10,[1]Hugst!$R$4:$W$4,0))))</f>
        <v>944.80320387447352</v>
      </c>
      <c r="Z115">
        <f ca="1">IF($C115-Z$1&lt;År1,0,Y114*(1-VLOOKUP($A115,[1]Hugst!$R$5:$W$9,MATCH(ROUNDUP((Z$1)/10,0)*10,[1]Hugst!$R$4:$W$4,0))))</f>
        <v>944.57028953928625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25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257.89964418806539</v>
      </c>
      <c r="E116">
        <f t="shared" ca="1" si="2"/>
        <v>17.242887063501257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645.97586458490014</v>
      </c>
      <c r="G116">
        <f ca="1">IF($C116-G$1&lt;År1,0,F115*(1-VLOOKUP($A116,[1]Hugst!$R$5:$W$9,MATCH(ROUNDUP((G$1)/10,0)*10,[1]Hugst!$R$4:$W$4,0))))</f>
        <v>646.1127844873804</v>
      </c>
      <c r="H116">
        <f ca="1">IF($C116-H$1&lt;År1,0,G115*(1-VLOOKUP($A116,[1]Hugst!$R$5:$W$9,MATCH(ROUNDUP((H$1)/10,0)*10,[1]Hugst!$R$4:$W$4,0))))</f>
        <v>645.79041396833281</v>
      </c>
      <c r="I116">
        <f ca="1">IF($C116-I$1&lt;År1,0,H115*(1-VLOOKUP($A116,[1]Hugst!$R$5:$W$9,MATCH(ROUNDUP((I$1)/10,0)*10,[1]Hugst!$R$4:$W$4,0))))</f>
        <v>645.67302847986821</v>
      </c>
      <c r="J116">
        <f ca="1">IF($C116-J$1&lt;År1,0,I115*(1-VLOOKUP($A116,[1]Hugst!$R$5:$W$9,MATCH(ROUNDUP((J$1)/10,0)*10,[1]Hugst!$R$4:$W$4,0))))</f>
        <v>645.55793915458844</v>
      </c>
      <c r="K116">
        <f ca="1">IF($C116-K$1&lt;År1,0,J115*(1-VLOOKUP($A116,[1]Hugst!$R$5:$W$9,MATCH(ROUNDUP((K$1)/10,0)*10,[1]Hugst!$R$4:$W$4,0))))</f>
        <v>645.44516194016023</v>
      </c>
      <c r="L116">
        <f ca="1">IF($C116-L$1&lt;År1,0,K115*(1-VLOOKUP($A116,[1]Hugst!$R$5:$W$9,MATCH(ROUNDUP((L$1)/10,0)*10,[1]Hugst!$R$4:$W$4,0))))</f>
        <v>645.33471287113616</v>
      </c>
      <c r="M116">
        <f ca="1">IF($C116-M$1&lt;År1,0,L115*(1-VLOOKUP($A116,[1]Hugst!$R$5:$W$9,MATCH(ROUNDUP((M$1)/10,0)*10,[1]Hugst!$R$4:$W$4,0))))</f>
        <v>645.22660806937347</v>
      </c>
      <c r="N116">
        <f ca="1">IF($C116-N$1&lt;År1,0,M115*(1-VLOOKUP($A116,[1]Hugst!$R$5:$W$9,MATCH(ROUNDUP((N$1)/10,0)*10,[1]Hugst!$R$4:$W$4,0))))</f>
        <v>645.12086374451246</v>
      </c>
      <c r="O116">
        <f ca="1">IF($C116-O$1&lt;År1,0,N115*(1-VLOOKUP($A116,[1]Hugst!$R$5:$W$9,MATCH(ROUNDUP((O$1)/10,0)*10,[1]Hugst!$R$4:$W$4,0))))</f>
        <v>645.01749619441398</v>
      </c>
      <c r="P116">
        <f ca="1">IF($C116-P$1&lt;År1,0,O115*(1-VLOOKUP($A116,[1]Hugst!$R$5:$W$9,MATCH(ROUNDUP((P$1)/10,0)*10,[1]Hugst!$R$4:$W$4,0))))</f>
        <v>643.9327508401343</v>
      </c>
      <c r="Q116">
        <f ca="1">IF($C116-Q$1&lt;År1,0,P115*(1-VLOOKUP($A116,[1]Hugst!$R$5:$W$9,MATCH(ROUNDUP((Q$1)/10,0)*10,[1]Hugst!$R$4:$W$4,0))))</f>
        <v>945.33635833049175</v>
      </c>
      <c r="R116">
        <f ca="1">IF($C116-R$1&lt;År1,0,Q115*(1-VLOOKUP($A116,[1]Hugst!$R$5:$W$9,MATCH(ROUNDUP((R$1)/10,0)*10,[1]Hugst!$R$4:$W$4,0))))</f>
        <v>943.79862055345166</v>
      </c>
      <c r="S116">
        <f ca="1">IF($C116-S$1&lt;År1,0,R115*(1-VLOOKUP($A116,[1]Hugst!$R$5:$W$9,MATCH(ROUNDUP((S$1)/10,0)*10,[1]Hugst!$R$4:$W$4,0))))</f>
        <v>943.72687307511205</v>
      </c>
      <c r="T116">
        <f ca="1">IF($C116-T$1&lt;År1,0,S115*(1-VLOOKUP($A116,[1]Hugst!$R$5:$W$9,MATCH(ROUNDUP((T$1)/10,0)*10,[1]Hugst!$R$4:$W$4,0))))</f>
        <v>943.66001195703848</v>
      </c>
      <c r="U116">
        <f ca="1">IF($C116-U$1&lt;År1,0,T115*(1-VLOOKUP($A116,[1]Hugst!$R$5:$W$9,MATCH(ROUNDUP((U$1)/10,0)*10,[1]Hugst!$R$4:$W$4,0))))</f>
        <v>943.59804642664983</v>
      </c>
      <c r="V116">
        <f ca="1">IF($C116-V$1&lt;År1,0,U115*(1-VLOOKUP($A116,[1]Hugst!$R$5:$W$9,MATCH(ROUNDUP((V$1)/10,0)*10,[1]Hugst!$R$4:$W$4,0))))</f>
        <v>943.54098575546766</v>
      </c>
      <c r="W116">
        <f ca="1">IF($C116-W$1&lt;År1,0,V115*(1-VLOOKUP($A116,[1]Hugst!$R$5:$W$9,MATCH(ROUNDUP((W$1)/10,0)*10,[1]Hugst!$R$4:$W$4,0))))</f>
        <v>943.488839259413</v>
      </c>
      <c r="X116">
        <f ca="1">IF($C116-X$1&lt;År1,0,W115*(1-VLOOKUP($A116,[1]Hugst!$R$5:$W$9,MATCH(ROUNDUP((X$1)/10,0)*10,[1]Hugst!$R$4:$W$4,0))))</f>
        <v>943.44161629878283</v>
      </c>
      <c r="Y116">
        <f ca="1">IF($C116-Y$1&lt;År1,0,X115*(1-VLOOKUP($A116,[1]Hugst!$R$5:$W$9,MATCH(ROUNDUP((Y$1)/10,0)*10,[1]Hugst!$R$4:$W$4,0))))</f>
        <v>943.39932627851613</v>
      </c>
      <c r="Z116">
        <f ca="1">IF($C116-Z$1&lt;År1,0,Y115*(1-VLOOKUP($A116,[1]Hugst!$R$5:$W$9,MATCH(ROUNDUP((Z$1)/10,0)*10,[1]Hugst!$R$4:$W$4,0))))</f>
        <v>943.1618084779119</v>
      </c>
      <c r="AA116">
        <f ca="1">IF($C116-AA$1&lt;År1,0,Z115*(1-VLOOKUP($A116,[1]Hugst!$R$5:$W$9,MATCH(ROUNDUP((AA$1)/10,0)*10,[1]Hugst!$R$4:$W$4,0))))</f>
        <v>942.92929878203574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25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256.61014596712266</v>
      </c>
      <c r="E117">
        <f t="shared" ca="1" si="2"/>
        <v>18.399686666441994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645.84316596689814</v>
      </c>
      <c r="G117">
        <f ca="1">IF($C117-G$1&lt;År1,0,F116*(1-VLOOKUP($A117,[1]Hugst!$R$5:$W$9,MATCH(ROUNDUP((G$1)/10,0)*10,[1]Hugst!$R$4:$W$4,0))))</f>
        <v>645.97586458490014</v>
      </c>
      <c r="H117">
        <f ca="1">IF($C117-H$1&lt;År1,0,G116*(1-VLOOKUP($A117,[1]Hugst!$R$5:$W$9,MATCH(ROUNDUP((H$1)/10,0)*10,[1]Hugst!$R$4:$W$4,0))))</f>
        <v>646.1127844873804</v>
      </c>
      <c r="I117">
        <f ca="1">IF($C117-I$1&lt;År1,0,H116*(1-VLOOKUP($A117,[1]Hugst!$R$5:$W$9,MATCH(ROUNDUP((I$1)/10,0)*10,[1]Hugst!$R$4:$W$4,0))))</f>
        <v>645.79041396833281</v>
      </c>
      <c r="J117">
        <f ca="1">IF($C117-J$1&lt;År1,0,I116*(1-VLOOKUP($A117,[1]Hugst!$R$5:$W$9,MATCH(ROUNDUP((J$1)/10,0)*10,[1]Hugst!$R$4:$W$4,0))))</f>
        <v>645.67302847986821</v>
      </c>
      <c r="K117">
        <f ca="1">IF($C117-K$1&lt;År1,0,J116*(1-VLOOKUP($A117,[1]Hugst!$R$5:$W$9,MATCH(ROUNDUP((K$1)/10,0)*10,[1]Hugst!$R$4:$W$4,0))))</f>
        <v>645.55793915458844</v>
      </c>
      <c r="L117">
        <f ca="1">IF($C117-L$1&lt;År1,0,K116*(1-VLOOKUP($A117,[1]Hugst!$R$5:$W$9,MATCH(ROUNDUP((L$1)/10,0)*10,[1]Hugst!$R$4:$W$4,0))))</f>
        <v>645.44516194016023</v>
      </c>
      <c r="M117">
        <f ca="1">IF($C117-M$1&lt;År1,0,L116*(1-VLOOKUP($A117,[1]Hugst!$R$5:$W$9,MATCH(ROUNDUP((M$1)/10,0)*10,[1]Hugst!$R$4:$W$4,0))))</f>
        <v>645.33471287113616</v>
      </c>
      <c r="N117">
        <f ca="1">IF($C117-N$1&lt;År1,0,M116*(1-VLOOKUP($A117,[1]Hugst!$R$5:$W$9,MATCH(ROUNDUP((N$1)/10,0)*10,[1]Hugst!$R$4:$W$4,0))))</f>
        <v>645.22660806937347</v>
      </c>
      <c r="O117">
        <f ca="1">IF($C117-O$1&lt;År1,0,N116*(1-VLOOKUP($A117,[1]Hugst!$R$5:$W$9,MATCH(ROUNDUP((O$1)/10,0)*10,[1]Hugst!$R$4:$W$4,0))))</f>
        <v>645.12086374451246</v>
      </c>
      <c r="P117">
        <f ca="1">IF($C117-P$1&lt;År1,0,O116*(1-VLOOKUP($A117,[1]Hugst!$R$5:$W$9,MATCH(ROUNDUP((P$1)/10,0)*10,[1]Hugst!$R$4:$W$4,0))))</f>
        <v>644.03357120021906</v>
      </c>
      <c r="Q117">
        <f ca="1">IF($C117-Q$1&lt;År1,0,P116*(1-VLOOKUP($A117,[1]Hugst!$R$5:$W$9,MATCH(ROUNDUP((Q$1)/10,0)*10,[1]Hugst!$R$4:$W$4,0))))</f>
        <v>642.95048054224253</v>
      </c>
      <c r="R117">
        <f ca="1">IF($C117-R$1&lt;År1,0,Q116*(1-VLOOKUP($A117,[1]Hugst!$R$5:$W$9,MATCH(ROUNDUP((R$1)/10,0)*10,[1]Hugst!$R$4:$W$4,0))))</f>
        <v>943.89431981778421</v>
      </c>
      <c r="S117">
        <f ca="1">IF($C117-S$1&lt;År1,0,R116*(1-VLOOKUP($A117,[1]Hugst!$R$5:$W$9,MATCH(ROUNDUP((S$1)/10,0)*10,[1]Hugst!$R$4:$W$4,0))))</f>
        <v>942.35892774243791</v>
      </c>
      <c r="T117">
        <f ca="1">IF($C117-T$1&lt;År1,0,S116*(1-VLOOKUP($A117,[1]Hugst!$R$5:$W$9,MATCH(ROUNDUP((T$1)/10,0)*10,[1]Hugst!$R$4:$W$4,0))))</f>
        <v>942.28728970940426</v>
      </c>
      <c r="U117">
        <f ca="1">IF($C117-U$1&lt;År1,0,T116*(1-VLOOKUP($A117,[1]Hugst!$R$5:$W$9,MATCH(ROUNDUP((U$1)/10,0)*10,[1]Hugst!$R$4:$W$4,0))))</f>
        <v>942.22053058286667</v>
      </c>
      <c r="V117">
        <f ca="1">IF($C117-V$1&lt;År1,0,U116*(1-VLOOKUP($A117,[1]Hugst!$R$5:$W$9,MATCH(ROUNDUP((V$1)/10,0)*10,[1]Hugst!$R$4:$W$4,0))))</f>
        <v>942.15865957616847</v>
      </c>
      <c r="W117">
        <f ca="1">IF($C117-W$1&lt;År1,0,V116*(1-VLOOKUP($A117,[1]Hugst!$R$5:$W$9,MATCH(ROUNDUP((W$1)/10,0)*10,[1]Hugst!$R$4:$W$4,0))))</f>
        <v>942.10168594668812</v>
      </c>
      <c r="X117">
        <f ca="1">IF($C117-X$1&lt;År1,0,W116*(1-VLOOKUP($A117,[1]Hugst!$R$5:$W$9,MATCH(ROUNDUP((X$1)/10,0)*10,[1]Hugst!$R$4:$W$4,0))))</f>
        <v>942.04961899613591</v>
      </c>
      <c r="Y117">
        <f ca="1">IF($C117-Y$1&lt;År1,0,X116*(1-VLOOKUP($A117,[1]Hugst!$R$5:$W$9,MATCH(ROUNDUP((Y$1)/10,0)*10,[1]Hugst!$R$4:$W$4,0))))</f>
        <v>942.00246807053043</v>
      </c>
      <c r="Z117">
        <f ca="1">IF($C117-Z$1&lt;År1,0,Y116*(1-VLOOKUP($A117,[1]Hugst!$R$5:$W$9,MATCH(ROUNDUP((Z$1)/10,0)*10,[1]Hugst!$R$4:$W$4,0))))</f>
        <v>941.76036982184576</v>
      </c>
      <c r="AA117">
        <f ca="1">IF($C117-AA$1&lt;År1,0,Z116*(1-VLOOKUP($A117,[1]Hugst!$R$5:$W$9,MATCH(ROUNDUP((AA$1)/10,0)*10,[1]Hugst!$R$4:$W$4,0))))</f>
        <v>941.52326465809858</v>
      </c>
      <c r="AB117">
        <f ca="1">IF($C117-AB$1&lt;År1,0,AA116*(1-VLOOKUP($A117,[1]Hugst!$R$5:$W$9,MATCH(ROUNDUP((AB$1)/10,0)*10,[1]Hugst!$R$4:$W$4,0))))</f>
        <v>941.29115889855848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25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255.32709523728954</v>
      </c>
      <c r="E118">
        <f t="shared" ca="1" si="2"/>
        <v>19.554237366199231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645.71466593682226</v>
      </c>
      <c r="G118">
        <f ca="1">IF($C118-G$1&lt;År1,0,F117*(1-VLOOKUP($A118,[1]Hugst!$R$5:$W$9,MATCH(ROUNDUP((G$1)/10,0)*10,[1]Hugst!$R$4:$W$4,0))))</f>
        <v>645.84316596689814</v>
      </c>
      <c r="H118">
        <f ca="1">IF($C118-H$1&lt;År1,0,G117*(1-VLOOKUP($A118,[1]Hugst!$R$5:$W$9,MATCH(ROUNDUP((H$1)/10,0)*10,[1]Hugst!$R$4:$W$4,0))))</f>
        <v>645.97586458490014</v>
      </c>
      <c r="I118">
        <f ca="1">IF($C118-I$1&lt;År1,0,H117*(1-VLOOKUP($A118,[1]Hugst!$R$5:$W$9,MATCH(ROUNDUP((I$1)/10,0)*10,[1]Hugst!$R$4:$W$4,0))))</f>
        <v>646.1127844873804</v>
      </c>
      <c r="J118">
        <f ca="1">IF($C118-J$1&lt;År1,0,I117*(1-VLOOKUP($A118,[1]Hugst!$R$5:$W$9,MATCH(ROUNDUP((J$1)/10,0)*10,[1]Hugst!$R$4:$W$4,0))))</f>
        <v>645.79041396833281</v>
      </c>
      <c r="K118">
        <f ca="1">IF($C118-K$1&lt;År1,0,J117*(1-VLOOKUP($A118,[1]Hugst!$R$5:$W$9,MATCH(ROUNDUP((K$1)/10,0)*10,[1]Hugst!$R$4:$W$4,0))))</f>
        <v>645.67302847986821</v>
      </c>
      <c r="L118">
        <f ca="1">IF($C118-L$1&lt;År1,0,K117*(1-VLOOKUP($A118,[1]Hugst!$R$5:$W$9,MATCH(ROUNDUP((L$1)/10,0)*10,[1]Hugst!$R$4:$W$4,0))))</f>
        <v>645.55793915458844</v>
      </c>
      <c r="M118">
        <f ca="1">IF($C118-M$1&lt;År1,0,L117*(1-VLOOKUP($A118,[1]Hugst!$R$5:$W$9,MATCH(ROUNDUP((M$1)/10,0)*10,[1]Hugst!$R$4:$W$4,0))))</f>
        <v>645.44516194016023</v>
      </c>
      <c r="N118">
        <f ca="1">IF($C118-N$1&lt;År1,0,M117*(1-VLOOKUP($A118,[1]Hugst!$R$5:$W$9,MATCH(ROUNDUP((N$1)/10,0)*10,[1]Hugst!$R$4:$W$4,0))))</f>
        <v>645.33471287113616</v>
      </c>
      <c r="O118">
        <f ca="1">IF($C118-O$1&lt;År1,0,N117*(1-VLOOKUP($A118,[1]Hugst!$R$5:$W$9,MATCH(ROUNDUP((O$1)/10,0)*10,[1]Hugst!$R$4:$W$4,0))))</f>
        <v>645.22660806937347</v>
      </c>
      <c r="P118">
        <f ca="1">IF($C118-P$1&lt;År1,0,O117*(1-VLOOKUP($A118,[1]Hugst!$R$5:$W$9,MATCH(ROUNDUP((P$1)/10,0)*10,[1]Hugst!$R$4:$W$4,0))))</f>
        <v>644.13678107100384</v>
      </c>
      <c r="Q118">
        <f ca="1">IF($C118-Q$1&lt;År1,0,P117*(1-VLOOKUP($A118,[1]Hugst!$R$5:$W$9,MATCH(ROUNDUP((Q$1)/10,0)*10,[1]Hugst!$R$4:$W$4,0))))</f>
        <v>643.05114710855764</v>
      </c>
      <c r="R118">
        <f ca="1">IF($C118-R$1&lt;År1,0,Q117*(1-VLOOKUP($A118,[1]Hugst!$R$5:$W$9,MATCH(ROUNDUP((R$1)/10,0)*10,[1]Hugst!$R$4:$W$4,0))))</f>
        <v>641.96970862277135</v>
      </c>
      <c r="S118">
        <f ca="1">IF($C118-S$1&lt;År1,0,R117*(1-VLOOKUP($A118,[1]Hugst!$R$5:$W$9,MATCH(ROUNDUP((S$1)/10,0)*10,[1]Hugst!$R$4:$W$4,0))))</f>
        <v>942.45448102484181</v>
      </c>
      <c r="T118">
        <f ca="1">IF($C118-T$1&lt;År1,0,S117*(1-VLOOKUP($A118,[1]Hugst!$R$5:$W$9,MATCH(ROUNDUP((T$1)/10,0)*10,[1]Hugst!$R$4:$W$4,0))))</f>
        <v>940.92143107300024</v>
      </c>
      <c r="U118">
        <f ca="1">IF($C118-U$1&lt;År1,0,T117*(1-VLOOKUP($A118,[1]Hugst!$R$5:$W$9,MATCH(ROUNDUP((U$1)/10,0)*10,[1]Hugst!$R$4:$W$4,0))))</f>
        <v>940.84990231832205</v>
      </c>
      <c r="V118">
        <f ca="1">IF($C118-V$1&lt;År1,0,U117*(1-VLOOKUP($A118,[1]Hugst!$R$5:$W$9,MATCH(ROUNDUP((V$1)/10,0)*10,[1]Hugst!$R$4:$W$4,0))))</f>
        <v>940.78324502774024</v>
      </c>
      <c r="W118">
        <f ca="1">IF($C118-W$1&lt;År1,0,V117*(1-VLOOKUP($A118,[1]Hugst!$R$5:$W$9,MATCH(ROUNDUP((W$1)/10,0)*10,[1]Hugst!$R$4:$W$4,0))))</f>
        <v>940.72146840054381</v>
      </c>
      <c r="X118">
        <f ca="1">IF($C118-X$1&lt;År1,0,W117*(1-VLOOKUP($A118,[1]Hugst!$R$5:$W$9,MATCH(ROUNDUP((X$1)/10,0)*10,[1]Hugst!$R$4:$W$4,0))))</f>
        <v>940.66458167998974</v>
      </c>
      <c r="Y118">
        <f ca="1">IF($C118-Y$1&lt;År1,0,X117*(1-VLOOKUP($A118,[1]Hugst!$R$5:$W$9,MATCH(ROUNDUP((Y$1)/10,0)*10,[1]Hugst!$R$4:$W$4,0))))</f>
        <v>940.61259415359939</v>
      </c>
      <c r="Z118">
        <f ca="1">IF($C118-Z$1&lt;År1,0,Y117*(1-VLOOKUP($A118,[1]Hugst!$R$5:$W$9,MATCH(ROUNDUP((Z$1)/10,0)*10,[1]Hugst!$R$4:$W$4,0))))</f>
        <v>940.36593835905194</v>
      </c>
      <c r="AA118">
        <f ca="1">IF($C118-AA$1&lt;År1,0,Z117*(1-VLOOKUP($A118,[1]Hugst!$R$5:$W$9,MATCH(ROUNDUP((AA$1)/10,0)*10,[1]Hugst!$R$4:$W$4,0))))</f>
        <v>940.12426070478239</v>
      </c>
      <c r="AB118">
        <f ca="1">IF($C118-AB$1&lt;År1,0,AA117*(1-VLOOKUP($A118,[1]Hugst!$R$5:$W$9,MATCH(ROUNDUP((AB$1)/10,0)*10,[1]Hugst!$R$4:$W$4,0))))</f>
        <v>939.88756746102308</v>
      </c>
      <c r="AC118">
        <f ca="1">IF($C118-AC$1&lt;År1,0,AB117*(1-VLOOKUP($A118,[1]Hugst!$R$5:$W$9,MATCH(ROUNDUP((AC$1)/10,0)*10,[1]Hugst!$R$4:$W$4,0))))</f>
        <v>939.6558649360652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25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254.05045976109704</v>
      </c>
      <c r="E119">
        <f t="shared" ca="1" si="2"/>
        <v>20.706548813916015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645.59034190834655</v>
      </c>
      <c r="G119">
        <f ca="1">IF($C119-G$1&lt;År1,0,F118*(1-VLOOKUP($A119,[1]Hugst!$R$5:$W$9,MATCH(ROUNDUP((G$1)/10,0)*10,[1]Hugst!$R$4:$W$4,0))))</f>
        <v>645.71466593682226</v>
      </c>
      <c r="H119">
        <f ca="1">IF($C119-H$1&lt;År1,0,G118*(1-VLOOKUP($A119,[1]Hugst!$R$5:$W$9,MATCH(ROUNDUP((H$1)/10,0)*10,[1]Hugst!$R$4:$W$4,0))))</f>
        <v>645.84316596689814</v>
      </c>
      <c r="I119">
        <f ca="1">IF($C119-I$1&lt;År1,0,H118*(1-VLOOKUP($A119,[1]Hugst!$R$5:$W$9,MATCH(ROUNDUP((I$1)/10,0)*10,[1]Hugst!$R$4:$W$4,0))))</f>
        <v>645.97586458490014</v>
      </c>
      <c r="J119">
        <f ca="1">IF($C119-J$1&lt;År1,0,I118*(1-VLOOKUP($A119,[1]Hugst!$R$5:$W$9,MATCH(ROUNDUP((J$1)/10,0)*10,[1]Hugst!$R$4:$W$4,0))))</f>
        <v>646.1127844873804</v>
      </c>
      <c r="K119">
        <f ca="1">IF($C119-K$1&lt;År1,0,J118*(1-VLOOKUP($A119,[1]Hugst!$R$5:$W$9,MATCH(ROUNDUP((K$1)/10,0)*10,[1]Hugst!$R$4:$W$4,0))))</f>
        <v>645.79041396833281</v>
      </c>
      <c r="L119">
        <f ca="1">IF($C119-L$1&lt;År1,0,K118*(1-VLOOKUP($A119,[1]Hugst!$R$5:$W$9,MATCH(ROUNDUP((L$1)/10,0)*10,[1]Hugst!$R$4:$W$4,0))))</f>
        <v>645.67302847986821</v>
      </c>
      <c r="M119">
        <f ca="1">IF($C119-M$1&lt;År1,0,L118*(1-VLOOKUP($A119,[1]Hugst!$R$5:$W$9,MATCH(ROUNDUP((M$1)/10,0)*10,[1]Hugst!$R$4:$W$4,0))))</f>
        <v>645.55793915458844</v>
      </c>
      <c r="N119">
        <f ca="1">IF($C119-N$1&lt;År1,0,M118*(1-VLOOKUP($A119,[1]Hugst!$R$5:$W$9,MATCH(ROUNDUP((N$1)/10,0)*10,[1]Hugst!$R$4:$W$4,0))))</f>
        <v>645.44516194016023</v>
      </c>
      <c r="O119">
        <f ca="1">IF($C119-O$1&lt;År1,0,N118*(1-VLOOKUP($A119,[1]Hugst!$R$5:$W$9,MATCH(ROUNDUP((O$1)/10,0)*10,[1]Hugst!$R$4:$W$4,0))))</f>
        <v>645.33471287113616</v>
      </c>
      <c r="P119">
        <f ca="1">IF($C119-P$1&lt;År1,0,O118*(1-VLOOKUP($A119,[1]Hugst!$R$5:$W$9,MATCH(ROUNDUP((P$1)/10,0)*10,[1]Hugst!$R$4:$W$4,0))))</f>
        <v>644.2423640909625</v>
      </c>
      <c r="Q119">
        <f ca="1">IF($C119-Q$1&lt;År1,0,P118*(1-VLOOKUP($A119,[1]Hugst!$R$5:$W$9,MATCH(ROUNDUP((Q$1)/10,0)*10,[1]Hugst!$R$4:$W$4,0))))</f>
        <v>643.15419954055653</v>
      </c>
      <c r="R119">
        <f ca="1">IF($C119-R$1&lt;År1,0,Q118*(1-VLOOKUP($A119,[1]Hugst!$R$5:$W$9,MATCH(ROUNDUP((R$1)/10,0)*10,[1]Hugst!$R$4:$W$4,0))))</f>
        <v>642.07022162991746</v>
      </c>
      <c r="S119">
        <f ca="1">IF($C119-S$1&lt;År1,0,R118*(1-VLOOKUP($A119,[1]Hugst!$R$5:$W$9,MATCH(ROUNDUP((S$1)/10,0)*10,[1]Hugst!$R$4:$W$4,0))))</f>
        <v>640.9904327960586</v>
      </c>
      <c r="T119">
        <f ca="1">IF($C119-T$1&lt;År1,0,S118*(1-VLOOKUP($A119,[1]Hugst!$R$5:$W$9,MATCH(ROUNDUP((T$1)/10,0)*10,[1]Hugst!$R$4:$W$4,0))))</f>
        <v>941.0168385961598</v>
      </c>
      <c r="U119">
        <f ca="1">IF($C119-U$1&lt;År1,0,T118*(1-VLOOKUP($A119,[1]Hugst!$R$5:$W$9,MATCH(ROUNDUP((U$1)/10,0)*10,[1]Hugst!$R$4:$W$4,0))))</f>
        <v>939.48612719509219</v>
      </c>
      <c r="V119">
        <f ca="1">IF($C119-V$1&lt;År1,0,U118*(1-VLOOKUP($A119,[1]Hugst!$R$5:$W$9,MATCH(ROUNDUP((V$1)/10,0)*10,[1]Hugst!$R$4:$W$4,0))))</f>
        <v>939.41470755207376</v>
      </c>
      <c r="W119">
        <f ca="1">IF($C119-W$1&lt;År1,0,V118*(1-VLOOKUP($A119,[1]Hugst!$R$5:$W$9,MATCH(ROUNDUP((W$1)/10,0)*10,[1]Hugst!$R$4:$W$4,0))))</f>
        <v>939.34815194210466</v>
      </c>
      <c r="X119">
        <f ca="1">IF($C119-X$1&lt;År1,0,W118*(1-VLOOKUP($A119,[1]Hugst!$R$5:$W$9,MATCH(ROUNDUP((X$1)/10,0)*10,[1]Hugst!$R$4:$W$4,0))))</f>
        <v>939.28646955044121</v>
      </c>
      <c r="Y119">
        <f ca="1">IF($C119-Y$1&lt;År1,0,X118*(1-VLOOKUP($A119,[1]Hugst!$R$5:$W$9,MATCH(ROUNDUP((Y$1)/10,0)*10,[1]Hugst!$R$4:$W$4,0))))</f>
        <v>939.22966960624058</v>
      </c>
      <c r="Z119">
        <f ca="1">IF($C119-Z$1&lt;År1,0,Y118*(1-VLOOKUP($A119,[1]Hugst!$R$5:$W$9,MATCH(ROUNDUP((Z$1)/10,0)*10,[1]Hugst!$R$4:$W$4,0))))</f>
        <v>938.97847905358674</v>
      </c>
      <c r="AA119">
        <f ca="1">IF($C119-AA$1&lt;År1,0,Z118*(1-VLOOKUP($A119,[1]Hugst!$R$5:$W$9,MATCH(ROUNDUP((AA$1)/10,0)*10,[1]Hugst!$R$4:$W$4,0))))</f>
        <v>938.7322517712247</v>
      </c>
      <c r="AB119">
        <f ca="1">IF($C119-AB$1&lt;År1,0,AA118*(1-VLOOKUP($A119,[1]Hugst!$R$5:$W$9,MATCH(ROUNDUP((AB$1)/10,0)*10,[1]Hugst!$R$4:$W$4,0))))</f>
        <v>938.49099398067654</v>
      </c>
      <c r="AC119">
        <f ca="1">IF($C119-AC$1&lt;År1,0,AB118*(1-VLOOKUP($A119,[1]Hugst!$R$5:$W$9,MATCH(ROUNDUP((AC$1)/10,0)*10,[1]Hugst!$R$4:$W$4,0))))</f>
        <v>938.25471194128147</v>
      </c>
      <c r="AD119">
        <f ca="1">IF($C119-AD$1&lt;År1,0,AC118*(1-VLOOKUP($A119,[1]Hugst!$R$5:$W$9,MATCH(ROUNDUP((AD$1)/10,0)*10,[1]Hugst!$R$4:$W$4,0))))</f>
        <v>938.02341195037116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25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252.78020746229504</v>
      </c>
      <c r="E120">
        <f t="shared" ca="1" si="2"/>
        <v>21.856630609232525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645.47017140486105</v>
      </c>
      <c r="G120">
        <f ca="1">IF($C120-G$1&lt;År1,0,F119*(1-VLOOKUP($A120,[1]Hugst!$R$5:$W$9,MATCH(ROUNDUP((G$1)/10,0)*10,[1]Hugst!$R$4:$W$4,0))))</f>
        <v>645.59034190834655</v>
      </c>
      <c r="H120">
        <f ca="1">IF($C120-H$1&lt;År1,0,G119*(1-VLOOKUP($A120,[1]Hugst!$R$5:$W$9,MATCH(ROUNDUP((H$1)/10,0)*10,[1]Hugst!$R$4:$W$4,0))))</f>
        <v>645.71466593682226</v>
      </c>
      <c r="I120">
        <f ca="1">IF($C120-I$1&lt;År1,0,H119*(1-VLOOKUP($A120,[1]Hugst!$R$5:$W$9,MATCH(ROUNDUP((I$1)/10,0)*10,[1]Hugst!$R$4:$W$4,0))))</f>
        <v>645.84316596689814</v>
      </c>
      <c r="J120">
        <f ca="1">IF($C120-J$1&lt;År1,0,I119*(1-VLOOKUP($A120,[1]Hugst!$R$5:$W$9,MATCH(ROUNDUP((J$1)/10,0)*10,[1]Hugst!$R$4:$W$4,0))))</f>
        <v>645.97586458490014</v>
      </c>
      <c r="K120">
        <f ca="1">IF($C120-K$1&lt;År1,0,J119*(1-VLOOKUP($A120,[1]Hugst!$R$5:$W$9,MATCH(ROUNDUP((K$1)/10,0)*10,[1]Hugst!$R$4:$W$4,0))))</f>
        <v>646.1127844873804</v>
      </c>
      <c r="L120">
        <f ca="1">IF($C120-L$1&lt;År1,0,K119*(1-VLOOKUP($A120,[1]Hugst!$R$5:$W$9,MATCH(ROUNDUP((L$1)/10,0)*10,[1]Hugst!$R$4:$W$4,0))))</f>
        <v>645.79041396833281</v>
      </c>
      <c r="M120">
        <f ca="1">IF($C120-M$1&lt;År1,0,L119*(1-VLOOKUP($A120,[1]Hugst!$R$5:$W$9,MATCH(ROUNDUP((M$1)/10,0)*10,[1]Hugst!$R$4:$W$4,0))))</f>
        <v>645.67302847986821</v>
      </c>
      <c r="N120">
        <f ca="1">IF($C120-N$1&lt;År1,0,M119*(1-VLOOKUP($A120,[1]Hugst!$R$5:$W$9,MATCH(ROUNDUP((N$1)/10,0)*10,[1]Hugst!$R$4:$W$4,0))))</f>
        <v>645.55793915458844</v>
      </c>
      <c r="O120">
        <f ca="1">IF($C120-O$1&lt;År1,0,N119*(1-VLOOKUP($A120,[1]Hugst!$R$5:$W$9,MATCH(ROUNDUP((O$1)/10,0)*10,[1]Hugst!$R$4:$W$4,0))))</f>
        <v>645.44516194016023</v>
      </c>
      <c r="P120">
        <f ca="1">IF($C120-P$1&lt;År1,0,O119*(1-VLOOKUP($A120,[1]Hugst!$R$5:$W$9,MATCH(ROUNDUP((P$1)/10,0)*10,[1]Hugst!$R$4:$W$4,0))))</f>
        <v>644.35030398709546</v>
      </c>
      <c r="Q120">
        <f ca="1">IF($C120-Q$1&lt;År1,0,P119*(1-VLOOKUP($A120,[1]Hugst!$R$5:$W$9,MATCH(ROUNDUP((Q$1)/10,0)*10,[1]Hugst!$R$4:$W$4,0))))</f>
        <v>643.25962150167118</v>
      </c>
      <c r="R120">
        <f ca="1">IF($C120-R$1&lt;År1,0,Q119*(1-VLOOKUP($A120,[1]Hugst!$R$5:$W$9,MATCH(ROUNDUP((R$1)/10,0)*10,[1]Hugst!$R$4:$W$4,0))))</f>
        <v>642.17311686329128</v>
      </c>
      <c r="S120">
        <f ca="1">IF($C120-S$1&lt;År1,0,R119*(1-VLOOKUP($A120,[1]Hugst!$R$5:$W$9,MATCH(ROUNDUP((S$1)/10,0)*10,[1]Hugst!$R$4:$W$4,0))))</f>
        <v>641.09079247827856</v>
      </c>
      <c r="T120">
        <f ca="1">IF($C120-T$1&lt;År1,0,S119*(1-VLOOKUP($A120,[1]Hugst!$R$5:$W$9,MATCH(ROUNDUP((T$1)/10,0)*10,[1]Hugst!$R$4:$W$4,0))))</f>
        <v>640.012650779929</v>
      </c>
      <c r="U120">
        <f ca="1">IF($C120-U$1&lt;År1,0,T119*(1-VLOOKUP($A120,[1]Hugst!$R$5:$W$9,MATCH(ROUNDUP((U$1)/10,0)*10,[1]Hugst!$R$4:$W$4,0))))</f>
        <v>939.58138918135205</v>
      </c>
      <c r="V120">
        <f ca="1">IF($C120-V$1&lt;År1,0,U119*(1-VLOOKUP($A120,[1]Hugst!$R$5:$W$9,MATCH(ROUNDUP((V$1)/10,0)*10,[1]Hugst!$R$4:$W$4,0))))</f>
        <v>938.05301276377759</v>
      </c>
      <c r="W120">
        <f ca="1">IF($C120-W$1&lt;År1,0,V119*(1-VLOOKUP($A120,[1]Hugst!$R$5:$W$9,MATCH(ROUNDUP((W$1)/10,0)*10,[1]Hugst!$R$4:$W$4,0))))</f>
        <v>937.9817020659774</v>
      </c>
      <c r="X120">
        <f ca="1">IF($C120-X$1&lt;År1,0,W119*(1-VLOOKUP($A120,[1]Hugst!$R$5:$W$9,MATCH(ROUNDUP((X$1)/10,0)*10,[1]Hugst!$R$4:$W$4,0))))</f>
        <v>937.91524798151499</v>
      </c>
      <c r="Y120">
        <f ca="1">IF($C120-Y$1&lt;År1,0,X119*(1-VLOOKUP($A120,[1]Hugst!$R$5:$W$9,MATCH(ROUNDUP((Y$1)/10,0)*10,[1]Hugst!$R$4:$W$4,0))))</f>
        <v>937.85365968163546</v>
      </c>
      <c r="Z120">
        <f ca="1">IF($C120-Z$1&lt;År1,0,Y119*(1-VLOOKUP($A120,[1]Hugst!$R$5:$W$9,MATCH(ROUNDUP((Z$1)/10,0)*10,[1]Hugst!$R$4:$W$4,0))))</f>
        <v>937.59795704463647</v>
      </c>
      <c r="AA120">
        <f ca="1">IF($C120-AA$1&lt;År1,0,Z119*(1-VLOOKUP($A120,[1]Hugst!$R$5:$W$9,MATCH(ROUNDUP((AA$1)/10,0)*10,[1]Hugst!$R$4:$W$4,0))))</f>
        <v>937.34720288234951</v>
      </c>
      <c r="AB120">
        <f ca="1">IF($C120-AB$1&lt;År1,0,AA119*(1-VLOOKUP($A120,[1]Hugst!$R$5:$W$9,MATCH(ROUNDUP((AB$1)/10,0)*10,[1]Hugst!$R$4:$W$4,0))))</f>
        <v>937.10140336772383</v>
      </c>
      <c r="AC120">
        <f ca="1">IF($C120-AC$1&lt;År1,0,AB119*(1-VLOOKUP($A120,[1]Hugst!$R$5:$W$9,MATCH(ROUNDUP((AC$1)/10,0)*10,[1]Hugst!$R$4:$W$4,0))))</f>
        <v>936.86056471147276</v>
      </c>
      <c r="AD120">
        <f ca="1">IF($C120-AD$1&lt;År1,0,AC119*(1-VLOOKUP($A120,[1]Hugst!$R$5:$W$9,MATCH(ROUNDUP((AD$1)/10,0)*10,[1]Hugst!$R$4:$W$4,0))))</f>
        <v>936.62469316206136</v>
      </c>
      <c r="AE120">
        <f ca="1">IF($C120-AE$1&lt;År1,0,AD119*(1-VLOOKUP($A120,[1]Hugst!$R$5:$W$9,MATCH(ROUNDUP((AE$1)/10,0)*10,[1]Hugst!$R$4:$W$4,0))))</f>
        <v>936.39379500588109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25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251.51630642498912</v>
      </c>
      <c r="E121">
        <f t="shared" ca="1" si="2"/>
        <v>23.00449230058075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645.35413205890336</v>
      </c>
      <c r="G121">
        <f ca="1">IF($C121-G$1&lt;År1,0,F120*(1-VLOOKUP($A121,[1]Hugst!$R$5:$W$9,MATCH(ROUNDUP((G$1)/10,0)*10,[1]Hugst!$R$4:$W$4,0))))</f>
        <v>645.47017140486105</v>
      </c>
      <c r="H121">
        <f ca="1">IF($C121-H$1&lt;År1,0,G120*(1-VLOOKUP($A121,[1]Hugst!$R$5:$W$9,MATCH(ROUNDUP((H$1)/10,0)*10,[1]Hugst!$R$4:$W$4,0))))</f>
        <v>645.59034190834655</v>
      </c>
      <c r="I121">
        <f ca="1">IF($C121-I$1&lt;År1,0,H120*(1-VLOOKUP($A121,[1]Hugst!$R$5:$W$9,MATCH(ROUNDUP((I$1)/10,0)*10,[1]Hugst!$R$4:$W$4,0))))</f>
        <v>645.71466593682226</v>
      </c>
      <c r="J121">
        <f ca="1">IF($C121-J$1&lt;År1,0,I120*(1-VLOOKUP($A121,[1]Hugst!$R$5:$W$9,MATCH(ROUNDUP((J$1)/10,0)*10,[1]Hugst!$R$4:$W$4,0))))</f>
        <v>645.84316596689814</v>
      </c>
      <c r="K121">
        <f ca="1">IF($C121-K$1&lt;År1,0,J120*(1-VLOOKUP($A121,[1]Hugst!$R$5:$W$9,MATCH(ROUNDUP((K$1)/10,0)*10,[1]Hugst!$R$4:$W$4,0))))</f>
        <v>645.97586458490014</v>
      </c>
      <c r="L121">
        <f ca="1">IF($C121-L$1&lt;År1,0,K120*(1-VLOOKUP($A121,[1]Hugst!$R$5:$W$9,MATCH(ROUNDUP((L$1)/10,0)*10,[1]Hugst!$R$4:$W$4,0))))</f>
        <v>646.1127844873804</v>
      </c>
      <c r="M121">
        <f ca="1">IF($C121-M$1&lt;År1,0,L120*(1-VLOOKUP($A121,[1]Hugst!$R$5:$W$9,MATCH(ROUNDUP((M$1)/10,0)*10,[1]Hugst!$R$4:$W$4,0))))</f>
        <v>645.79041396833281</v>
      </c>
      <c r="N121">
        <f ca="1">IF($C121-N$1&lt;År1,0,M120*(1-VLOOKUP($A121,[1]Hugst!$R$5:$W$9,MATCH(ROUNDUP((N$1)/10,0)*10,[1]Hugst!$R$4:$W$4,0))))</f>
        <v>645.67302847986821</v>
      </c>
      <c r="O121">
        <f ca="1">IF($C121-O$1&lt;År1,0,N120*(1-VLOOKUP($A121,[1]Hugst!$R$5:$W$9,MATCH(ROUNDUP((O$1)/10,0)*10,[1]Hugst!$R$4:$W$4,0))))</f>
        <v>645.55793915458844</v>
      </c>
      <c r="P121">
        <f ca="1">IF($C121-P$1&lt;År1,0,O120*(1-VLOOKUP($A121,[1]Hugst!$R$5:$W$9,MATCH(ROUNDUP((P$1)/10,0)*10,[1]Hugst!$R$4:$W$4,0))))</f>
        <v>644.46058457448873</v>
      </c>
      <c r="Q121">
        <f ca="1">IF($C121-Q$1&lt;År1,0,P120*(1-VLOOKUP($A121,[1]Hugst!$R$5:$W$9,MATCH(ROUNDUP((Q$1)/10,0)*10,[1]Hugst!$R$4:$W$4,0))))</f>
        <v>643.36739674372529</v>
      </c>
      <c r="R121">
        <f ca="1">IF($C121-R$1&lt;År1,0,Q120*(1-VLOOKUP($A121,[1]Hugst!$R$5:$W$9,MATCH(ROUNDUP((R$1)/10,0)*10,[1]Hugst!$R$4:$W$4,0))))</f>
        <v>642.27837801124485</v>
      </c>
      <c r="S121">
        <f ca="1">IF($C121-S$1&lt;År1,0,R120*(1-VLOOKUP($A121,[1]Hugst!$R$5:$W$9,MATCH(ROUNDUP((S$1)/10,0)*10,[1]Hugst!$R$4:$W$4,0))))</f>
        <v>641.19353075282186</v>
      </c>
      <c r="T121">
        <f ca="1">IF($C121-T$1&lt;År1,0,S120*(1-VLOOKUP($A121,[1]Hugst!$R$5:$W$9,MATCH(ROUNDUP((T$1)/10,0)*10,[1]Hugst!$R$4:$W$4,0))))</f>
        <v>640.11285737110825</v>
      </c>
      <c r="U121">
        <f ca="1">IF($C121-U$1&lt;År1,0,T120*(1-VLOOKUP($A121,[1]Hugst!$R$5:$W$9,MATCH(ROUNDUP((U$1)/10,0)*10,[1]Hugst!$R$4:$W$4,0))))</f>
        <v>639.03636029568838</v>
      </c>
      <c r="V121">
        <f ca="1">IF($C121-V$1&lt;År1,0,U120*(1-VLOOKUP($A121,[1]Hugst!$R$5:$W$9,MATCH(ROUNDUP((V$1)/10,0)*10,[1]Hugst!$R$4:$W$4,0))))</f>
        <v>938.14812943514323</v>
      </c>
      <c r="W121">
        <f ca="1">IF($C121-W$1&lt;År1,0,V120*(1-VLOOKUP($A121,[1]Hugst!$R$5:$W$9,MATCH(ROUNDUP((W$1)/10,0)*10,[1]Hugst!$R$4:$W$4,0))))</f>
        <v>936.62208443922259</v>
      </c>
      <c r="X121">
        <f ca="1">IF($C121-X$1&lt;År1,0,W120*(1-VLOOKUP($A121,[1]Hugst!$R$5:$W$9,MATCH(ROUNDUP((X$1)/10,0)*10,[1]Hugst!$R$4:$W$4,0))))</f>
        <v>936.550882520453</v>
      </c>
      <c r="Y121">
        <f ca="1">IF($C121-Y$1&lt;År1,0,X120*(1-VLOOKUP($A121,[1]Hugst!$R$5:$W$9,MATCH(ROUNDUP((Y$1)/10,0)*10,[1]Hugst!$R$4:$W$4,0))))</f>
        <v>936.48452980662796</v>
      </c>
      <c r="Z121">
        <f ca="1">IF($C121-Z$1&lt;År1,0,Y120*(1-VLOOKUP($A121,[1]Hugst!$R$5:$W$9,MATCH(ROUNDUP((Z$1)/10,0)*10,[1]Hugst!$R$4:$W$4,0))))</f>
        <v>936.22433764574782</v>
      </c>
      <c r="AA121">
        <f ca="1">IF($C121-AA$1&lt;År1,0,Z120*(1-VLOOKUP($A121,[1]Hugst!$R$5:$W$9,MATCH(ROUNDUP((AA$1)/10,0)*10,[1]Hugst!$R$4:$W$4,0))))</f>
        <v>935.96907923790639</v>
      </c>
      <c r="AB121">
        <f ca="1">IF($C121-AB$1&lt;År1,0,AA120*(1-VLOOKUP($A121,[1]Hugst!$R$5:$W$9,MATCH(ROUNDUP((AB$1)/10,0)*10,[1]Hugst!$R$4:$W$4,0))))</f>
        <v>935.71876070785049</v>
      </c>
      <c r="AC121">
        <f ca="1">IF($C121-AC$1&lt;År1,0,AB120*(1-VLOOKUP($A121,[1]Hugst!$R$5:$W$9,MATCH(ROUNDUP((AC$1)/10,0)*10,[1]Hugst!$R$4:$W$4,0))))</f>
        <v>935.47338821780534</v>
      </c>
      <c r="AD121">
        <f ca="1">IF($C121-AD$1&lt;År1,0,AC120*(1-VLOOKUP($A121,[1]Hugst!$R$5:$W$9,MATCH(ROUNDUP((AD$1)/10,0)*10,[1]Hugst!$R$4:$W$4,0))))</f>
        <v>935.23296796769432</v>
      </c>
      <c r="AE121">
        <f ca="1">IF($C121-AE$1&lt;År1,0,AD120*(1-VLOOKUP($A121,[1]Hugst!$R$5:$W$9,MATCH(ROUNDUP((AE$1)/10,0)*10,[1]Hugst!$R$4:$W$4,0))))</f>
        <v>934.99750619512724</v>
      </c>
      <c r="AF121">
        <f ca="1">IF($C121-AF$1&lt;År1,0,AE120*(1-VLOOKUP($A121,[1]Hugst!$R$5:$W$9,MATCH(ROUNDUP((AF$1)/10,0)*10,[1]Hugst!$R$4:$W$4,0))))</f>
        <v>934.76700917557423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25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250.25872489284848</v>
      </c>
      <c r="E122">
        <f t="shared" ca="1" si="2"/>
        <v>24.150143385420961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645.24220161160292</v>
      </c>
      <c r="G122">
        <f ca="1">IF($C122-G$1&lt;År1,0,F121*(1-VLOOKUP($A122,[1]Hugst!$R$5:$W$9,MATCH(ROUNDUP((G$1)/10,0)*10,[1]Hugst!$R$4:$W$4,0))))</f>
        <v>645.35413205890336</v>
      </c>
      <c r="H122">
        <f ca="1">IF($C122-H$1&lt;År1,0,G121*(1-VLOOKUP($A122,[1]Hugst!$R$5:$W$9,MATCH(ROUNDUP((H$1)/10,0)*10,[1]Hugst!$R$4:$W$4,0))))</f>
        <v>645.47017140486105</v>
      </c>
      <c r="I122">
        <f ca="1">IF($C122-I$1&lt;År1,0,H121*(1-VLOOKUP($A122,[1]Hugst!$R$5:$W$9,MATCH(ROUNDUP((I$1)/10,0)*10,[1]Hugst!$R$4:$W$4,0))))</f>
        <v>645.59034190834655</v>
      </c>
      <c r="J122">
        <f ca="1">IF($C122-J$1&lt;År1,0,I121*(1-VLOOKUP($A122,[1]Hugst!$R$5:$W$9,MATCH(ROUNDUP((J$1)/10,0)*10,[1]Hugst!$R$4:$W$4,0))))</f>
        <v>645.71466593682226</v>
      </c>
      <c r="K122">
        <f ca="1">IF($C122-K$1&lt;År1,0,J121*(1-VLOOKUP($A122,[1]Hugst!$R$5:$W$9,MATCH(ROUNDUP((K$1)/10,0)*10,[1]Hugst!$R$4:$W$4,0))))</f>
        <v>645.84316596689814</v>
      </c>
      <c r="L122">
        <f ca="1">IF($C122-L$1&lt;År1,0,K121*(1-VLOOKUP($A122,[1]Hugst!$R$5:$W$9,MATCH(ROUNDUP((L$1)/10,0)*10,[1]Hugst!$R$4:$W$4,0))))</f>
        <v>645.97586458490014</v>
      </c>
      <c r="M122">
        <f ca="1">IF($C122-M$1&lt;År1,0,L121*(1-VLOOKUP($A122,[1]Hugst!$R$5:$W$9,MATCH(ROUNDUP((M$1)/10,0)*10,[1]Hugst!$R$4:$W$4,0))))</f>
        <v>646.1127844873804</v>
      </c>
      <c r="N122">
        <f ca="1">IF($C122-N$1&lt;År1,0,M121*(1-VLOOKUP($A122,[1]Hugst!$R$5:$W$9,MATCH(ROUNDUP((N$1)/10,0)*10,[1]Hugst!$R$4:$W$4,0))))</f>
        <v>645.79041396833281</v>
      </c>
      <c r="O122">
        <f ca="1">IF($C122-O$1&lt;År1,0,N121*(1-VLOOKUP($A122,[1]Hugst!$R$5:$W$9,MATCH(ROUNDUP((O$1)/10,0)*10,[1]Hugst!$R$4:$W$4,0))))</f>
        <v>645.67302847986821</v>
      </c>
      <c r="P122">
        <f ca="1">IF($C122-P$1&lt;År1,0,O121*(1-VLOOKUP($A122,[1]Hugst!$R$5:$W$9,MATCH(ROUNDUP((P$1)/10,0)*10,[1]Hugst!$R$4:$W$4,0))))</f>
        <v>644.57318975587805</v>
      </c>
      <c r="Q122">
        <f ca="1">IF($C122-Q$1&lt;År1,0,P121*(1-VLOOKUP($A122,[1]Hugst!$R$5:$W$9,MATCH(ROUNDUP((Q$1)/10,0)*10,[1]Hugst!$R$4:$W$4,0))))</f>
        <v>643.4775091064937</v>
      </c>
      <c r="R122">
        <f ca="1">IF($C122-R$1&lt;År1,0,Q121*(1-VLOOKUP($A122,[1]Hugst!$R$5:$W$9,MATCH(ROUNDUP((R$1)/10,0)*10,[1]Hugst!$R$4:$W$4,0))))</f>
        <v>642.38598885038743</v>
      </c>
      <c r="S122">
        <f ca="1">IF($C122-S$1&lt;År1,0,R121*(1-VLOOKUP($A122,[1]Hugst!$R$5:$W$9,MATCH(ROUNDUP((S$1)/10,0)*10,[1]Hugst!$R$4:$W$4,0))))</f>
        <v>641.29863133292258</v>
      </c>
      <c r="T122">
        <f ca="1">IF($C122-T$1&lt;År1,0,S121*(1-VLOOKUP($A122,[1]Hugst!$R$5:$W$9,MATCH(ROUNDUP((T$1)/10,0)*10,[1]Hugst!$R$4:$W$4,0))))</f>
        <v>640.2154389262497</v>
      </c>
      <c r="U122">
        <f ca="1">IF($C122-U$1&lt;År1,0,T121*(1-VLOOKUP($A122,[1]Hugst!$R$5:$W$9,MATCH(ROUNDUP((U$1)/10,0)*10,[1]Hugst!$R$4:$W$4,0))))</f>
        <v>639.13641402935571</v>
      </c>
      <c r="V122">
        <f ca="1">IF($C122-V$1&lt;År1,0,U121*(1-VLOOKUP($A122,[1]Hugst!$R$5:$W$9,MATCH(ROUNDUP((V$1)/10,0)*10,[1]Hugst!$R$4:$W$4,0))))</f>
        <v>638.06155906811864</v>
      </c>
      <c r="W122">
        <f ca="1">IF($C122-W$1&lt;År1,0,V121*(1-VLOOKUP($A122,[1]Hugst!$R$5:$W$9,MATCH(ROUNDUP((W$1)/10,0)*10,[1]Hugst!$R$4:$W$4,0))))</f>
        <v>936.71705601736073</v>
      </c>
      <c r="X122">
        <f ca="1">IF($C122-X$1&lt;År1,0,W121*(1-VLOOKUP($A122,[1]Hugst!$R$5:$W$9,MATCH(ROUNDUP((X$1)/10,0)*10,[1]Hugst!$R$4:$W$4,0))))</f>
        <v>935.19333888668814</v>
      </c>
      <c r="Y122">
        <f ca="1">IF($C122-Y$1&lt;År1,0,X121*(1-VLOOKUP($A122,[1]Hugst!$R$5:$W$9,MATCH(ROUNDUP((Y$1)/10,0)*10,[1]Hugst!$R$4:$W$4,0))))</f>
        <v>935.12224558101502</v>
      </c>
      <c r="Z122">
        <f ca="1">IF($C122-Z$1&lt;År1,0,Y121*(1-VLOOKUP($A122,[1]Hugst!$R$5:$W$9,MATCH(ROUNDUP((Z$1)/10,0)*10,[1]Hugst!$R$4:$W$4,0))))</f>
        <v>934.8575863438283</v>
      </c>
      <c r="AA122">
        <f ca="1">IF($C122-AA$1&lt;År1,0,Z121*(1-VLOOKUP($A122,[1]Hugst!$R$5:$W$9,MATCH(ROUNDUP((AA$1)/10,0)*10,[1]Hugst!$R$4:$W$4,0))))</f>
        <v>934.59784621170218</v>
      </c>
      <c r="AB122">
        <f ca="1">IF($C122-AB$1&lt;År1,0,AA121*(1-VLOOKUP($A122,[1]Hugst!$R$5:$W$9,MATCH(ROUNDUP((AB$1)/10,0)*10,[1]Hugst!$R$4:$W$4,0))))</f>
        <v>934.34303126126417</v>
      </c>
      <c r="AC122">
        <f ca="1">IF($C122-AC$1&lt;År1,0,AB121*(1-VLOOKUP($A122,[1]Hugst!$R$5:$W$9,MATCH(ROUNDUP((AC$1)/10,0)*10,[1]Hugst!$R$4:$W$4,0))))</f>
        <v>934.09314760662073</v>
      </c>
      <c r="AD122">
        <f ca="1">IF($C122-AD$1&lt;År1,0,AC121*(1-VLOOKUP($A122,[1]Hugst!$R$5:$W$9,MATCH(ROUNDUP((AD$1)/10,0)*10,[1]Hugst!$R$4:$W$4,0))))</f>
        <v>933.84820139929127</v>
      </c>
      <c r="AE122">
        <f ca="1">IF($C122-AE$1&lt;År1,0,AD121*(1-VLOOKUP($A122,[1]Hugst!$R$5:$W$9,MATCH(ROUNDUP((AE$1)/10,0)*10,[1]Hugst!$R$4:$W$4,0))))</f>
        <v>933.60819882842839</v>
      </c>
      <c r="AF122">
        <f ca="1">IF($C122-AF$1&lt;År1,0,AE121*(1-VLOOKUP($A122,[1]Hugst!$R$5:$W$9,MATCH(ROUNDUP((AF$1)/10,0)*10,[1]Hugst!$R$4:$W$4,0))))</f>
        <v>933.37314612080513</v>
      </c>
      <c r="AG122">
        <f ca="1">IF($C122-AG$1&lt;År1,0,AF121*(1-VLOOKUP($A122,[1]Hugst!$R$5:$W$9,MATCH(ROUNDUP((AG$1)/10,0)*10,[1]Hugst!$R$4:$W$4,0))))</f>
        <v>933.14304954098952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25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249.00743126839006</v>
      </c>
      <c r="E123">
        <f t="shared" ca="1" si="2"/>
        <v>25.29359331055457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645.13435791227812</v>
      </c>
      <c r="G123">
        <f ca="1">IF($C123-G$1&lt;År1,0,F122*(1-VLOOKUP($A123,[1]Hugst!$R$5:$W$9,MATCH(ROUNDUP((G$1)/10,0)*10,[1]Hugst!$R$4:$W$4,0))))</f>
        <v>645.24220161160292</v>
      </c>
      <c r="H123">
        <f ca="1">IF($C123-H$1&lt;År1,0,G122*(1-VLOOKUP($A123,[1]Hugst!$R$5:$W$9,MATCH(ROUNDUP((H$1)/10,0)*10,[1]Hugst!$R$4:$W$4,0))))</f>
        <v>645.35413205890336</v>
      </c>
      <c r="I123">
        <f ca="1">IF($C123-I$1&lt;År1,0,H122*(1-VLOOKUP($A123,[1]Hugst!$R$5:$W$9,MATCH(ROUNDUP((I$1)/10,0)*10,[1]Hugst!$R$4:$W$4,0))))</f>
        <v>645.47017140486105</v>
      </c>
      <c r="J123">
        <f ca="1">IF($C123-J$1&lt;År1,0,I122*(1-VLOOKUP($A123,[1]Hugst!$R$5:$W$9,MATCH(ROUNDUP((J$1)/10,0)*10,[1]Hugst!$R$4:$W$4,0))))</f>
        <v>645.59034190834655</v>
      </c>
      <c r="K123">
        <f ca="1">IF($C123-K$1&lt;År1,0,J122*(1-VLOOKUP($A123,[1]Hugst!$R$5:$W$9,MATCH(ROUNDUP((K$1)/10,0)*10,[1]Hugst!$R$4:$W$4,0))))</f>
        <v>645.71466593682226</v>
      </c>
      <c r="L123">
        <f ca="1">IF($C123-L$1&lt;År1,0,K122*(1-VLOOKUP($A123,[1]Hugst!$R$5:$W$9,MATCH(ROUNDUP((L$1)/10,0)*10,[1]Hugst!$R$4:$W$4,0))))</f>
        <v>645.84316596689814</v>
      </c>
      <c r="M123">
        <f ca="1">IF($C123-M$1&lt;År1,0,L122*(1-VLOOKUP($A123,[1]Hugst!$R$5:$W$9,MATCH(ROUNDUP((M$1)/10,0)*10,[1]Hugst!$R$4:$W$4,0))))</f>
        <v>645.97586458490014</v>
      </c>
      <c r="N123">
        <f ca="1">IF($C123-N$1&lt;År1,0,M122*(1-VLOOKUP($A123,[1]Hugst!$R$5:$W$9,MATCH(ROUNDUP((N$1)/10,0)*10,[1]Hugst!$R$4:$W$4,0))))</f>
        <v>646.1127844873804</v>
      </c>
      <c r="O123">
        <f ca="1">IF($C123-O$1&lt;År1,0,N122*(1-VLOOKUP($A123,[1]Hugst!$R$5:$W$9,MATCH(ROUNDUP((O$1)/10,0)*10,[1]Hugst!$R$4:$W$4,0))))</f>
        <v>645.79041396833281</v>
      </c>
      <c r="P123">
        <f ca="1">IF($C123-P$1&lt;År1,0,O122*(1-VLOOKUP($A123,[1]Hugst!$R$5:$W$9,MATCH(ROUNDUP((P$1)/10,0)*10,[1]Hugst!$R$4:$W$4,0))))</f>
        <v>644.68810352117009</v>
      </c>
      <c r="Q123">
        <f ca="1">IF($C123-Q$1&lt;År1,0,P122*(1-VLOOKUP($A123,[1]Hugst!$R$5:$W$9,MATCH(ROUNDUP((Q$1)/10,0)*10,[1]Hugst!$R$4:$W$4,0))))</f>
        <v>643.58994251726733</v>
      </c>
      <c r="R123">
        <f ca="1">IF($C123-R$1&lt;År1,0,Q122*(1-VLOOKUP($A123,[1]Hugst!$R$5:$W$9,MATCH(ROUNDUP((R$1)/10,0)*10,[1]Hugst!$R$4:$W$4,0))))</f>
        <v>642.49593324514478</v>
      </c>
      <c r="S123">
        <f ca="1">IF($C123-S$1&lt;År1,0,R122*(1-VLOOKUP($A123,[1]Hugst!$R$5:$W$9,MATCH(ROUNDUP((S$1)/10,0)*10,[1]Hugst!$R$4:$W$4,0))))</f>
        <v>641.40607801993769</v>
      </c>
      <c r="T123">
        <f ca="1">IF($C123-T$1&lt;År1,0,S122*(1-VLOOKUP($A123,[1]Hugst!$R$5:$W$9,MATCH(ROUNDUP((T$1)/10,0)*10,[1]Hugst!$R$4:$W$4,0))))</f>
        <v>640.32037918343167</v>
      </c>
      <c r="U123">
        <f ca="1">IF($C123-U$1&lt;År1,0,T122*(1-VLOOKUP($A123,[1]Hugst!$R$5:$W$9,MATCH(ROUNDUP((U$1)/10,0)*10,[1]Hugst!$R$4:$W$4,0))))</f>
        <v>639.23883910415884</v>
      </c>
      <c r="V123">
        <f ca="1">IF($C123-V$1&lt;År1,0,U122*(1-VLOOKUP($A123,[1]Hugst!$R$5:$W$9,MATCH(ROUNDUP((V$1)/10,0)*10,[1]Hugst!$R$4:$W$4,0))))</f>
        <v>638.16146017744654</v>
      </c>
      <c r="W123">
        <f ca="1">IF($C123-W$1&lt;År1,0,V122*(1-VLOOKUP($A123,[1]Hugst!$R$5:$W$9,MATCH(ROUNDUP((W$1)/10,0)*10,[1]Hugst!$R$4:$W$4,0))))</f>
        <v>637.08824482547232</v>
      </c>
      <c r="X123">
        <f ca="1">IF($C123-X$1&lt;År1,0,W122*(1-VLOOKUP($A123,[1]Hugst!$R$5:$W$9,MATCH(ROUNDUP((X$1)/10,0)*10,[1]Hugst!$R$4:$W$4,0))))</f>
        <v>935.28816559292738</v>
      </c>
      <c r="Y123">
        <f ca="1">IF($C123-Y$1&lt;År1,0,X122*(1-VLOOKUP($A123,[1]Hugst!$R$5:$W$9,MATCH(ROUNDUP((Y$1)/10,0)*10,[1]Hugst!$R$4:$W$4,0))))</f>
        <v>933.76677277652198</v>
      </c>
      <c r="Z123">
        <f ca="1">IF($C123-Z$1&lt;År1,0,Y122*(1-VLOOKUP($A123,[1]Hugst!$R$5:$W$9,MATCH(ROUNDUP((Z$1)/10,0)*10,[1]Hugst!$R$4:$W$4,0))))</f>
        <v>933.49766879843776</v>
      </c>
      <c r="AA123">
        <f ca="1">IF($C123-AA$1&lt;År1,0,Z122*(1-VLOOKUP($A123,[1]Hugst!$R$5:$W$9,MATCH(ROUNDUP((AA$1)/10,0)*10,[1]Hugst!$R$4:$W$4,0))))</f>
        <v>933.23346935060385</v>
      </c>
      <c r="AB123">
        <f ca="1">IF($C123-AB$1&lt;År1,0,AA122*(1-VLOOKUP($A123,[1]Hugst!$R$5:$W$9,MATCH(ROUNDUP((AB$1)/10,0)*10,[1]Hugst!$R$4:$W$4,0))))</f>
        <v>932.97418046192752</v>
      </c>
      <c r="AC123">
        <f ca="1">IF($C123-AC$1&lt;År1,0,AB122*(1-VLOOKUP($A123,[1]Hugst!$R$5:$W$9,MATCH(ROUNDUP((AC$1)/10,0)*10,[1]Hugst!$R$4:$W$4,0))))</f>
        <v>932.71980819847977</v>
      </c>
      <c r="AD123">
        <f ca="1">IF($C123-AD$1&lt;År1,0,AC122*(1-VLOOKUP($A123,[1]Hugst!$R$5:$W$9,MATCH(ROUNDUP((AD$1)/10,0)*10,[1]Hugst!$R$4:$W$4,0))))</f>
        <v>932.47035866374483</v>
      </c>
      <c r="AE123">
        <f ca="1">IF($C123-AE$1&lt;År1,0,AD122*(1-VLOOKUP($A123,[1]Hugst!$R$5:$W$9,MATCH(ROUNDUP((AE$1)/10,0)*10,[1]Hugst!$R$4:$W$4,0))))</f>
        <v>932.22583799855522</v>
      </c>
      <c r="AF123">
        <f ca="1">IF($C123-AF$1&lt;År1,0,AE122*(1-VLOOKUP($A123,[1]Hugst!$R$5:$W$9,MATCH(ROUNDUP((AF$1)/10,0)*10,[1]Hugst!$R$4:$W$4,0))))</f>
        <v>931.98625238131115</v>
      </c>
      <c r="AG123">
        <f ca="1">IF($C123-AG$1&lt;År1,0,AF122*(1-VLOOKUP($A123,[1]Hugst!$R$5:$W$9,MATCH(ROUNDUP((AG$1)/10,0)*10,[1]Hugst!$R$4:$W$4,0))))</f>
        <v>931.75160802796813</v>
      </c>
      <c r="AH123">
        <f ca="1">IF($C123-AH$1&lt;År1,0,AG122*(1-VLOOKUP($A123,[1]Hugst!$R$5:$W$9,MATCH(ROUNDUP((AH$1)/10,0)*10,[1]Hugst!$R$4:$W$4,0))))</f>
        <v>931.52191119221061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25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247.76239411205734</v>
      </c>
      <c r="E124">
        <f t="shared" ca="1" si="2"/>
        <v>26.434851472342416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645.03057891773324</v>
      </c>
      <c r="G124">
        <f ca="1">IF($C124-G$1&lt;År1,0,F123*(1-VLOOKUP($A124,[1]Hugst!$R$5:$W$9,MATCH(ROUNDUP((G$1)/10,0)*10,[1]Hugst!$R$4:$W$4,0))))</f>
        <v>645.13435791227812</v>
      </c>
      <c r="H124">
        <f ca="1">IF($C124-H$1&lt;År1,0,G123*(1-VLOOKUP($A124,[1]Hugst!$R$5:$W$9,MATCH(ROUNDUP((H$1)/10,0)*10,[1]Hugst!$R$4:$W$4,0))))</f>
        <v>645.24220161160292</v>
      </c>
      <c r="I124">
        <f ca="1">IF($C124-I$1&lt;År1,0,H123*(1-VLOOKUP($A124,[1]Hugst!$R$5:$W$9,MATCH(ROUNDUP((I$1)/10,0)*10,[1]Hugst!$R$4:$W$4,0))))</f>
        <v>645.35413205890336</v>
      </c>
      <c r="J124">
        <f ca="1">IF($C124-J$1&lt;År1,0,I123*(1-VLOOKUP($A124,[1]Hugst!$R$5:$W$9,MATCH(ROUNDUP((J$1)/10,0)*10,[1]Hugst!$R$4:$W$4,0))))</f>
        <v>645.47017140486105</v>
      </c>
      <c r="K124">
        <f ca="1">IF($C124-K$1&lt;År1,0,J123*(1-VLOOKUP($A124,[1]Hugst!$R$5:$W$9,MATCH(ROUNDUP((K$1)/10,0)*10,[1]Hugst!$R$4:$W$4,0))))</f>
        <v>645.59034190834655</v>
      </c>
      <c r="L124">
        <f ca="1">IF($C124-L$1&lt;År1,0,K123*(1-VLOOKUP($A124,[1]Hugst!$R$5:$W$9,MATCH(ROUNDUP((L$1)/10,0)*10,[1]Hugst!$R$4:$W$4,0))))</f>
        <v>645.71466593682226</v>
      </c>
      <c r="M124">
        <f ca="1">IF($C124-M$1&lt;År1,0,L123*(1-VLOOKUP($A124,[1]Hugst!$R$5:$W$9,MATCH(ROUNDUP((M$1)/10,0)*10,[1]Hugst!$R$4:$W$4,0))))</f>
        <v>645.84316596689814</v>
      </c>
      <c r="N124">
        <f ca="1">IF($C124-N$1&lt;År1,0,M123*(1-VLOOKUP($A124,[1]Hugst!$R$5:$W$9,MATCH(ROUNDUP((N$1)/10,0)*10,[1]Hugst!$R$4:$W$4,0))))</f>
        <v>645.97586458490014</v>
      </c>
      <c r="O124">
        <f ca="1">IF($C124-O$1&lt;År1,0,N123*(1-VLOOKUP($A124,[1]Hugst!$R$5:$W$9,MATCH(ROUNDUP((O$1)/10,0)*10,[1]Hugst!$R$4:$W$4,0))))</f>
        <v>646.1127844873804</v>
      </c>
      <c r="P124">
        <f ca="1">IF($C124-P$1&lt;År1,0,O123*(1-VLOOKUP($A124,[1]Hugst!$R$5:$W$9,MATCH(ROUNDUP((P$1)/10,0)*10,[1]Hugst!$R$4:$W$4,0))))</f>
        <v>644.80530994702519</v>
      </c>
      <c r="Q124">
        <f ca="1">IF($C124-Q$1&lt;År1,0,P123*(1-VLOOKUP($A124,[1]Hugst!$R$5:$W$9,MATCH(ROUNDUP((Q$1)/10,0)*10,[1]Hugst!$R$4:$W$4,0))))</f>
        <v>643.7046809903751</v>
      </c>
      <c r="R124">
        <f ca="1">IF($C124-R$1&lt;År1,0,Q123*(1-VLOOKUP($A124,[1]Hugst!$R$5:$W$9,MATCH(ROUNDUP((R$1)/10,0)*10,[1]Hugst!$R$4:$W$4,0))))</f>
        <v>642.60819514732577</v>
      </c>
      <c r="S124">
        <f ca="1">IF($C124-S$1&lt;År1,0,R123*(1-VLOOKUP($A124,[1]Hugst!$R$5:$W$9,MATCH(ROUNDUP((S$1)/10,0)*10,[1]Hugst!$R$4:$W$4,0))))</f>
        <v>641.51585470290638</v>
      </c>
      <c r="T124">
        <f ca="1">IF($C124-T$1&lt;År1,0,S123*(1-VLOOKUP($A124,[1]Hugst!$R$5:$W$9,MATCH(ROUNDUP((T$1)/10,0)*10,[1]Hugst!$R$4:$W$4,0))))</f>
        <v>640.42766196872083</v>
      </c>
      <c r="U124">
        <f ca="1">IF($C124-U$1&lt;År1,0,T123*(1-VLOOKUP($A124,[1]Hugst!$R$5:$W$9,MATCH(ROUNDUP((U$1)/10,0)*10,[1]Hugst!$R$4:$W$4,0))))</f>
        <v>639.34361928298233</v>
      </c>
      <c r="V124">
        <f ca="1">IF($C124-V$1&lt;År1,0,U123*(1-VLOOKUP($A124,[1]Hugst!$R$5:$W$9,MATCH(ROUNDUP((V$1)/10,0)*10,[1]Hugst!$R$4:$W$4,0))))</f>
        <v>638.26372901061006</v>
      </c>
      <c r="W124">
        <f ca="1">IF($C124-W$1&lt;År1,0,V123*(1-VLOOKUP($A124,[1]Hugst!$R$5:$W$9,MATCH(ROUNDUP((W$1)/10,0)*10,[1]Hugst!$R$4:$W$4,0))))</f>
        <v>637.18799354327757</v>
      </c>
      <c r="X124">
        <f ca="1">IF($C124-X$1&lt;År1,0,W123*(1-VLOOKUP($A124,[1]Hugst!$R$5:$W$9,MATCH(ROUNDUP((X$1)/10,0)*10,[1]Hugst!$R$4:$W$4,0))))</f>
        <v>636.11641529946735</v>
      </c>
      <c r="Y124">
        <f ca="1">IF($C124-Y$1&lt;År1,0,X123*(1-VLOOKUP($A124,[1]Hugst!$R$5:$W$9,MATCH(ROUNDUP((Y$1)/10,0)*10,[1]Hugst!$R$4:$W$4,0))))</f>
        <v>933.86145483185339</v>
      </c>
      <c r="Z124">
        <f ca="1">IF($C124-Z$1&lt;År1,0,Y123*(1-VLOOKUP($A124,[1]Hugst!$R$5:$W$9,MATCH(ROUNDUP((Z$1)/10,0)*10,[1]Hugst!$R$4:$W$4,0))))</f>
        <v>932.1445508407661</v>
      </c>
      <c r="AA124">
        <f ca="1">IF($C124-AA$1&lt;År1,0,Z123*(1-VLOOKUP($A124,[1]Hugst!$R$5:$W$9,MATCH(ROUNDUP((AA$1)/10,0)*10,[1]Hugst!$R$4:$W$4,0))))</f>
        <v>931.87591437383026</v>
      </c>
      <c r="AB124">
        <f ca="1">IF($C124-AB$1&lt;År1,0,AA123*(1-VLOOKUP($A124,[1]Hugst!$R$5:$W$9,MATCH(ROUNDUP((AB$1)/10,0)*10,[1]Hugst!$R$4:$W$4,0))))</f>
        <v>931.61217391656248</v>
      </c>
      <c r="AC124">
        <f ca="1">IF($C124-AC$1&lt;År1,0,AB123*(1-VLOOKUP($A124,[1]Hugst!$R$5:$W$9,MATCH(ROUNDUP((AC$1)/10,0)*10,[1]Hugst!$R$4:$W$4,0))))</f>
        <v>931.35333548739618</v>
      </c>
      <c r="AD124">
        <f ca="1">IF($C124-AD$1&lt;År1,0,AC123*(1-VLOOKUP($A124,[1]Hugst!$R$5:$W$9,MATCH(ROUNDUP((AD$1)/10,0)*10,[1]Hugst!$R$4:$W$4,0))))</f>
        <v>931.09940514186371</v>
      </c>
      <c r="AE124">
        <f ca="1">IF($C124-AE$1&lt;År1,0,AD123*(1-VLOOKUP($A124,[1]Hugst!$R$5:$W$9,MATCH(ROUNDUP((AE$1)/10,0)*10,[1]Hugst!$R$4:$W$4,0))))</f>
        <v>930.85038897284596</v>
      </c>
      <c r="AF124">
        <f ca="1">IF($C124-AF$1&lt;År1,0,AE123*(1-VLOOKUP($A124,[1]Hugst!$R$5:$W$9,MATCH(ROUNDUP((AF$1)/10,0)*10,[1]Hugst!$R$4:$W$4,0))))</f>
        <v>930.60629311050684</v>
      </c>
      <c r="AG124">
        <f ca="1">IF($C124-AG$1&lt;År1,0,AF123*(1-VLOOKUP($A124,[1]Hugst!$R$5:$W$9,MATCH(ROUNDUP((AG$1)/10,0)*10,[1]Hugst!$R$4:$W$4,0))))</f>
        <v>930.36712372251304</v>
      </c>
      <c r="AH124">
        <f ca="1">IF($C124-AH$1&lt;År1,0,AG123*(1-VLOOKUP($A124,[1]Hugst!$R$5:$W$9,MATCH(ROUNDUP((AH$1)/10,0)*10,[1]Hugst!$R$4:$W$4,0))))</f>
        <v>930.13288701402121</v>
      </c>
      <c r="AI124">
        <f ca="1">IF($C124-AI$1&lt;År1,0,AH123*(1-VLOOKUP($A124,[1]Hugst!$R$5:$W$9,MATCH(ROUNDUP((AI$1)/10,0)*10,[1]Hugst!$R$4:$W$4,0))))</f>
        <v>929.90358922785117</v>
      </c>
      <c r="AJ124">
        <f>IF($C124-AJ$1&lt;År1,0,AI123*(1-VLOOKUP($A124,[1]Hugst!$R$5:$W$9,MATCH(ROUNDUP((AJ$1)/10,0)*10,[1]Hugst!$R$4:$W$4,0))))</f>
        <v>0</v>
      </c>
    </row>
    <row r="125" spans="1:38" x14ac:dyDescent="0.25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246.52358214149262</v>
      </c>
      <c r="E125">
        <f ca="1">IF(C125=2020,SUM(G125:AJ125),SUM(F124:AJ124)-SUM(G125:AJ125))</f>
        <v>26.786488338795607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644.14340381362172</v>
      </c>
      <c r="G125">
        <f ca="1">IF($C125-G$1&lt;År1,0,F124*(1-VLOOKUP($A125,[1]Hugst!$R$5:$W$9,MATCH(ROUNDUP((G$1)/10,0)*10,[1]Hugst!$R$4:$W$4,0))))</f>
        <v>645.03057891773324</v>
      </c>
      <c r="H125">
        <f ca="1">IF($C125-H$1&lt;År1,0,G124*(1-VLOOKUP($A125,[1]Hugst!$R$5:$W$9,MATCH(ROUNDUP((H$1)/10,0)*10,[1]Hugst!$R$4:$W$4,0))))</f>
        <v>645.13435791227812</v>
      </c>
      <c r="I125">
        <f ca="1">IF($C125-I$1&lt;År1,0,H124*(1-VLOOKUP($A125,[1]Hugst!$R$5:$W$9,MATCH(ROUNDUP((I$1)/10,0)*10,[1]Hugst!$R$4:$W$4,0))))</f>
        <v>645.24220161160292</v>
      </c>
      <c r="J125">
        <f ca="1">IF($C125-J$1&lt;År1,0,I124*(1-VLOOKUP($A125,[1]Hugst!$R$5:$W$9,MATCH(ROUNDUP((J$1)/10,0)*10,[1]Hugst!$R$4:$W$4,0))))</f>
        <v>645.35413205890336</v>
      </c>
      <c r="K125">
        <f ca="1">IF($C125-K$1&lt;År1,0,J124*(1-VLOOKUP($A125,[1]Hugst!$R$5:$W$9,MATCH(ROUNDUP((K$1)/10,0)*10,[1]Hugst!$R$4:$W$4,0))))</f>
        <v>645.47017140486105</v>
      </c>
      <c r="L125">
        <f ca="1">IF($C125-L$1&lt;År1,0,K124*(1-VLOOKUP($A125,[1]Hugst!$R$5:$W$9,MATCH(ROUNDUP((L$1)/10,0)*10,[1]Hugst!$R$4:$W$4,0))))</f>
        <v>645.59034190834655</v>
      </c>
      <c r="M125">
        <f ca="1">IF($C125-M$1&lt;År1,0,L124*(1-VLOOKUP($A125,[1]Hugst!$R$5:$W$9,MATCH(ROUNDUP((M$1)/10,0)*10,[1]Hugst!$R$4:$W$4,0))))</f>
        <v>645.71466593682226</v>
      </c>
      <c r="N125">
        <f ca="1">IF($C125-N$1&lt;År1,0,M124*(1-VLOOKUP($A125,[1]Hugst!$R$5:$W$9,MATCH(ROUNDUP((N$1)/10,0)*10,[1]Hugst!$R$4:$W$4,0))))</f>
        <v>645.84316596689814</v>
      </c>
      <c r="O125">
        <f ca="1">IF($C125-O$1&lt;År1,0,N124*(1-VLOOKUP($A125,[1]Hugst!$R$5:$W$9,MATCH(ROUNDUP((O$1)/10,0)*10,[1]Hugst!$R$4:$W$4,0))))</f>
        <v>645.97586458490014</v>
      </c>
      <c r="P125">
        <f ca="1">IF($C125-P$1&lt;År1,0,O124*(1-VLOOKUP($A125,[1]Hugst!$R$5:$W$9,MATCH(ROUNDUP((P$1)/10,0)*10,[1]Hugst!$R$4:$W$4,0))))</f>
        <v>645.12718871443349</v>
      </c>
      <c r="Q125">
        <f ca="1">IF($C125-Q$1&lt;År1,0,P124*(1-VLOOKUP($A125,[1]Hugst!$R$5:$W$9,MATCH(ROUNDUP((Q$1)/10,0)*10,[1]Hugst!$R$4:$W$4,0))))</f>
        <v>643.82170862676696</v>
      </c>
      <c r="R125">
        <f ca="1">IF($C125-R$1&lt;År1,0,Q124*(1-VLOOKUP($A125,[1]Hugst!$R$5:$W$9,MATCH(ROUNDUP((R$1)/10,0)*10,[1]Hugst!$R$4:$W$4,0))))</f>
        <v>642.722758595644</v>
      </c>
      <c r="S125">
        <f ca="1">IF($C125-S$1&lt;År1,0,R124*(1-VLOOKUP($A125,[1]Hugst!$R$5:$W$9,MATCH(ROUNDUP((S$1)/10,0)*10,[1]Hugst!$R$4:$W$4,0))))</f>
        <v>641.62794535811793</v>
      </c>
      <c r="T125">
        <f ca="1">IF($C125-T$1&lt;År1,0,S124*(1-VLOOKUP($A125,[1]Hugst!$R$5:$W$9,MATCH(ROUNDUP((T$1)/10,0)*10,[1]Hugst!$R$4:$W$4,0))))</f>
        <v>640.53727119573239</v>
      </c>
      <c r="U125">
        <f ca="1">IF($C125-U$1&lt;År1,0,T124*(1-VLOOKUP($A125,[1]Hugst!$R$5:$W$9,MATCH(ROUNDUP((U$1)/10,0)*10,[1]Hugst!$R$4:$W$4,0))))</f>
        <v>639.45073841656517</v>
      </c>
      <c r="V125">
        <f ca="1">IF($C125-V$1&lt;År1,0,U124*(1-VLOOKUP($A125,[1]Hugst!$R$5:$W$9,MATCH(ROUNDUP((V$1)/10,0)*10,[1]Hugst!$R$4:$W$4,0))))</f>
        <v>638.36834935526247</v>
      </c>
      <c r="W125">
        <f ca="1">IF($C125-W$1&lt;År1,0,V124*(1-VLOOKUP($A125,[1]Hugst!$R$5:$W$9,MATCH(ROUNDUP((W$1)/10,0)*10,[1]Hugst!$R$4:$W$4,0))))</f>
        <v>637.29010637313627</v>
      </c>
      <c r="X125">
        <f ca="1">IF($C125-X$1&lt;År1,0,W124*(1-VLOOKUP($A125,[1]Hugst!$R$5:$W$9,MATCH(ROUNDUP((X$1)/10,0)*10,[1]Hugst!$R$4:$W$4,0))))</f>
        <v>636.21601185821157</v>
      </c>
      <c r="Y125">
        <f ca="1">IF($C125-Y$1&lt;År1,0,X124*(1-VLOOKUP($A125,[1]Hugst!$R$5:$W$9,MATCH(ROUNDUP((Y$1)/10,0)*10,[1]Hugst!$R$4:$W$4,0))))</f>
        <v>635.14606822528174</v>
      </c>
      <c r="Z125">
        <f ca="1">IF($C125-Z$1&lt;År1,0,Y124*(1-VLOOKUP($A125,[1]Hugst!$R$5:$W$9,MATCH(ROUNDUP((Z$1)/10,0)*10,[1]Hugst!$R$4:$W$4,0))))</f>
        <v>932.23906840608618</v>
      </c>
      <c r="AA125">
        <f ca="1">IF($C125-AA$1&lt;År1,0,Z124*(1-VLOOKUP($A125,[1]Hugst!$R$5:$W$9,MATCH(ROUNDUP((AA$1)/10,0)*10,[1]Hugst!$R$4:$W$4,0))))</f>
        <v>930.52514717193253</v>
      </c>
      <c r="AB125">
        <f ca="1">IF($C125-AB$1&lt;År1,0,AA124*(1-VLOOKUP($A125,[1]Hugst!$R$5:$W$9,MATCH(ROUNDUP((AB$1)/10,0)*10,[1]Hugst!$R$4:$W$4,0))))</f>
        <v>930.25697740394344</v>
      </c>
      <c r="AC125">
        <f ca="1">IF($C125-AC$1&lt;År1,0,AB124*(1-VLOOKUP($A125,[1]Hugst!$R$5:$W$9,MATCH(ROUNDUP((AC$1)/10,0)*10,[1]Hugst!$R$4:$W$4,0))))</f>
        <v>929.993695139843</v>
      </c>
      <c r="AD125">
        <f ca="1">IF($C125-AD$1&lt;År1,0,AC124*(1-VLOOKUP($A125,[1]Hugst!$R$5:$W$9,MATCH(ROUNDUP((AD$1)/10,0)*10,[1]Hugst!$R$4:$W$4,0))))</f>
        <v>929.73530638760872</v>
      </c>
      <c r="AE125">
        <f ca="1">IF($C125-AE$1&lt;År1,0,AD124*(1-VLOOKUP($A125,[1]Hugst!$R$5:$W$9,MATCH(ROUNDUP((AE$1)/10,0)*10,[1]Hugst!$R$4:$W$4,0))))</f>
        <v>929.48181719225283</v>
      </c>
      <c r="AF125">
        <f ca="1">IF($C125-AF$1&lt;År1,0,AE124*(1-VLOOKUP($A125,[1]Hugst!$R$5:$W$9,MATCH(ROUNDUP((AF$1)/10,0)*10,[1]Hugst!$R$4:$W$4,0))))</f>
        <v>929.23323363607108</v>
      </c>
      <c r="AG125">
        <f ca="1">IF($C125-AG$1&lt;År1,0,AF124*(1-VLOOKUP($A125,[1]Hugst!$R$5:$W$9,MATCH(ROUNDUP((AG$1)/10,0)*10,[1]Hugst!$R$4:$W$4,0))))</f>
        <v>928.98956183857752</v>
      </c>
      <c r="AH125">
        <f ca="1">IF($C125-AH$1&lt;År1,0,AG124*(1-VLOOKUP($A125,[1]Hugst!$R$5:$W$9,MATCH(ROUNDUP((AH$1)/10,0)*10,[1]Hugst!$R$4:$W$4,0))))</f>
        <v>928.75080795672386</v>
      </c>
      <c r="AI125">
        <f ca="1">IF($C125-AI$1&lt;År1,0,AH124*(1-VLOOKUP($A125,[1]Hugst!$R$5:$W$9,MATCH(ROUNDUP((AI$1)/10,0)*10,[1]Hugst!$R$4:$W$4,0))))</f>
        <v>928.51697818488663</v>
      </c>
      <c r="AJ125">
        <f ca="1">IF($C125-AJ$1&lt;År1,0,AI124*(1-VLOOKUP($A125,[1]Hugst!$R$5:$W$9,MATCH(ROUNDUP((AJ$1)/10,0)*10,[1]Hugst!$R$4:$W$4,0))))</f>
        <v>929.07613264421627</v>
      </c>
      <c r="AL125">
        <f ca="1">SUM(F125:AJ125)</f>
        <v>23080.605756797257</v>
      </c>
    </row>
    <row r="126" spans="1:38" x14ac:dyDescent="0.25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108.76613040576632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602.03212367175934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108.22229975373483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601.48829301972796</v>
      </c>
      <c r="G127">
        <f ca="1">IF($C127-G$1&lt;År1,0,F126*(1-VLOOKUP($A127,[1]Hugst!$R$5:$W$9,MATCH(ROUNDUP((G$1)/10,0)*10,[1]Hugst!$R$4:$W$4,0))))</f>
        <v>602.03212367175934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630392.57650432875</v>
      </c>
    </row>
    <row r="128" spans="1:38" x14ac:dyDescent="0.25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107.68118825496936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600.94718152096243</v>
      </c>
      <c r="G128">
        <f ca="1">IF($C128-G$1&lt;År1,0,F127*(1-VLOOKUP($A128,[1]Hugst!$R$5:$W$9,MATCH(ROUNDUP((G$1)/10,0)*10,[1]Hugst!$R$4:$W$4,0))))</f>
        <v>601.48829301972796</v>
      </c>
      <c r="H128">
        <f ca="1">IF($C128-H$1&lt;År1,0,G127*(1-VLOOKUP($A128,[1]Hugst!$R$5:$W$9,MATCH(ROUNDUP((H$1)/10,0)*10,[1]Hugst!$R$4:$W$4,0))))</f>
        <v>602.03212367175934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25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107.14278231369389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600.40877557968702</v>
      </c>
      <c r="G129">
        <f ca="1">IF($C129-G$1&lt;År1,0,F128*(1-VLOOKUP($A129,[1]Hugst!$R$5:$W$9,MATCH(ROUNDUP((G$1)/10,0)*10,[1]Hugst!$R$4:$W$4,0))))</f>
        <v>600.94718152096243</v>
      </c>
      <c r="H129">
        <f ca="1">IF($C129-H$1&lt;År1,0,G128*(1-VLOOKUP($A129,[1]Hugst!$R$5:$W$9,MATCH(ROUNDUP((H$1)/10,0)*10,[1]Hugst!$R$4:$W$4,0))))</f>
        <v>601.48829301972796</v>
      </c>
      <c r="I129">
        <f ca="1">IF($C129-I$1&lt;År1,0,H128*(1-VLOOKUP($A129,[1]Hugst!$R$5:$W$9,MATCH(ROUNDUP((I$1)/10,0)*10,[1]Hugst!$R$4:$W$4,0))))</f>
        <v>602.03212367175934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25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106.60706840212509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599.87306166811823</v>
      </c>
      <c r="G130">
        <f ca="1">IF($C130-G$1&lt;År1,0,F129*(1-VLOOKUP($A130,[1]Hugst!$R$5:$W$9,MATCH(ROUNDUP((G$1)/10,0)*10,[1]Hugst!$R$4:$W$4,0))))</f>
        <v>600.40877557968702</v>
      </c>
      <c r="H130">
        <f ca="1">IF($C130-H$1&lt;År1,0,G129*(1-VLOOKUP($A130,[1]Hugst!$R$5:$W$9,MATCH(ROUNDUP((H$1)/10,0)*10,[1]Hugst!$R$4:$W$4,0))))</f>
        <v>600.94718152096243</v>
      </c>
      <c r="I130">
        <f ca="1">IF($C130-I$1&lt;År1,0,H129*(1-VLOOKUP($A130,[1]Hugst!$R$5:$W$9,MATCH(ROUNDUP((I$1)/10,0)*10,[1]Hugst!$R$4:$W$4,0))))</f>
        <v>601.48829301972796</v>
      </c>
      <c r="J130">
        <f ca="1">IF($C130-J$1&lt;År1,0,I129*(1-VLOOKUP($A130,[1]Hugst!$R$5:$W$9,MATCH(ROUNDUP((J$1)/10,0)*10,[1]Hugst!$R$4:$W$4,0))))</f>
        <v>602.03212367175934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25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106.07403306011406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599.34002632610714</v>
      </c>
      <c r="G131">
        <f ca="1">IF($C131-G$1&lt;År1,0,F130*(1-VLOOKUP($A131,[1]Hugst!$R$5:$W$9,MATCH(ROUNDUP((G$1)/10,0)*10,[1]Hugst!$R$4:$W$4,0))))</f>
        <v>599.87306166811823</v>
      </c>
      <c r="H131">
        <f ca="1">IF($C131-H$1&lt;År1,0,G130*(1-VLOOKUP($A131,[1]Hugst!$R$5:$W$9,MATCH(ROUNDUP((H$1)/10,0)*10,[1]Hugst!$R$4:$W$4,0))))</f>
        <v>600.40877557968702</v>
      </c>
      <c r="I131">
        <f ca="1">IF($C131-I$1&lt;År1,0,H130*(1-VLOOKUP($A131,[1]Hugst!$R$5:$W$9,MATCH(ROUNDUP((I$1)/10,0)*10,[1]Hugst!$R$4:$W$4,0))))</f>
        <v>600.94718152096243</v>
      </c>
      <c r="J131">
        <f ca="1">IF($C131-J$1&lt;År1,0,I130*(1-VLOOKUP($A131,[1]Hugst!$R$5:$W$9,MATCH(ROUNDUP((J$1)/10,0)*10,[1]Hugst!$R$4:$W$4,0))))</f>
        <v>601.48829301972796</v>
      </c>
      <c r="K131">
        <f ca="1">IF($C131-K$1&lt;År1,0,J130*(1-VLOOKUP($A131,[1]Hugst!$R$5:$W$9,MATCH(ROUNDUP((K$1)/10,0)*10,[1]Hugst!$R$4:$W$4,0))))</f>
        <v>602.03212367175934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25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105.54366289481402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598.80965616080709</v>
      </c>
      <c r="G132">
        <f ca="1">IF($C132-G$1&lt;År1,0,F131*(1-VLOOKUP($A132,[1]Hugst!$R$5:$W$9,MATCH(ROUNDUP((G$1)/10,0)*10,[1]Hugst!$R$4:$W$4,0))))</f>
        <v>599.34002632610714</v>
      </c>
      <c r="H132">
        <f ca="1">IF($C132-H$1&lt;År1,0,G131*(1-VLOOKUP($A132,[1]Hugst!$R$5:$W$9,MATCH(ROUNDUP((H$1)/10,0)*10,[1]Hugst!$R$4:$W$4,0))))</f>
        <v>599.87306166811823</v>
      </c>
      <c r="I132">
        <f ca="1">IF($C132-I$1&lt;År1,0,H131*(1-VLOOKUP($A132,[1]Hugst!$R$5:$W$9,MATCH(ROUNDUP((I$1)/10,0)*10,[1]Hugst!$R$4:$W$4,0))))</f>
        <v>600.40877557968702</v>
      </c>
      <c r="J132">
        <f ca="1">IF($C132-J$1&lt;År1,0,I131*(1-VLOOKUP($A132,[1]Hugst!$R$5:$W$9,MATCH(ROUNDUP((J$1)/10,0)*10,[1]Hugst!$R$4:$W$4,0))))</f>
        <v>600.94718152096243</v>
      </c>
      <c r="K132">
        <f ca="1">IF($C132-K$1&lt;År1,0,J131*(1-VLOOKUP($A132,[1]Hugst!$R$5:$W$9,MATCH(ROUNDUP((K$1)/10,0)*10,[1]Hugst!$R$4:$W$4,0))))</f>
        <v>601.48829301972796</v>
      </c>
      <c r="L132">
        <f ca="1">IF($C132-L$1&lt;År1,0,K131*(1-VLOOKUP($A132,[1]Hugst!$R$5:$W$9,MATCH(ROUNDUP((L$1)/10,0)*10,[1]Hugst!$R$4:$W$4,0))))</f>
        <v>602.03212367175934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25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105.01594458034094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598.28193784633402</v>
      </c>
      <c r="G133">
        <f ca="1">IF($C133-G$1&lt;År1,0,F132*(1-VLOOKUP($A133,[1]Hugst!$R$5:$W$9,MATCH(ROUNDUP((G$1)/10,0)*10,[1]Hugst!$R$4:$W$4,0))))</f>
        <v>598.80965616080709</v>
      </c>
      <c r="H133">
        <f ca="1">IF($C133-H$1&lt;År1,0,G132*(1-VLOOKUP($A133,[1]Hugst!$R$5:$W$9,MATCH(ROUNDUP((H$1)/10,0)*10,[1]Hugst!$R$4:$W$4,0))))</f>
        <v>599.34002632610714</v>
      </c>
      <c r="I133">
        <f ca="1">IF($C133-I$1&lt;År1,0,H132*(1-VLOOKUP($A133,[1]Hugst!$R$5:$W$9,MATCH(ROUNDUP((I$1)/10,0)*10,[1]Hugst!$R$4:$W$4,0))))</f>
        <v>599.87306166811823</v>
      </c>
      <c r="J133">
        <f ca="1">IF($C133-J$1&lt;År1,0,I132*(1-VLOOKUP($A133,[1]Hugst!$R$5:$W$9,MATCH(ROUNDUP((J$1)/10,0)*10,[1]Hugst!$R$4:$W$4,0))))</f>
        <v>600.40877557968702</v>
      </c>
      <c r="K133">
        <f ca="1">IF($C133-K$1&lt;År1,0,J132*(1-VLOOKUP($A133,[1]Hugst!$R$5:$W$9,MATCH(ROUNDUP((K$1)/10,0)*10,[1]Hugst!$R$4:$W$4,0))))</f>
        <v>600.94718152096243</v>
      </c>
      <c r="L133">
        <f ca="1">IF($C133-L$1&lt;År1,0,K132*(1-VLOOKUP($A133,[1]Hugst!$R$5:$W$9,MATCH(ROUNDUP((L$1)/10,0)*10,[1]Hugst!$R$4:$W$4,0))))</f>
        <v>601.48829301972796</v>
      </c>
      <c r="M133">
        <f ca="1">IF($C133-M$1&lt;År1,0,L132*(1-VLOOKUP($A133,[1]Hugst!$R$5:$W$9,MATCH(ROUNDUP((M$1)/10,0)*10,[1]Hugst!$R$4:$W$4,0))))</f>
        <v>602.03212367175934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25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104.49086485744044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597.75685812343352</v>
      </c>
      <c r="G134">
        <f ca="1">IF($C134-G$1&lt;År1,0,F133*(1-VLOOKUP($A134,[1]Hugst!$R$5:$W$9,MATCH(ROUNDUP((G$1)/10,0)*10,[1]Hugst!$R$4:$W$4,0))))</f>
        <v>598.28193784633402</v>
      </c>
      <c r="H134">
        <f ca="1">IF($C134-H$1&lt;År1,0,G133*(1-VLOOKUP($A134,[1]Hugst!$R$5:$W$9,MATCH(ROUNDUP((H$1)/10,0)*10,[1]Hugst!$R$4:$W$4,0))))</f>
        <v>598.80965616080709</v>
      </c>
      <c r="I134">
        <f ca="1">IF($C134-I$1&lt;År1,0,H133*(1-VLOOKUP($A134,[1]Hugst!$R$5:$W$9,MATCH(ROUNDUP((I$1)/10,0)*10,[1]Hugst!$R$4:$W$4,0))))</f>
        <v>599.34002632610714</v>
      </c>
      <c r="J134">
        <f ca="1">IF($C134-J$1&lt;År1,0,I133*(1-VLOOKUP($A134,[1]Hugst!$R$5:$W$9,MATCH(ROUNDUP((J$1)/10,0)*10,[1]Hugst!$R$4:$W$4,0))))</f>
        <v>599.87306166811823</v>
      </c>
      <c r="K134">
        <f ca="1">IF($C134-K$1&lt;År1,0,J133*(1-VLOOKUP($A134,[1]Hugst!$R$5:$W$9,MATCH(ROUNDUP((K$1)/10,0)*10,[1]Hugst!$R$4:$W$4,0))))</f>
        <v>600.40877557968702</v>
      </c>
      <c r="L134">
        <f ca="1">IF($C134-L$1&lt;År1,0,K133*(1-VLOOKUP($A134,[1]Hugst!$R$5:$W$9,MATCH(ROUNDUP((L$1)/10,0)*10,[1]Hugst!$R$4:$W$4,0))))</f>
        <v>600.94718152096243</v>
      </c>
      <c r="M134">
        <f ca="1">IF($C134-M$1&lt;År1,0,L133*(1-VLOOKUP($A134,[1]Hugst!$R$5:$W$9,MATCH(ROUNDUP((M$1)/10,0)*10,[1]Hugst!$R$4:$W$4,0))))</f>
        <v>601.48829301972796</v>
      </c>
      <c r="N134">
        <f ca="1">IF($C134-N$1&lt;År1,0,M133*(1-VLOOKUP($A134,[1]Hugst!$R$5:$W$9,MATCH(ROUNDUP((N$1)/10,0)*10,[1]Hugst!$R$4:$W$4,0))))</f>
        <v>602.03212367175934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25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103.96841053314847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597.23440379914155</v>
      </c>
      <c r="G135">
        <f ca="1">IF($C135-G$1&lt;År1,0,F134*(1-VLOOKUP($A135,[1]Hugst!$R$5:$W$9,MATCH(ROUNDUP((G$1)/10,0)*10,[1]Hugst!$R$4:$W$4,0))))</f>
        <v>597.75685812343352</v>
      </c>
      <c r="H135">
        <f ca="1">IF($C135-H$1&lt;År1,0,G134*(1-VLOOKUP($A135,[1]Hugst!$R$5:$W$9,MATCH(ROUNDUP((H$1)/10,0)*10,[1]Hugst!$R$4:$W$4,0))))</f>
        <v>598.28193784633402</v>
      </c>
      <c r="I135">
        <f ca="1">IF($C135-I$1&lt;År1,0,H134*(1-VLOOKUP($A135,[1]Hugst!$R$5:$W$9,MATCH(ROUNDUP((I$1)/10,0)*10,[1]Hugst!$R$4:$W$4,0))))</f>
        <v>598.80965616080709</v>
      </c>
      <c r="J135">
        <f ca="1">IF($C135-J$1&lt;År1,0,I134*(1-VLOOKUP($A135,[1]Hugst!$R$5:$W$9,MATCH(ROUNDUP((J$1)/10,0)*10,[1]Hugst!$R$4:$W$4,0))))</f>
        <v>599.34002632610714</v>
      </c>
      <c r="K135">
        <f ca="1">IF($C135-K$1&lt;År1,0,J134*(1-VLOOKUP($A135,[1]Hugst!$R$5:$W$9,MATCH(ROUNDUP((K$1)/10,0)*10,[1]Hugst!$R$4:$W$4,0))))</f>
        <v>599.87306166811823</v>
      </c>
      <c r="L135">
        <f ca="1">IF($C135-L$1&lt;År1,0,K134*(1-VLOOKUP($A135,[1]Hugst!$R$5:$W$9,MATCH(ROUNDUP((L$1)/10,0)*10,[1]Hugst!$R$4:$W$4,0))))</f>
        <v>600.40877557968702</v>
      </c>
      <c r="M135">
        <f ca="1">IF($C135-M$1&lt;År1,0,L134*(1-VLOOKUP($A135,[1]Hugst!$R$5:$W$9,MATCH(ROUNDUP((M$1)/10,0)*10,[1]Hugst!$R$4:$W$4,0))))</f>
        <v>600.94718152096243</v>
      </c>
      <c r="N135">
        <f ca="1">IF($C135-N$1&lt;År1,0,M134*(1-VLOOKUP($A135,[1]Hugst!$R$5:$W$9,MATCH(ROUNDUP((N$1)/10,0)*10,[1]Hugst!$R$4:$W$4,0))))</f>
        <v>601.48829301972796</v>
      </c>
      <c r="O135">
        <f ca="1">IF($C135-O$1&lt;År1,0,N134*(1-VLOOKUP($A135,[1]Hugst!$R$5:$W$9,MATCH(ROUNDUP((O$1)/10,0)*10,[1]Hugst!$R$4:$W$4,0))))</f>
        <v>602.03212367175934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25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103.44856848048812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596.71456174648119</v>
      </c>
      <c r="G136">
        <f ca="1">IF($C136-G$1&lt;År1,0,F135*(1-VLOOKUP($A136,[1]Hugst!$R$5:$W$9,MATCH(ROUNDUP((G$1)/10,0)*10,[1]Hugst!$R$4:$W$4,0))))</f>
        <v>597.23440379914155</v>
      </c>
      <c r="H136">
        <f ca="1">IF($C136-H$1&lt;År1,0,G135*(1-VLOOKUP($A136,[1]Hugst!$R$5:$W$9,MATCH(ROUNDUP((H$1)/10,0)*10,[1]Hugst!$R$4:$W$4,0))))</f>
        <v>597.75685812343352</v>
      </c>
      <c r="I136">
        <f ca="1">IF($C136-I$1&lt;År1,0,H135*(1-VLOOKUP($A136,[1]Hugst!$R$5:$W$9,MATCH(ROUNDUP((I$1)/10,0)*10,[1]Hugst!$R$4:$W$4,0))))</f>
        <v>598.28193784633402</v>
      </c>
      <c r="J136">
        <f ca="1">IF($C136-J$1&lt;År1,0,I135*(1-VLOOKUP($A136,[1]Hugst!$R$5:$W$9,MATCH(ROUNDUP((J$1)/10,0)*10,[1]Hugst!$R$4:$W$4,0))))</f>
        <v>598.80965616080709</v>
      </c>
      <c r="K136">
        <f ca="1">IF($C136-K$1&lt;År1,0,J135*(1-VLOOKUP($A136,[1]Hugst!$R$5:$W$9,MATCH(ROUNDUP((K$1)/10,0)*10,[1]Hugst!$R$4:$W$4,0))))</f>
        <v>599.34002632610714</v>
      </c>
      <c r="L136">
        <f ca="1">IF($C136-L$1&lt;År1,0,K135*(1-VLOOKUP($A136,[1]Hugst!$R$5:$W$9,MATCH(ROUNDUP((L$1)/10,0)*10,[1]Hugst!$R$4:$W$4,0))))</f>
        <v>599.87306166811823</v>
      </c>
      <c r="M136">
        <f ca="1">IF($C136-M$1&lt;År1,0,L135*(1-VLOOKUP($A136,[1]Hugst!$R$5:$W$9,MATCH(ROUNDUP((M$1)/10,0)*10,[1]Hugst!$R$4:$W$4,0))))</f>
        <v>600.40877557968702</v>
      </c>
      <c r="N136">
        <f ca="1">IF($C136-N$1&lt;År1,0,M135*(1-VLOOKUP($A136,[1]Hugst!$R$5:$W$9,MATCH(ROUNDUP((N$1)/10,0)*10,[1]Hugst!$R$4:$W$4,0))))</f>
        <v>600.94718152096243</v>
      </c>
      <c r="O136">
        <f ca="1">IF($C136-O$1&lt;År1,0,N135*(1-VLOOKUP($A136,[1]Hugst!$R$5:$W$9,MATCH(ROUNDUP((O$1)/10,0)*10,[1]Hugst!$R$4:$W$4,0))))</f>
        <v>601.48829301972796</v>
      </c>
      <c r="P136">
        <f ca="1">IF($C136-P$1&lt;År1,0,O135*(1-VLOOKUP($A136,[1]Hugst!$R$5:$W$9,MATCH(ROUNDUP((P$1)/10,0)*10,[1]Hugst!$R$4:$W$4,0))))</f>
        <v>602.03212367175934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25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102.93132563807899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374.22762193437535</v>
      </c>
      <c r="G137">
        <f ca="1">IF($C137-G$1&lt;År1,0,F136*(1-VLOOKUP($A137,[1]Hugst!$R$5:$W$9,MATCH(ROUNDUP((G$1)/10,0)*10,[1]Hugst!$R$4:$W$4,0))))</f>
        <v>596.71456174648119</v>
      </c>
      <c r="H137">
        <f ca="1">IF($C137-H$1&lt;År1,0,G136*(1-VLOOKUP($A137,[1]Hugst!$R$5:$W$9,MATCH(ROUNDUP((H$1)/10,0)*10,[1]Hugst!$R$4:$W$4,0))))</f>
        <v>597.23440379914155</v>
      </c>
      <c r="I137">
        <f ca="1">IF($C137-I$1&lt;År1,0,H136*(1-VLOOKUP($A137,[1]Hugst!$R$5:$W$9,MATCH(ROUNDUP((I$1)/10,0)*10,[1]Hugst!$R$4:$W$4,0))))</f>
        <v>597.75685812343352</v>
      </c>
      <c r="J137">
        <f ca="1">IF($C137-J$1&lt;År1,0,I136*(1-VLOOKUP($A137,[1]Hugst!$R$5:$W$9,MATCH(ROUNDUP((J$1)/10,0)*10,[1]Hugst!$R$4:$W$4,0))))</f>
        <v>598.28193784633402</v>
      </c>
      <c r="K137">
        <f ca="1">IF($C137-K$1&lt;År1,0,J136*(1-VLOOKUP($A137,[1]Hugst!$R$5:$W$9,MATCH(ROUNDUP((K$1)/10,0)*10,[1]Hugst!$R$4:$W$4,0))))</f>
        <v>598.80965616080709</v>
      </c>
      <c r="L137">
        <f ca="1">IF($C137-L$1&lt;År1,0,K136*(1-VLOOKUP($A137,[1]Hugst!$R$5:$W$9,MATCH(ROUNDUP((L$1)/10,0)*10,[1]Hugst!$R$4:$W$4,0))))</f>
        <v>599.34002632610714</v>
      </c>
      <c r="M137">
        <f ca="1">IF($C137-M$1&lt;År1,0,L136*(1-VLOOKUP($A137,[1]Hugst!$R$5:$W$9,MATCH(ROUNDUP((M$1)/10,0)*10,[1]Hugst!$R$4:$W$4,0))))</f>
        <v>599.87306166811823</v>
      </c>
      <c r="N137">
        <f ca="1">IF($C137-N$1&lt;År1,0,M136*(1-VLOOKUP($A137,[1]Hugst!$R$5:$W$9,MATCH(ROUNDUP((N$1)/10,0)*10,[1]Hugst!$R$4:$W$4,0))))</f>
        <v>600.40877557968702</v>
      </c>
      <c r="O137">
        <f ca="1">IF($C137-O$1&lt;År1,0,N136*(1-VLOOKUP($A137,[1]Hugst!$R$5:$W$9,MATCH(ROUNDUP((O$1)/10,0)*10,[1]Hugst!$R$4:$W$4,0))))</f>
        <v>600.94718152096243</v>
      </c>
      <c r="P137">
        <f ca="1">IF($C137-P$1&lt;År1,0,O136*(1-VLOOKUP($A137,[1]Hugst!$R$5:$W$9,MATCH(ROUNDUP((P$1)/10,0)*10,[1]Hugst!$R$4:$W$4,0))))</f>
        <v>601.48829301972796</v>
      </c>
      <c r="Q137">
        <f ca="1">IF($C137-Q$1&lt;År1,0,P136*(1-VLOOKUP($A137,[1]Hugst!$R$5:$W$9,MATCH(ROUNDUP((Q$1)/10,0)*10,[1]Hugst!$R$4:$W$4,0))))</f>
        <v>602.03212367175934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25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102.41666900989367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373.71296530619003</v>
      </c>
      <c r="G138">
        <f ca="1">IF($C138-G$1&lt;År1,0,F137*(1-VLOOKUP($A138,[1]Hugst!$R$5:$W$9,MATCH(ROUNDUP((G$1)/10,0)*10,[1]Hugst!$R$4:$W$4,0))))</f>
        <v>374.22762193437535</v>
      </c>
      <c r="H138">
        <f ca="1">IF($C138-H$1&lt;År1,0,G137*(1-VLOOKUP($A138,[1]Hugst!$R$5:$W$9,MATCH(ROUNDUP((H$1)/10,0)*10,[1]Hugst!$R$4:$W$4,0))))</f>
        <v>596.71456174648119</v>
      </c>
      <c r="I138">
        <f ca="1">IF($C138-I$1&lt;År1,0,H137*(1-VLOOKUP($A138,[1]Hugst!$R$5:$W$9,MATCH(ROUNDUP((I$1)/10,0)*10,[1]Hugst!$R$4:$W$4,0))))</f>
        <v>597.23440379914155</v>
      </c>
      <c r="J138">
        <f ca="1">IF($C138-J$1&lt;År1,0,I137*(1-VLOOKUP($A138,[1]Hugst!$R$5:$W$9,MATCH(ROUNDUP((J$1)/10,0)*10,[1]Hugst!$R$4:$W$4,0))))</f>
        <v>597.75685812343352</v>
      </c>
      <c r="K138">
        <f ca="1">IF($C138-K$1&lt;År1,0,J137*(1-VLOOKUP($A138,[1]Hugst!$R$5:$W$9,MATCH(ROUNDUP((K$1)/10,0)*10,[1]Hugst!$R$4:$W$4,0))))</f>
        <v>598.28193784633402</v>
      </c>
      <c r="L138">
        <f ca="1">IF($C138-L$1&lt;År1,0,K137*(1-VLOOKUP($A138,[1]Hugst!$R$5:$W$9,MATCH(ROUNDUP((L$1)/10,0)*10,[1]Hugst!$R$4:$W$4,0))))</f>
        <v>598.80965616080709</v>
      </c>
      <c r="M138">
        <f ca="1">IF($C138-M$1&lt;År1,0,L137*(1-VLOOKUP($A138,[1]Hugst!$R$5:$W$9,MATCH(ROUNDUP((M$1)/10,0)*10,[1]Hugst!$R$4:$W$4,0))))</f>
        <v>599.34002632610714</v>
      </c>
      <c r="N138">
        <f ca="1">IF($C138-N$1&lt;År1,0,M137*(1-VLOOKUP($A138,[1]Hugst!$R$5:$W$9,MATCH(ROUNDUP((N$1)/10,0)*10,[1]Hugst!$R$4:$W$4,0))))</f>
        <v>599.87306166811823</v>
      </c>
      <c r="O138">
        <f ca="1">IF($C138-O$1&lt;År1,0,N137*(1-VLOOKUP($A138,[1]Hugst!$R$5:$W$9,MATCH(ROUNDUP((O$1)/10,0)*10,[1]Hugst!$R$4:$W$4,0))))</f>
        <v>600.40877557968702</v>
      </c>
      <c r="P138">
        <f ca="1">IF($C138-P$1&lt;År1,0,O137*(1-VLOOKUP($A138,[1]Hugst!$R$5:$W$9,MATCH(ROUNDUP((P$1)/10,0)*10,[1]Hugst!$R$4:$W$4,0))))</f>
        <v>600.94718152096243</v>
      </c>
      <c r="Q138">
        <f ca="1">IF($C138-Q$1&lt;År1,0,P137*(1-VLOOKUP($A138,[1]Hugst!$R$5:$W$9,MATCH(ROUNDUP((Q$1)/10,0)*10,[1]Hugst!$R$4:$W$4,0))))</f>
        <v>601.48829301972796</v>
      </c>
      <c r="R138">
        <f ca="1">IF($C138-R$1&lt;År1,0,Q137*(1-VLOOKUP($A138,[1]Hugst!$R$5:$W$9,MATCH(ROUNDUP((R$1)/10,0)*10,[1]Hugst!$R$4:$W$4,0))))</f>
        <v>602.03212367175934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25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101.90458566484153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373.2008819611379</v>
      </c>
      <c r="G139">
        <f ca="1">IF($C139-G$1&lt;År1,0,F138*(1-VLOOKUP($A139,[1]Hugst!$R$5:$W$9,MATCH(ROUNDUP((G$1)/10,0)*10,[1]Hugst!$R$4:$W$4,0))))</f>
        <v>373.71296530619003</v>
      </c>
      <c r="H139">
        <f ca="1">IF($C139-H$1&lt;År1,0,G138*(1-VLOOKUP($A139,[1]Hugst!$R$5:$W$9,MATCH(ROUNDUP((H$1)/10,0)*10,[1]Hugst!$R$4:$W$4,0))))</f>
        <v>374.22762193437535</v>
      </c>
      <c r="I139">
        <f ca="1">IF($C139-I$1&lt;År1,0,H138*(1-VLOOKUP($A139,[1]Hugst!$R$5:$W$9,MATCH(ROUNDUP((I$1)/10,0)*10,[1]Hugst!$R$4:$W$4,0))))</f>
        <v>596.71456174648119</v>
      </c>
      <c r="J139">
        <f ca="1">IF($C139-J$1&lt;År1,0,I138*(1-VLOOKUP($A139,[1]Hugst!$R$5:$W$9,MATCH(ROUNDUP((J$1)/10,0)*10,[1]Hugst!$R$4:$W$4,0))))</f>
        <v>597.23440379914155</v>
      </c>
      <c r="K139">
        <f ca="1">IF($C139-K$1&lt;År1,0,J138*(1-VLOOKUP($A139,[1]Hugst!$R$5:$W$9,MATCH(ROUNDUP((K$1)/10,0)*10,[1]Hugst!$R$4:$W$4,0))))</f>
        <v>597.75685812343352</v>
      </c>
      <c r="L139">
        <f ca="1">IF($C139-L$1&lt;År1,0,K138*(1-VLOOKUP($A139,[1]Hugst!$R$5:$W$9,MATCH(ROUNDUP((L$1)/10,0)*10,[1]Hugst!$R$4:$W$4,0))))</f>
        <v>598.28193784633402</v>
      </c>
      <c r="M139">
        <f ca="1">IF($C139-M$1&lt;År1,0,L138*(1-VLOOKUP($A139,[1]Hugst!$R$5:$W$9,MATCH(ROUNDUP((M$1)/10,0)*10,[1]Hugst!$R$4:$W$4,0))))</f>
        <v>598.80965616080709</v>
      </c>
      <c r="N139">
        <f ca="1">IF($C139-N$1&lt;År1,0,M138*(1-VLOOKUP($A139,[1]Hugst!$R$5:$W$9,MATCH(ROUNDUP((N$1)/10,0)*10,[1]Hugst!$R$4:$W$4,0))))</f>
        <v>599.34002632610714</v>
      </c>
      <c r="O139">
        <f ca="1">IF($C139-O$1&lt;År1,0,N138*(1-VLOOKUP($A139,[1]Hugst!$R$5:$W$9,MATCH(ROUNDUP((O$1)/10,0)*10,[1]Hugst!$R$4:$W$4,0))))</f>
        <v>599.87306166811823</v>
      </c>
      <c r="P139">
        <f ca="1">IF($C139-P$1&lt;År1,0,O138*(1-VLOOKUP($A139,[1]Hugst!$R$5:$W$9,MATCH(ROUNDUP((P$1)/10,0)*10,[1]Hugst!$R$4:$W$4,0))))</f>
        <v>600.40877557968702</v>
      </c>
      <c r="Q139">
        <f ca="1">IF($C139-Q$1&lt;År1,0,P138*(1-VLOOKUP($A139,[1]Hugst!$R$5:$W$9,MATCH(ROUNDUP((Q$1)/10,0)*10,[1]Hugst!$R$4:$W$4,0))))</f>
        <v>600.94718152096243</v>
      </c>
      <c r="R139">
        <f ca="1">IF($C139-R$1&lt;År1,0,Q138*(1-VLOOKUP($A139,[1]Hugst!$R$5:$W$9,MATCH(ROUNDUP((R$1)/10,0)*10,[1]Hugst!$R$4:$W$4,0))))</f>
        <v>601.48829301972796</v>
      </c>
      <c r="S139">
        <f ca="1">IF($C139-S$1&lt;År1,0,R138*(1-VLOOKUP($A139,[1]Hugst!$R$5:$W$9,MATCH(ROUNDUP((S$1)/10,0)*10,[1]Hugst!$R$4:$W$4,0))))</f>
        <v>602.03212367175934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25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101.39506273651773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372.69135903281409</v>
      </c>
      <c r="G140">
        <f ca="1">IF($C140-G$1&lt;År1,0,F139*(1-VLOOKUP($A140,[1]Hugst!$R$5:$W$9,MATCH(ROUNDUP((G$1)/10,0)*10,[1]Hugst!$R$4:$W$4,0))))</f>
        <v>373.2008819611379</v>
      </c>
      <c r="H140">
        <f ca="1">IF($C140-H$1&lt;År1,0,G139*(1-VLOOKUP($A140,[1]Hugst!$R$5:$W$9,MATCH(ROUNDUP((H$1)/10,0)*10,[1]Hugst!$R$4:$W$4,0))))</f>
        <v>373.71296530619003</v>
      </c>
      <c r="I140">
        <f ca="1">IF($C140-I$1&lt;År1,0,H139*(1-VLOOKUP($A140,[1]Hugst!$R$5:$W$9,MATCH(ROUNDUP((I$1)/10,0)*10,[1]Hugst!$R$4:$W$4,0))))</f>
        <v>374.22762193437535</v>
      </c>
      <c r="J140">
        <f ca="1">IF($C140-J$1&lt;År1,0,I139*(1-VLOOKUP($A140,[1]Hugst!$R$5:$W$9,MATCH(ROUNDUP((J$1)/10,0)*10,[1]Hugst!$R$4:$W$4,0))))</f>
        <v>596.71456174648119</v>
      </c>
      <c r="K140">
        <f ca="1">IF($C140-K$1&lt;År1,0,J139*(1-VLOOKUP($A140,[1]Hugst!$R$5:$W$9,MATCH(ROUNDUP((K$1)/10,0)*10,[1]Hugst!$R$4:$W$4,0))))</f>
        <v>597.23440379914155</v>
      </c>
      <c r="L140">
        <f ca="1">IF($C140-L$1&lt;År1,0,K139*(1-VLOOKUP($A140,[1]Hugst!$R$5:$W$9,MATCH(ROUNDUP((L$1)/10,0)*10,[1]Hugst!$R$4:$W$4,0))))</f>
        <v>597.75685812343352</v>
      </c>
      <c r="M140">
        <f ca="1">IF($C140-M$1&lt;År1,0,L139*(1-VLOOKUP($A140,[1]Hugst!$R$5:$W$9,MATCH(ROUNDUP((M$1)/10,0)*10,[1]Hugst!$R$4:$W$4,0))))</f>
        <v>598.28193784633402</v>
      </c>
      <c r="N140">
        <f ca="1">IF($C140-N$1&lt;År1,0,M139*(1-VLOOKUP($A140,[1]Hugst!$R$5:$W$9,MATCH(ROUNDUP((N$1)/10,0)*10,[1]Hugst!$R$4:$W$4,0))))</f>
        <v>598.80965616080709</v>
      </c>
      <c r="O140">
        <f ca="1">IF($C140-O$1&lt;År1,0,N139*(1-VLOOKUP($A140,[1]Hugst!$R$5:$W$9,MATCH(ROUNDUP((O$1)/10,0)*10,[1]Hugst!$R$4:$W$4,0))))</f>
        <v>599.34002632610714</v>
      </c>
      <c r="P140">
        <f ca="1">IF($C140-P$1&lt;År1,0,O139*(1-VLOOKUP($A140,[1]Hugst!$R$5:$W$9,MATCH(ROUNDUP((P$1)/10,0)*10,[1]Hugst!$R$4:$W$4,0))))</f>
        <v>599.87306166811823</v>
      </c>
      <c r="Q140">
        <f ca="1">IF($C140-Q$1&lt;År1,0,P139*(1-VLOOKUP($A140,[1]Hugst!$R$5:$W$9,MATCH(ROUNDUP((Q$1)/10,0)*10,[1]Hugst!$R$4:$W$4,0))))</f>
        <v>600.40877557968702</v>
      </c>
      <c r="R140">
        <f ca="1">IF($C140-R$1&lt;År1,0,Q139*(1-VLOOKUP($A140,[1]Hugst!$R$5:$W$9,MATCH(ROUNDUP((R$1)/10,0)*10,[1]Hugst!$R$4:$W$4,0))))</f>
        <v>600.94718152096243</v>
      </c>
      <c r="S140">
        <f ca="1">IF($C140-S$1&lt;År1,0,R139*(1-VLOOKUP($A140,[1]Hugst!$R$5:$W$9,MATCH(ROUNDUP((S$1)/10,0)*10,[1]Hugst!$R$4:$W$4,0))))</f>
        <v>601.48829301972796</v>
      </c>
      <c r="T140">
        <f ca="1">IF($C140-T$1&lt;År1,0,S139*(1-VLOOKUP($A140,[1]Hugst!$R$5:$W$9,MATCH(ROUNDUP((T$1)/10,0)*10,[1]Hugst!$R$4:$W$4,0))))</f>
        <v>602.03212367175934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25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100.88808742283732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372.18438371913368</v>
      </c>
      <c r="G141">
        <f ca="1">IF($C141-G$1&lt;År1,0,F140*(1-VLOOKUP($A141,[1]Hugst!$R$5:$W$9,MATCH(ROUNDUP((G$1)/10,0)*10,[1]Hugst!$R$4:$W$4,0))))</f>
        <v>372.69135903281409</v>
      </c>
      <c r="H141">
        <f ca="1">IF($C141-H$1&lt;År1,0,G140*(1-VLOOKUP($A141,[1]Hugst!$R$5:$W$9,MATCH(ROUNDUP((H$1)/10,0)*10,[1]Hugst!$R$4:$W$4,0))))</f>
        <v>373.2008819611379</v>
      </c>
      <c r="I141">
        <f ca="1">IF($C141-I$1&lt;År1,0,H140*(1-VLOOKUP($A141,[1]Hugst!$R$5:$W$9,MATCH(ROUNDUP((I$1)/10,0)*10,[1]Hugst!$R$4:$W$4,0))))</f>
        <v>373.71296530619003</v>
      </c>
      <c r="J141">
        <f ca="1">IF($C141-J$1&lt;År1,0,I140*(1-VLOOKUP($A141,[1]Hugst!$R$5:$W$9,MATCH(ROUNDUP((J$1)/10,0)*10,[1]Hugst!$R$4:$W$4,0))))</f>
        <v>374.22762193437535</v>
      </c>
      <c r="K141">
        <f ca="1">IF($C141-K$1&lt;År1,0,J140*(1-VLOOKUP($A141,[1]Hugst!$R$5:$W$9,MATCH(ROUNDUP((K$1)/10,0)*10,[1]Hugst!$R$4:$W$4,0))))</f>
        <v>596.71456174648119</v>
      </c>
      <c r="L141">
        <f ca="1">IF($C141-L$1&lt;År1,0,K140*(1-VLOOKUP($A141,[1]Hugst!$R$5:$W$9,MATCH(ROUNDUP((L$1)/10,0)*10,[1]Hugst!$R$4:$W$4,0))))</f>
        <v>597.23440379914155</v>
      </c>
      <c r="M141">
        <f ca="1">IF($C141-M$1&lt;År1,0,L140*(1-VLOOKUP($A141,[1]Hugst!$R$5:$W$9,MATCH(ROUNDUP((M$1)/10,0)*10,[1]Hugst!$R$4:$W$4,0))))</f>
        <v>597.75685812343352</v>
      </c>
      <c r="N141">
        <f ca="1">IF($C141-N$1&lt;År1,0,M140*(1-VLOOKUP($A141,[1]Hugst!$R$5:$W$9,MATCH(ROUNDUP((N$1)/10,0)*10,[1]Hugst!$R$4:$W$4,0))))</f>
        <v>598.28193784633402</v>
      </c>
      <c r="O141">
        <f ca="1">IF($C141-O$1&lt;År1,0,N140*(1-VLOOKUP($A141,[1]Hugst!$R$5:$W$9,MATCH(ROUNDUP((O$1)/10,0)*10,[1]Hugst!$R$4:$W$4,0))))</f>
        <v>598.80965616080709</v>
      </c>
      <c r="P141">
        <f ca="1">IF($C141-P$1&lt;År1,0,O140*(1-VLOOKUP($A141,[1]Hugst!$R$5:$W$9,MATCH(ROUNDUP((P$1)/10,0)*10,[1]Hugst!$R$4:$W$4,0))))</f>
        <v>599.34002632610714</v>
      </c>
      <c r="Q141">
        <f ca="1">IF($C141-Q$1&lt;År1,0,P140*(1-VLOOKUP($A141,[1]Hugst!$R$5:$W$9,MATCH(ROUNDUP((Q$1)/10,0)*10,[1]Hugst!$R$4:$W$4,0))))</f>
        <v>599.87306166811823</v>
      </c>
      <c r="R141">
        <f ca="1">IF($C141-R$1&lt;År1,0,Q140*(1-VLOOKUP($A141,[1]Hugst!$R$5:$W$9,MATCH(ROUNDUP((R$1)/10,0)*10,[1]Hugst!$R$4:$W$4,0))))</f>
        <v>600.40877557968702</v>
      </c>
      <c r="S141">
        <f ca="1">IF($C141-S$1&lt;År1,0,R140*(1-VLOOKUP($A141,[1]Hugst!$R$5:$W$9,MATCH(ROUNDUP((S$1)/10,0)*10,[1]Hugst!$R$4:$W$4,0))))</f>
        <v>600.94718152096243</v>
      </c>
      <c r="T141">
        <f ca="1">IF($C141-T$1&lt;År1,0,S140*(1-VLOOKUP($A141,[1]Hugst!$R$5:$W$9,MATCH(ROUNDUP((T$1)/10,0)*10,[1]Hugst!$R$4:$W$4,0))))</f>
        <v>601.48829301972796</v>
      </c>
      <c r="U141">
        <f ca="1">IF($C141-U$1&lt;År1,0,T140*(1-VLOOKUP($A141,[1]Hugst!$R$5:$W$9,MATCH(ROUNDUP((U$1)/10,0)*10,[1]Hugst!$R$4:$W$4,0))))</f>
        <v>602.03212367175934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25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100.38364698572263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371.679943282019</v>
      </c>
      <c r="G142">
        <f ca="1">IF($C142-G$1&lt;År1,0,F141*(1-VLOOKUP($A142,[1]Hugst!$R$5:$W$9,MATCH(ROUNDUP((G$1)/10,0)*10,[1]Hugst!$R$4:$W$4,0))))</f>
        <v>372.18438371913368</v>
      </c>
      <c r="H142">
        <f ca="1">IF($C142-H$1&lt;År1,0,G141*(1-VLOOKUP($A142,[1]Hugst!$R$5:$W$9,MATCH(ROUNDUP((H$1)/10,0)*10,[1]Hugst!$R$4:$W$4,0))))</f>
        <v>372.69135903281409</v>
      </c>
      <c r="I142">
        <f ca="1">IF($C142-I$1&lt;År1,0,H141*(1-VLOOKUP($A142,[1]Hugst!$R$5:$W$9,MATCH(ROUNDUP((I$1)/10,0)*10,[1]Hugst!$R$4:$W$4,0))))</f>
        <v>373.2008819611379</v>
      </c>
      <c r="J142">
        <f ca="1">IF($C142-J$1&lt;År1,0,I141*(1-VLOOKUP($A142,[1]Hugst!$R$5:$W$9,MATCH(ROUNDUP((J$1)/10,0)*10,[1]Hugst!$R$4:$W$4,0))))</f>
        <v>373.71296530619003</v>
      </c>
      <c r="K142">
        <f ca="1">IF($C142-K$1&lt;År1,0,J141*(1-VLOOKUP($A142,[1]Hugst!$R$5:$W$9,MATCH(ROUNDUP((K$1)/10,0)*10,[1]Hugst!$R$4:$W$4,0))))</f>
        <v>374.22762193437535</v>
      </c>
      <c r="L142">
        <f ca="1">IF($C142-L$1&lt;År1,0,K141*(1-VLOOKUP($A142,[1]Hugst!$R$5:$W$9,MATCH(ROUNDUP((L$1)/10,0)*10,[1]Hugst!$R$4:$W$4,0))))</f>
        <v>596.71456174648119</v>
      </c>
      <c r="M142">
        <f ca="1">IF($C142-M$1&lt;År1,0,L141*(1-VLOOKUP($A142,[1]Hugst!$R$5:$W$9,MATCH(ROUNDUP((M$1)/10,0)*10,[1]Hugst!$R$4:$W$4,0))))</f>
        <v>597.23440379914155</v>
      </c>
      <c r="N142">
        <f ca="1">IF($C142-N$1&lt;År1,0,M141*(1-VLOOKUP($A142,[1]Hugst!$R$5:$W$9,MATCH(ROUNDUP((N$1)/10,0)*10,[1]Hugst!$R$4:$W$4,0))))</f>
        <v>597.75685812343352</v>
      </c>
      <c r="O142">
        <f ca="1">IF($C142-O$1&lt;År1,0,N141*(1-VLOOKUP($A142,[1]Hugst!$R$5:$W$9,MATCH(ROUNDUP((O$1)/10,0)*10,[1]Hugst!$R$4:$W$4,0))))</f>
        <v>598.28193784633402</v>
      </c>
      <c r="P142">
        <f ca="1">IF($C142-P$1&lt;År1,0,O141*(1-VLOOKUP($A142,[1]Hugst!$R$5:$W$9,MATCH(ROUNDUP((P$1)/10,0)*10,[1]Hugst!$R$4:$W$4,0))))</f>
        <v>598.80965616080709</v>
      </c>
      <c r="Q142">
        <f ca="1">IF($C142-Q$1&lt;År1,0,P141*(1-VLOOKUP($A142,[1]Hugst!$R$5:$W$9,MATCH(ROUNDUP((Q$1)/10,0)*10,[1]Hugst!$R$4:$W$4,0))))</f>
        <v>599.34002632610714</v>
      </c>
      <c r="R142">
        <f ca="1">IF($C142-R$1&lt;År1,0,Q141*(1-VLOOKUP($A142,[1]Hugst!$R$5:$W$9,MATCH(ROUNDUP((R$1)/10,0)*10,[1]Hugst!$R$4:$W$4,0))))</f>
        <v>599.87306166811823</v>
      </c>
      <c r="S142">
        <f ca="1">IF($C142-S$1&lt;År1,0,R141*(1-VLOOKUP($A142,[1]Hugst!$R$5:$W$9,MATCH(ROUNDUP((S$1)/10,0)*10,[1]Hugst!$R$4:$W$4,0))))</f>
        <v>600.40877557968702</v>
      </c>
      <c r="T142">
        <f ca="1">IF($C142-T$1&lt;År1,0,S141*(1-VLOOKUP($A142,[1]Hugst!$R$5:$W$9,MATCH(ROUNDUP((T$1)/10,0)*10,[1]Hugst!$R$4:$W$4,0))))</f>
        <v>600.94718152096243</v>
      </c>
      <c r="U142">
        <f ca="1">IF($C142-U$1&lt;År1,0,T141*(1-VLOOKUP($A142,[1]Hugst!$R$5:$W$9,MATCH(ROUNDUP((U$1)/10,0)*10,[1]Hugst!$R$4:$W$4,0))))</f>
        <v>601.48829301972796</v>
      </c>
      <c r="V142">
        <f ca="1">IF($C142-V$1&lt;År1,0,U141*(1-VLOOKUP($A142,[1]Hugst!$R$5:$W$9,MATCH(ROUNDUP((V$1)/10,0)*10,[1]Hugst!$R$4:$W$4,0))))</f>
        <v>602.03212367175934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25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99.881728750793172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371.17802504708953</v>
      </c>
      <c r="G143">
        <f ca="1">IF($C143-G$1&lt;År1,0,F142*(1-VLOOKUP($A143,[1]Hugst!$R$5:$W$9,MATCH(ROUNDUP((G$1)/10,0)*10,[1]Hugst!$R$4:$W$4,0))))</f>
        <v>371.679943282019</v>
      </c>
      <c r="H143">
        <f ca="1">IF($C143-H$1&lt;År1,0,G142*(1-VLOOKUP($A143,[1]Hugst!$R$5:$W$9,MATCH(ROUNDUP((H$1)/10,0)*10,[1]Hugst!$R$4:$W$4,0))))</f>
        <v>372.18438371913368</v>
      </c>
      <c r="I143">
        <f ca="1">IF($C143-I$1&lt;År1,0,H142*(1-VLOOKUP($A143,[1]Hugst!$R$5:$W$9,MATCH(ROUNDUP((I$1)/10,0)*10,[1]Hugst!$R$4:$W$4,0))))</f>
        <v>372.69135903281409</v>
      </c>
      <c r="J143">
        <f ca="1">IF($C143-J$1&lt;År1,0,I142*(1-VLOOKUP($A143,[1]Hugst!$R$5:$W$9,MATCH(ROUNDUP((J$1)/10,0)*10,[1]Hugst!$R$4:$W$4,0))))</f>
        <v>373.2008819611379</v>
      </c>
      <c r="K143">
        <f ca="1">IF($C143-K$1&lt;År1,0,J142*(1-VLOOKUP($A143,[1]Hugst!$R$5:$W$9,MATCH(ROUNDUP((K$1)/10,0)*10,[1]Hugst!$R$4:$W$4,0))))</f>
        <v>373.71296530619003</v>
      </c>
      <c r="L143">
        <f ca="1">IF($C143-L$1&lt;År1,0,K142*(1-VLOOKUP($A143,[1]Hugst!$R$5:$W$9,MATCH(ROUNDUP((L$1)/10,0)*10,[1]Hugst!$R$4:$W$4,0))))</f>
        <v>374.22762193437535</v>
      </c>
      <c r="M143">
        <f ca="1">IF($C143-M$1&lt;År1,0,L142*(1-VLOOKUP($A143,[1]Hugst!$R$5:$W$9,MATCH(ROUNDUP((M$1)/10,0)*10,[1]Hugst!$R$4:$W$4,0))))</f>
        <v>596.71456174648119</v>
      </c>
      <c r="N143">
        <f ca="1">IF($C143-N$1&lt;År1,0,M142*(1-VLOOKUP($A143,[1]Hugst!$R$5:$W$9,MATCH(ROUNDUP((N$1)/10,0)*10,[1]Hugst!$R$4:$W$4,0))))</f>
        <v>597.23440379914155</v>
      </c>
      <c r="O143">
        <f ca="1">IF($C143-O$1&lt;År1,0,N142*(1-VLOOKUP($A143,[1]Hugst!$R$5:$W$9,MATCH(ROUNDUP((O$1)/10,0)*10,[1]Hugst!$R$4:$W$4,0))))</f>
        <v>597.75685812343352</v>
      </c>
      <c r="P143">
        <f ca="1">IF($C143-P$1&lt;År1,0,O142*(1-VLOOKUP($A143,[1]Hugst!$R$5:$W$9,MATCH(ROUNDUP((P$1)/10,0)*10,[1]Hugst!$R$4:$W$4,0))))</f>
        <v>598.28193784633402</v>
      </c>
      <c r="Q143">
        <f ca="1">IF($C143-Q$1&lt;År1,0,P142*(1-VLOOKUP($A143,[1]Hugst!$R$5:$W$9,MATCH(ROUNDUP((Q$1)/10,0)*10,[1]Hugst!$R$4:$W$4,0))))</f>
        <v>598.80965616080709</v>
      </c>
      <c r="R143">
        <f ca="1">IF($C143-R$1&lt;År1,0,Q142*(1-VLOOKUP($A143,[1]Hugst!$R$5:$W$9,MATCH(ROUNDUP((R$1)/10,0)*10,[1]Hugst!$R$4:$W$4,0))))</f>
        <v>599.34002632610714</v>
      </c>
      <c r="S143">
        <f ca="1">IF($C143-S$1&lt;År1,0,R142*(1-VLOOKUP($A143,[1]Hugst!$R$5:$W$9,MATCH(ROUNDUP((S$1)/10,0)*10,[1]Hugst!$R$4:$W$4,0))))</f>
        <v>599.87306166811823</v>
      </c>
      <c r="T143">
        <f ca="1">IF($C143-T$1&lt;År1,0,S142*(1-VLOOKUP($A143,[1]Hugst!$R$5:$W$9,MATCH(ROUNDUP((T$1)/10,0)*10,[1]Hugst!$R$4:$W$4,0))))</f>
        <v>600.40877557968702</v>
      </c>
      <c r="U143">
        <f ca="1">IF($C143-U$1&lt;År1,0,T142*(1-VLOOKUP($A143,[1]Hugst!$R$5:$W$9,MATCH(ROUNDUP((U$1)/10,0)*10,[1]Hugst!$R$4:$W$4,0))))</f>
        <v>600.94718152096243</v>
      </c>
      <c r="V143">
        <f ca="1">IF($C143-V$1&lt;År1,0,U142*(1-VLOOKUP($A143,[1]Hugst!$R$5:$W$9,MATCH(ROUNDUP((V$1)/10,0)*10,[1]Hugst!$R$4:$W$4,0))))</f>
        <v>601.48829301972796</v>
      </c>
      <c r="W143">
        <f ca="1">IF($C143-W$1&lt;År1,0,V142*(1-VLOOKUP($A143,[1]Hugst!$R$5:$W$9,MATCH(ROUNDUP((W$1)/10,0)*10,[1]Hugst!$R$4:$W$4,0))))</f>
        <v>602.03212367175934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25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99.38232010704246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370.67861640333882</v>
      </c>
      <c r="G144">
        <f ca="1">IF($C144-G$1&lt;År1,0,F143*(1-VLOOKUP($A144,[1]Hugst!$R$5:$W$9,MATCH(ROUNDUP((G$1)/10,0)*10,[1]Hugst!$R$4:$W$4,0))))</f>
        <v>371.17802504708953</v>
      </c>
      <c r="H144">
        <f ca="1">IF($C144-H$1&lt;År1,0,G143*(1-VLOOKUP($A144,[1]Hugst!$R$5:$W$9,MATCH(ROUNDUP((H$1)/10,0)*10,[1]Hugst!$R$4:$W$4,0))))</f>
        <v>371.679943282019</v>
      </c>
      <c r="I144">
        <f ca="1">IF($C144-I$1&lt;År1,0,H143*(1-VLOOKUP($A144,[1]Hugst!$R$5:$W$9,MATCH(ROUNDUP((I$1)/10,0)*10,[1]Hugst!$R$4:$W$4,0))))</f>
        <v>372.18438371913368</v>
      </c>
      <c r="J144">
        <f ca="1">IF($C144-J$1&lt;År1,0,I143*(1-VLOOKUP($A144,[1]Hugst!$R$5:$W$9,MATCH(ROUNDUP((J$1)/10,0)*10,[1]Hugst!$R$4:$W$4,0))))</f>
        <v>372.69135903281409</v>
      </c>
      <c r="K144">
        <f ca="1">IF($C144-K$1&lt;År1,0,J143*(1-VLOOKUP($A144,[1]Hugst!$R$5:$W$9,MATCH(ROUNDUP((K$1)/10,0)*10,[1]Hugst!$R$4:$W$4,0))))</f>
        <v>373.2008819611379</v>
      </c>
      <c r="L144">
        <f ca="1">IF($C144-L$1&lt;År1,0,K143*(1-VLOOKUP($A144,[1]Hugst!$R$5:$W$9,MATCH(ROUNDUP((L$1)/10,0)*10,[1]Hugst!$R$4:$W$4,0))))</f>
        <v>373.71296530619003</v>
      </c>
      <c r="M144">
        <f ca="1">IF($C144-M$1&lt;År1,0,L143*(1-VLOOKUP($A144,[1]Hugst!$R$5:$W$9,MATCH(ROUNDUP((M$1)/10,0)*10,[1]Hugst!$R$4:$W$4,0))))</f>
        <v>374.22762193437535</v>
      </c>
      <c r="N144">
        <f ca="1">IF($C144-N$1&lt;År1,0,M143*(1-VLOOKUP($A144,[1]Hugst!$R$5:$W$9,MATCH(ROUNDUP((N$1)/10,0)*10,[1]Hugst!$R$4:$W$4,0))))</f>
        <v>596.71456174648119</v>
      </c>
      <c r="O144">
        <f ca="1">IF($C144-O$1&lt;År1,0,N143*(1-VLOOKUP($A144,[1]Hugst!$R$5:$W$9,MATCH(ROUNDUP((O$1)/10,0)*10,[1]Hugst!$R$4:$W$4,0))))</f>
        <v>597.23440379914155</v>
      </c>
      <c r="P144">
        <f ca="1">IF($C144-P$1&lt;År1,0,O143*(1-VLOOKUP($A144,[1]Hugst!$R$5:$W$9,MATCH(ROUNDUP((P$1)/10,0)*10,[1]Hugst!$R$4:$W$4,0))))</f>
        <v>597.75685812343352</v>
      </c>
      <c r="Q144">
        <f ca="1">IF($C144-Q$1&lt;År1,0,P143*(1-VLOOKUP($A144,[1]Hugst!$R$5:$W$9,MATCH(ROUNDUP((Q$1)/10,0)*10,[1]Hugst!$R$4:$W$4,0))))</f>
        <v>598.28193784633402</v>
      </c>
      <c r="R144">
        <f ca="1">IF($C144-R$1&lt;År1,0,Q143*(1-VLOOKUP($A144,[1]Hugst!$R$5:$W$9,MATCH(ROUNDUP((R$1)/10,0)*10,[1]Hugst!$R$4:$W$4,0))))</f>
        <v>598.80965616080709</v>
      </c>
      <c r="S144">
        <f ca="1">IF($C144-S$1&lt;År1,0,R143*(1-VLOOKUP($A144,[1]Hugst!$R$5:$W$9,MATCH(ROUNDUP((S$1)/10,0)*10,[1]Hugst!$R$4:$W$4,0))))</f>
        <v>599.34002632610714</v>
      </c>
      <c r="T144">
        <f ca="1">IF($C144-T$1&lt;År1,0,S143*(1-VLOOKUP($A144,[1]Hugst!$R$5:$W$9,MATCH(ROUNDUP((T$1)/10,0)*10,[1]Hugst!$R$4:$W$4,0))))</f>
        <v>599.87306166811823</v>
      </c>
      <c r="U144">
        <f ca="1">IF($C144-U$1&lt;År1,0,T143*(1-VLOOKUP($A144,[1]Hugst!$R$5:$W$9,MATCH(ROUNDUP((U$1)/10,0)*10,[1]Hugst!$R$4:$W$4,0))))</f>
        <v>600.40877557968702</v>
      </c>
      <c r="V144">
        <f ca="1">IF($C144-V$1&lt;År1,0,U143*(1-VLOOKUP($A144,[1]Hugst!$R$5:$W$9,MATCH(ROUNDUP((V$1)/10,0)*10,[1]Hugst!$R$4:$W$4,0))))</f>
        <v>600.94718152096243</v>
      </c>
      <c r="W144">
        <f ca="1">IF($C144-W$1&lt;År1,0,V143*(1-VLOOKUP($A144,[1]Hugst!$R$5:$W$9,MATCH(ROUNDUP((W$1)/10,0)*10,[1]Hugst!$R$4:$W$4,0))))</f>
        <v>601.48829301972796</v>
      </c>
      <c r="X144">
        <f ca="1">IF($C144-X$1&lt;År1,0,W143*(1-VLOOKUP($A144,[1]Hugst!$R$5:$W$9,MATCH(ROUNDUP((X$1)/10,0)*10,[1]Hugst!$R$4:$W$4,0))))</f>
        <v>602.03212367175934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25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98.885408506501562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370.18170480279792</v>
      </c>
      <c r="G145">
        <f ca="1">IF($C145-G$1&lt;År1,0,F144*(1-VLOOKUP($A145,[1]Hugst!$R$5:$W$9,MATCH(ROUNDUP((G$1)/10,0)*10,[1]Hugst!$R$4:$W$4,0))))</f>
        <v>370.67861640333882</v>
      </c>
      <c r="H145">
        <f ca="1">IF($C145-H$1&lt;År1,0,G144*(1-VLOOKUP($A145,[1]Hugst!$R$5:$W$9,MATCH(ROUNDUP((H$1)/10,0)*10,[1]Hugst!$R$4:$W$4,0))))</f>
        <v>371.17802504708953</v>
      </c>
      <c r="I145">
        <f ca="1">IF($C145-I$1&lt;År1,0,H144*(1-VLOOKUP($A145,[1]Hugst!$R$5:$W$9,MATCH(ROUNDUP((I$1)/10,0)*10,[1]Hugst!$R$4:$W$4,0))))</f>
        <v>371.679943282019</v>
      </c>
      <c r="J145">
        <f ca="1">IF($C145-J$1&lt;År1,0,I144*(1-VLOOKUP($A145,[1]Hugst!$R$5:$W$9,MATCH(ROUNDUP((J$1)/10,0)*10,[1]Hugst!$R$4:$W$4,0))))</f>
        <v>372.18438371913368</v>
      </c>
      <c r="K145">
        <f ca="1">IF($C145-K$1&lt;År1,0,J144*(1-VLOOKUP($A145,[1]Hugst!$R$5:$W$9,MATCH(ROUNDUP((K$1)/10,0)*10,[1]Hugst!$R$4:$W$4,0))))</f>
        <v>372.69135903281409</v>
      </c>
      <c r="L145">
        <f ca="1">IF($C145-L$1&lt;År1,0,K144*(1-VLOOKUP($A145,[1]Hugst!$R$5:$W$9,MATCH(ROUNDUP((L$1)/10,0)*10,[1]Hugst!$R$4:$W$4,0))))</f>
        <v>373.2008819611379</v>
      </c>
      <c r="M145">
        <f ca="1">IF($C145-M$1&lt;År1,0,L144*(1-VLOOKUP($A145,[1]Hugst!$R$5:$W$9,MATCH(ROUNDUP((M$1)/10,0)*10,[1]Hugst!$R$4:$W$4,0))))</f>
        <v>373.71296530619003</v>
      </c>
      <c r="N145">
        <f ca="1">IF($C145-N$1&lt;År1,0,M144*(1-VLOOKUP($A145,[1]Hugst!$R$5:$W$9,MATCH(ROUNDUP((N$1)/10,0)*10,[1]Hugst!$R$4:$W$4,0))))</f>
        <v>374.22762193437535</v>
      </c>
      <c r="O145">
        <f ca="1">IF($C145-O$1&lt;År1,0,N144*(1-VLOOKUP($A145,[1]Hugst!$R$5:$W$9,MATCH(ROUNDUP((O$1)/10,0)*10,[1]Hugst!$R$4:$W$4,0))))</f>
        <v>596.71456174648119</v>
      </c>
      <c r="P145">
        <f ca="1">IF($C145-P$1&lt;År1,0,O144*(1-VLOOKUP($A145,[1]Hugst!$R$5:$W$9,MATCH(ROUNDUP((P$1)/10,0)*10,[1]Hugst!$R$4:$W$4,0))))</f>
        <v>597.23440379914155</v>
      </c>
      <c r="Q145">
        <f ca="1">IF($C145-Q$1&lt;År1,0,P144*(1-VLOOKUP($A145,[1]Hugst!$R$5:$W$9,MATCH(ROUNDUP((Q$1)/10,0)*10,[1]Hugst!$R$4:$W$4,0))))</f>
        <v>597.75685812343352</v>
      </c>
      <c r="R145">
        <f ca="1">IF($C145-R$1&lt;År1,0,Q144*(1-VLOOKUP($A145,[1]Hugst!$R$5:$W$9,MATCH(ROUNDUP((R$1)/10,0)*10,[1]Hugst!$R$4:$W$4,0))))</f>
        <v>598.28193784633402</v>
      </c>
      <c r="S145">
        <f ca="1">IF($C145-S$1&lt;År1,0,R144*(1-VLOOKUP($A145,[1]Hugst!$R$5:$W$9,MATCH(ROUNDUP((S$1)/10,0)*10,[1]Hugst!$R$4:$W$4,0))))</f>
        <v>598.80965616080709</v>
      </c>
      <c r="T145">
        <f ca="1">IF($C145-T$1&lt;År1,0,S144*(1-VLOOKUP($A145,[1]Hugst!$R$5:$W$9,MATCH(ROUNDUP((T$1)/10,0)*10,[1]Hugst!$R$4:$W$4,0))))</f>
        <v>599.34002632610714</v>
      </c>
      <c r="U145">
        <f ca="1">IF($C145-U$1&lt;År1,0,T144*(1-VLOOKUP($A145,[1]Hugst!$R$5:$W$9,MATCH(ROUNDUP((U$1)/10,0)*10,[1]Hugst!$R$4:$W$4,0))))</f>
        <v>599.87306166811823</v>
      </c>
      <c r="V145">
        <f ca="1">IF($C145-V$1&lt;År1,0,U144*(1-VLOOKUP($A145,[1]Hugst!$R$5:$W$9,MATCH(ROUNDUP((V$1)/10,0)*10,[1]Hugst!$R$4:$W$4,0))))</f>
        <v>600.40877557968702</v>
      </c>
      <c r="W145">
        <f ca="1">IF($C145-W$1&lt;År1,0,V144*(1-VLOOKUP($A145,[1]Hugst!$R$5:$W$9,MATCH(ROUNDUP((W$1)/10,0)*10,[1]Hugst!$R$4:$W$4,0))))</f>
        <v>600.94718152096243</v>
      </c>
      <c r="X145">
        <f ca="1">IF($C145-X$1&lt;År1,0,W144*(1-VLOOKUP($A145,[1]Hugst!$R$5:$W$9,MATCH(ROUNDUP((X$1)/10,0)*10,[1]Hugst!$R$4:$W$4,0))))</f>
        <v>601.48829301972796</v>
      </c>
      <c r="Y145">
        <f ca="1">IF($C145-Y$1&lt;År1,0,X144*(1-VLOOKUP($A145,[1]Hugst!$R$5:$W$9,MATCH(ROUNDUP((Y$1)/10,0)*10,[1]Hugst!$R$4:$W$4,0))))</f>
        <v>602.03212367175934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25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98.390981463971457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369.68727776026782</v>
      </c>
      <c r="G146">
        <f ca="1">IF($C146-G$1&lt;År1,0,F145*(1-VLOOKUP($A146,[1]Hugst!$R$5:$W$9,MATCH(ROUNDUP((G$1)/10,0)*10,[1]Hugst!$R$4:$W$4,0))))</f>
        <v>370.18170480279792</v>
      </c>
      <c r="H146">
        <f ca="1">IF($C146-H$1&lt;År1,0,G145*(1-VLOOKUP($A146,[1]Hugst!$R$5:$W$9,MATCH(ROUNDUP((H$1)/10,0)*10,[1]Hugst!$R$4:$W$4,0))))</f>
        <v>370.67861640333882</v>
      </c>
      <c r="I146">
        <f ca="1">IF($C146-I$1&lt;År1,0,H145*(1-VLOOKUP($A146,[1]Hugst!$R$5:$W$9,MATCH(ROUNDUP((I$1)/10,0)*10,[1]Hugst!$R$4:$W$4,0))))</f>
        <v>371.17802504708953</v>
      </c>
      <c r="J146">
        <f ca="1">IF($C146-J$1&lt;År1,0,I145*(1-VLOOKUP($A146,[1]Hugst!$R$5:$W$9,MATCH(ROUNDUP((J$1)/10,0)*10,[1]Hugst!$R$4:$W$4,0))))</f>
        <v>371.679943282019</v>
      </c>
      <c r="K146">
        <f ca="1">IF($C146-K$1&lt;År1,0,J145*(1-VLOOKUP($A146,[1]Hugst!$R$5:$W$9,MATCH(ROUNDUP((K$1)/10,0)*10,[1]Hugst!$R$4:$W$4,0))))</f>
        <v>372.18438371913368</v>
      </c>
      <c r="L146">
        <f ca="1">IF($C146-L$1&lt;År1,0,K145*(1-VLOOKUP($A146,[1]Hugst!$R$5:$W$9,MATCH(ROUNDUP((L$1)/10,0)*10,[1]Hugst!$R$4:$W$4,0))))</f>
        <v>372.69135903281409</v>
      </c>
      <c r="M146">
        <f ca="1">IF($C146-M$1&lt;År1,0,L145*(1-VLOOKUP($A146,[1]Hugst!$R$5:$W$9,MATCH(ROUNDUP((M$1)/10,0)*10,[1]Hugst!$R$4:$W$4,0))))</f>
        <v>373.2008819611379</v>
      </c>
      <c r="N146">
        <f ca="1">IF($C146-N$1&lt;År1,0,M145*(1-VLOOKUP($A146,[1]Hugst!$R$5:$W$9,MATCH(ROUNDUP((N$1)/10,0)*10,[1]Hugst!$R$4:$W$4,0))))</f>
        <v>373.71296530619003</v>
      </c>
      <c r="O146">
        <f ca="1">IF($C146-O$1&lt;År1,0,N145*(1-VLOOKUP($A146,[1]Hugst!$R$5:$W$9,MATCH(ROUNDUP((O$1)/10,0)*10,[1]Hugst!$R$4:$W$4,0))))</f>
        <v>374.22762193437535</v>
      </c>
      <c r="P146">
        <f ca="1">IF($C146-P$1&lt;År1,0,O145*(1-VLOOKUP($A146,[1]Hugst!$R$5:$W$9,MATCH(ROUNDUP((P$1)/10,0)*10,[1]Hugst!$R$4:$W$4,0))))</f>
        <v>596.71456174648119</v>
      </c>
      <c r="Q146">
        <f ca="1">IF($C146-Q$1&lt;År1,0,P145*(1-VLOOKUP($A146,[1]Hugst!$R$5:$W$9,MATCH(ROUNDUP((Q$1)/10,0)*10,[1]Hugst!$R$4:$W$4,0))))</f>
        <v>597.23440379914155</v>
      </c>
      <c r="R146">
        <f ca="1">IF($C146-R$1&lt;År1,0,Q145*(1-VLOOKUP($A146,[1]Hugst!$R$5:$W$9,MATCH(ROUNDUP((R$1)/10,0)*10,[1]Hugst!$R$4:$W$4,0))))</f>
        <v>597.75685812343352</v>
      </c>
      <c r="S146">
        <f ca="1">IF($C146-S$1&lt;År1,0,R145*(1-VLOOKUP($A146,[1]Hugst!$R$5:$W$9,MATCH(ROUNDUP((S$1)/10,0)*10,[1]Hugst!$R$4:$W$4,0))))</f>
        <v>598.28193784633402</v>
      </c>
      <c r="T146">
        <f ca="1">IF($C146-T$1&lt;År1,0,S145*(1-VLOOKUP($A146,[1]Hugst!$R$5:$W$9,MATCH(ROUNDUP((T$1)/10,0)*10,[1]Hugst!$R$4:$W$4,0))))</f>
        <v>598.80965616080709</v>
      </c>
      <c r="U146">
        <f ca="1">IF($C146-U$1&lt;År1,0,T145*(1-VLOOKUP($A146,[1]Hugst!$R$5:$W$9,MATCH(ROUNDUP((U$1)/10,0)*10,[1]Hugst!$R$4:$W$4,0))))</f>
        <v>599.34002632610714</v>
      </c>
      <c r="V146">
        <f ca="1">IF($C146-V$1&lt;År1,0,U145*(1-VLOOKUP($A146,[1]Hugst!$R$5:$W$9,MATCH(ROUNDUP((V$1)/10,0)*10,[1]Hugst!$R$4:$W$4,0))))</f>
        <v>599.87306166811823</v>
      </c>
      <c r="W146">
        <f ca="1">IF($C146-W$1&lt;År1,0,V145*(1-VLOOKUP($A146,[1]Hugst!$R$5:$W$9,MATCH(ROUNDUP((W$1)/10,0)*10,[1]Hugst!$R$4:$W$4,0))))</f>
        <v>600.40877557968702</v>
      </c>
      <c r="X146">
        <f ca="1">IF($C146-X$1&lt;År1,0,W145*(1-VLOOKUP($A146,[1]Hugst!$R$5:$W$9,MATCH(ROUNDUP((X$1)/10,0)*10,[1]Hugst!$R$4:$W$4,0))))</f>
        <v>600.94718152096243</v>
      </c>
      <c r="Y146">
        <f ca="1">IF($C146-Y$1&lt;År1,0,X145*(1-VLOOKUP($A146,[1]Hugst!$R$5:$W$9,MATCH(ROUNDUP((Y$1)/10,0)*10,[1]Hugst!$R$4:$W$4,0))))</f>
        <v>601.48829301972796</v>
      </c>
      <c r="Z146">
        <f ca="1">IF($C146-Z$1&lt;År1,0,Y145*(1-VLOOKUP($A146,[1]Hugst!$R$5:$W$9,MATCH(ROUNDUP((Z$1)/10,0)*10,[1]Hugst!$R$4:$W$4,0))))</f>
        <v>602.03212367175934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25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97.899026556653553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369.19532285294991</v>
      </c>
      <c r="G147">
        <f ca="1">IF($C147-G$1&lt;År1,0,F146*(1-VLOOKUP($A147,[1]Hugst!$R$5:$W$9,MATCH(ROUNDUP((G$1)/10,0)*10,[1]Hugst!$R$4:$W$4,0))))</f>
        <v>369.68727776026782</v>
      </c>
      <c r="H147">
        <f ca="1">IF($C147-H$1&lt;År1,0,G146*(1-VLOOKUP($A147,[1]Hugst!$R$5:$W$9,MATCH(ROUNDUP((H$1)/10,0)*10,[1]Hugst!$R$4:$W$4,0))))</f>
        <v>370.18170480279792</v>
      </c>
      <c r="I147">
        <f ca="1">IF($C147-I$1&lt;År1,0,H146*(1-VLOOKUP($A147,[1]Hugst!$R$5:$W$9,MATCH(ROUNDUP((I$1)/10,0)*10,[1]Hugst!$R$4:$W$4,0))))</f>
        <v>370.67861640333882</v>
      </c>
      <c r="J147">
        <f ca="1">IF($C147-J$1&lt;År1,0,I146*(1-VLOOKUP($A147,[1]Hugst!$R$5:$W$9,MATCH(ROUNDUP((J$1)/10,0)*10,[1]Hugst!$R$4:$W$4,0))))</f>
        <v>371.17802504708953</v>
      </c>
      <c r="K147">
        <f ca="1">IF($C147-K$1&lt;År1,0,J146*(1-VLOOKUP($A147,[1]Hugst!$R$5:$W$9,MATCH(ROUNDUP((K$1)/10,0)*10,[1]Hugst!$R$4:$W$4,0))))</f>
        <v>371.679943282019</v>
      </c>
      <c r="L147">
        <f ca="1">IF($C147-L$1&lt;År1,0,K146*(1-VLOOKUP($A147,[1]Hugst!$R$5:$W$9,MATCH(ROUNDUP((L$1)/10,0)*10,[1]Hugst!$R$4:$W$4,0))))</f>
        <v>372.18438371913368</v>
      </c>
      <c r="M147">
        <f ca="1">IF($C147-M$1&lt;År1,0,L146*(1-VLOOKUP($A147,[1]Hugst!$R$5:$W$9,MATCH(ROUNDUP((M$1)/10,0)*10,[1]Hugst!$R$4:$W$4,0))))</f>
        <v>372.69135903281409</v>
      </c>
      <c r="N147">
        <f ca="1">IF($C147-N$1&lt;År1,0,M146*(1-VLOOKUP($A147,[1]Hugst!$R$5:$W$9,MATCH(ROUNDUP((N$1)/10,0)*10,[1]Hugst!$R$4:$W$4,0))))</f>
        <v>373.2008819611379</v>
      </c>
      <c r="O147">
        <f ca="1">IF($C147-O$1&lt;År1,0,N146*(1-VLOOKUP($A147,[1]Hugst!$R$5:$W$9,MATCH(ROUNDUP((O$1)/10,0)*10,[1]Hugst!$R$4:$W$4,0))))</f>
        <v>373.71296530619003</v>
      </c>
      <c r="P147">
        <f ca="1">IF($C147-P$1&lt;År1,0,O146*(1-VLOOKUP($A147,[1]Hugst!$R$5:$W$9,MATCH(ROUNDUP((P$1)/10,0)*10,[1]Hugst!$R$4:$W$4,0))))</f>
        <v>374.22762193437535</v>
      </c>
      <c r="Q147">
        <f ca="1">IF($C147-Q$1&lt;År1,0,P146*(1-VLOOKUP($A147,[1]Hugst!$R$5:$W$9,MATCH(ROUNDUP((Q$1)/10,0)*10,[1]Hugst!$R$4:$W$4,0))))</f>
        <v>596.71456174648119</v>
      </c>
      <c r="R147">
        <f ca="1">IF($C147-R$1&lt;År1,0,Q146*(1-VLOOKUP($A147,[1]Hugst!$R$5:$W$9,MATCH(ROUNDUP((R$1)/10,0)*10,[1]Hugst!$R$4:$W$4,0))))</f>
        <v>597.23440379914155</v>
      </c>
      <c r="S147">
        <f ca="1">IF($C147-S$1&lt;År1,0,R146*(1-VLOOKUP($A147,[1]Hugst!$R$5:$W$9,MATCH(ROUNDUP((S$1)/10,0)*10,[1]Hugst!$R$4:$W$4,0))))</f>
        <v>597.75685812343352</v>
      </c>
      <c r="T147">
        <f ca="1">IF($C147-T$1&lt;År1,0,S146*(1-VLOOKUP($A147,[1]Hugst!$R$5:$W$9,MATCH(ROUNDUP((T$1)/10,0)*10,[1]Hugst!$R$4:$W$4,0))))</f>
        <v>598.28193784633402</v>
      </c>
      <c r="U147">
        <f ca="1">IF($C147-U$1&lt;År1,0,T146*(1-VLOOKUP($A147,[1]Hugst!$R$5:$W$9,MATCH(ROUNDUP((U$1)/10,0)*10,[1]Hugst!$R$4:$W$4,0))))</f>
        <v>598.80965616080709</v>
      </c>
      <c r="V147">
        <f ca="1">IF($C147-V$1&lt;År1,0,U146*(1-VLOOKUP($A147,[1]Hugst!$R$5:$W$9,MATCH(ROUNDUP((V$1)/10,0)*10,[1]Hugst!$R$4:$W$4,0))))</f>
        <v>599.34002632610714</v>
      </c>
      <c r="W147">
        <f ca="1">IF($C147-W$1&lt;År1,0,V146*(1-VLOOKUP($A147,[1]Hugst!$R$5:$W$9,MATCH(ROUNDUP((W$1)/10,0)*10,[1]Hugst!$R$4:$W$4,0))))</f>
        <v>599.87306166811823</v>
      </c>
      <c r="X147">
        <f ca="1">IF($C147-X$1&lt;År1,0,W146*(1-VLOOKUP($A147,[1]Hugst!$R$5:$W$9,MATCH(ROUNDUP((X$1)/10,0)*10,[1]Hugst!$R$4:$W$4,0))))</f>
        <v>600.40877557968702</v>
      </c>
      <c r="Y147">
        <f ca="1">IF($C147-Y$1&lt;År1,0,X146*(1-VLOOKUP($A147,[1]Hugst!$R$5:$W$9,MATCH(ROUNDUP((Y$1)/10,0)*10,[1]Hugst!$R$4:$W$4,0))))</f>
        <v>600.94718152096243</v>
      </c>
      <c r="Z147">
        <f ca="1">IF($C147-Z$1&lt;År1,0,Y146*(1-VLOOKUP($A147,[1]Hugst!$R$5:$W$9,MATCH(ROUNDUP((Z$1)/10,0)*10,[1]Hugst!$R$4:$W$4,0))))</f>
        <v>601.48829301972796</v>
      </c>
      <c r="AA147">
        <f ca="1">IF($C147-AA$1&lt;År1,0,Z146*(1-VLOOKUP($A147,[1]Hugst!$R$5:$W$9,MATCH(ROUNDUP((AA$1)/10,0)*10,[1]Hugst!$R$4:$W$4,0))))</f>
        <v>602.03212367175934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25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97.409531423868884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368.70582772016525</v>
      </c>
      <c r="G148">
        <f ca="1">IF($C148-G$1&lt;År1,0,F147*(1-VLOOKUP($A148,[1]Hugst!$R$5:$W$9,MATCH(ROUNDUP((G$1)/10,0)*10,[1]Hugst!$R$4:$W$4,0))))</f>
        <v>369.19532285294991</v>
      </c>
      <c r="H148">
        <f ca="1">IF($C148-H$1&lt;År1,0,G147*(1-VLOOKUP($A148,[1]Hugst!$R$5:$W$9,MATCH(ROUNDUP((H$1)/10,0)*10,[1]Hugst!$R$4:$W$4,0))))</f>
        <v>369.68727776026782</v>
      </c>
      <c r="I148">
        <f ca="1">IF($C148-I$1&lt;År1,0,H147*(1-VLOOKUP($A148,[1]Hugst!$R$5:$W$9,MATCH(ROUNDUP((I$1)/10,0)*10,[1]Hugst!$R$4:$W$4,0))))</f>
        <v>370.18170480279792</v>
      </c>
      <c r="J148">
        <f ca="1">IF($C148-J$1&lt;År1,0,I147*(1-VLOOKUP($A148,[1]Hugst!$R$5:$W$9,MATCH(ROUNDUP((J$1)/10,0)*10,[1]Hugst!$R$4:$W$4,0))))</f>
        <v>370.67861640333882</v>
      </c>
      <c r="K148">
        <f ca="1">IF($C148-K$1&lt;År1,0,J147*(1-VLOOKUP($A148,[1]Hugst!$R$5:$W$9,MATCH(ROUNDUP((K$1)/10,0)*10,[1]Hugst!$R$4:$W$4,0))))</f>
        <v>371.17802504708953</v>
      </c>
      <c r="L148">
        <f ca="1">IF($C148-L$1&lt;År1,0,K147*(1-VLOOKUP($A148,[1]Hugst!$R$5:$W$9,MATCH(ROUNDUP((L$1)/10,0)*10,[1]Hugst!$R$4:$W$4,0))))</f>
        <v>371.679943282019</v>
      </c>
      <c r="M148">
        <f ca="1">IF($C148-M$1&lt;År1,0,L147*(1-VLOOKUP($A148,[1]Hugst!$R$5:$W$9,MATCH(ROUNDUP((M$1)/10,0)*10,[1]Hugst!$R$4:$W$4,0))))</f>
        <v>372.18438371913368</v>
      </c>
      <c r="N148">
        <f ca="1">IF($C148-N$1&lt;År1,0,M147*(1-VLOOKUP($A148,[1]Hugst!$R$5:$W$9,MATCH(ROUNDUP((N$1)/10,0)*10,[1]Hugst!$R$4:$W$4,0))))</f>
        <v>372.69135903281409</v>
      </c>
      <c r="O148">
        <f ca="1">IF($C148-O$1&lt;År1,0,N147*(1-VLOOKUP($A148,[1]Hugst!$R$5:$W$9,MATCH(ROUNDUP((O$1)/10,0)*10,[1]Hugst!$R$4:$W$4,0))))</f>
        <v>373.2008819611379</v>
      </c>
      <c r="P148">
        <f ca="1">IF($C148-P$1&lt;År1,0,O147*(1-VLOOKUP($A148,[1]Hugst!$R$5:$W$9,MATCH(ROUNDUP((P$1)/10,0)*10,[1]Hugst!$R$4:$W$4,0))))</f>
        <v>373.71296530619003</v>
      </c>
      <c r="Q148">
        <f ca="1">IF($C148-Q$1&lt;År1,0,P147*(1-VLOOKUP($A148,[1]Hugst!$R$5:$W$9,MATCH(ROUNDUP((Q$1)/10,0)*10,[1]Hugst!$R$4:$W$4,0))))</f>
        <v>374.22762193437535</v>
      </c>
      <c r="R148">
        <f ca="1">IF($C148-R$1&lt;År1,0,Q147*(1-VLOOKUP($A148,[1]Hugst!$R$5:$W$9,MATCH(ROUNDUP((R$1)/10,0)*10,[1]Hugst!$R$4:$W$4,0))))</f>
        <v>596.71456174648119</v>
      </c>
      <c r="S148">
        <f ca="1">IF($C148-S$1&lt;År1,0,R147*(1-VLOOKUP($A148,[1]Hugst!$R$5:$W$9,MATCH(ROUNDUP((S$1)/10,0)*10,[1]Hugst!$R$4:$W$4,0))))</f>
        <v>597.23440379914155</v>
      </c>
      <c r="T148">
        <f ca="1">IF($C148-T$1&lt;År1,0,S147*(1-VLOOKUP($A148,[1]Hugst!$R$5:$W$9,MATCH(ROUNDUP((T$1)/10,0)*10,[1]Hugst!$R$4:$W$4,0))))</f>
        <v>597.75685812343352</v>
      </c>
      <c r="U148">
        <f ca="1">IF($C148-U$1&lt;År1,0,T147*(1-VLOOKUP($A148,[1]Hugst!$R$5:$W$9,MATCH(ROUNDUP((U$1)/10,0)*10,[1]Hugst!$R$4:$W$4,0))))</f>
        <v>598.28193784633402</v>
      </c>
      <c r="V148">
        <f ca="1">IF($C148-V$1&lt;År1,0,U147*(1-VLOOKUP($A148,[1]Hugst!$R$5:$W$9,MATCH(ROUNDUP((V$1)/10,0)*10,[1]Hugst!$R$4:$W$4,0))))</f>
        <v>598.80965616080709</v>
      </c>
      <c r="W148">
        <f ca="1">IF($C148-W$1&lt;År1,0,V147*(1-VLOOKUP($A148,[1]Hugst!$R$5:$W$9,MATCH(ROUNDUP((W$1)/10,0)*10,[1]Hugst!$R$4:$W$4,0))))</f>
        <v>599.34002632610714</v>
      </c>
      <c r="X148">
        <f ca="1">IF($C148-X$1&lt;År1,0,W147*(1-VLOOKUP($A148,[1]Hugst!$R$5:$W$9,MATCH(ROUNDUP((X$1)/10,0)*10,[1]Hugst!$R$4:$W$4,0))))</f>
        <v>599.87306166811823</v>
      </c>
      <c r="Y148">
        <f ca="1">IF($C148-Y$1&lt;År1,0,X147*(1-VLOOKUP($A148,[1]Hugst!$R$5:$W$9,MATCH(ROUNDUP((Y$1)/10,0)*10,[1]Hugst!$R$4:$W$4,0))))</f>
        <v>600.40877557968702</v>
      </c>
      <c r="Z148">
        <f ca="1">IF($C148-Z$1&lt;År1,0,Y147*(1-VLOOKUP($A148,[1]Hugst!$R$5:$W$9,MATCH(ROUNDUP((Z$1)/10,0)*10,[1]Hugst!$R$4:$W$4,0))))</f>
        <v>600.94718152096243</v>
      </c>
      <c r="AA148">
        <f ca="1">IF($C148-AA$1&lt;År1,0,Z147*(1-VLOOKUP($A148,[1]Hugst!$R$5:$W$9,MATCH(ROUNDUP((AA$1)/10,0)*10,[1]Hugst!$R$4:$W$4,0))))</f>
        <v>601.48829301972796</v>
      </c>
      <c r="AB148">
        <f ca="1">IF($C148-AB$1&lt;År1,0,AA147*(1-VLOOKUP($A148,[1]Hugst!$R$5:$W$9,MATCH(ROUNDUP((AB$1)/10,0)*10,[1]Hugst!$R$4:$W$4,0))))</f>
        <v>602.03212367175934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25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96.922483766748428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368.21878006304479</v>
      </c>
      <c r="G149">
        <f ca="1">IF($C149-G$1&lt;År1,0,F148*(1-VLOOKUP($A149,[1]Hugst!$R$5:$W$9,MATCH(ROUNDUP((G$1)/10,0)*10,[1]Hugst!$R$4:$W$4,0))))</f>
        <v>368.70582772016525</v>
      </c>
      <c r="H149">
        <f ca="1">IF($C149-H$1&lt;År1,0,G148*(1-VLOOKUP($A149,[1]Hugst!$R$5:$W$9,MATCH(ROUNDUP((H$1)/10,0)*10,[1]Hugst!$R$4:$W$4,0))))</f>
        <v>369.19532285294991</v>
      </c>
      <c r="I149">
        <f ca="1">IF($C149-I$1&lt;År1,0,H148*(1-VLOOKUP($A149,[1]Hugst!$R$5:$W$9,MATCH(ROUNDUP((I$1)/10,0)*10,[1]Hugst!$R$4:$W$4,0))))</f>
        <v>369.68727776026782</v>
      </c>
      <c r="J149">
        <f ca="1">IF($C149-J$1&lt;År1,0,I148*(1-VLOOKUP($A149,[1]Hugst!$R$5:$W$9,MATCH(ROUNDUP((J$1)/10,0)*10,[1]Hugst!$R$4:$W$4,0))))</f>
        <v>370.18170480279792</v>
      </c>
      <c r="K149">
        <f ca="1">IF($C149-K$1&lt;År1,0,J148*(1-VLOOKUP($A149,[1]Hugst!$R$5:$W$9,MATCH(ROUNDUP((K$1)/10,0)*10,[1]Hugst!$R$4:$W$4,0))))</f>
        <v>370.67861640333882</v>
      </c>
      <c r="L149">
        <f ca="1">IF($C149-L$1&lt;År1,0,K148*(1-VLOOKUP($A149,[1]Hugst!$R$5:$W$9,MATCH(ROUNDUP((L$1)/10,0)*10,[1]Hugst!$R$4:$W$4,0))))</f>
        <v>371.17802504708953</v>
      </c>
      <c r="M149">
        <f ca="1">IF($C149-M$1&lt;År1,0,L148*(1-VLOOKUP($A149,[1]Hugst!$R$5:$W$9,MATCH(ROUNDUP((M$1)/10,0)*10,[1]Hugst!$R$4:$W$4,0))))</f>
        <v>371.679943282019</v>
      </c>
      <c r="N149">
        <f ca="1">IF($C149-N$1&lt;År1,0,M148*(1-VLOOKUP($A149,[1]Hugst!$R$5:$W$9,MATCH(ROUNDUP((N$1)/10,0)*10,[1]Hugst!$R$4:$W$4,0))))</f>
        <v>372.18438371913368</v>
      </c>
      <c r="O149">
        <f ca="1">IF($C149-O$1&lt;År1,0,N148*(1-VLOOKUP($A149,[1]Hugst!$R$5:$W$9,MATCH(ROUNDUP((O$1)/10,0)*10,[1]Hugst!$R$4:$W$4,0))))</f>
        <v>372.69135903281409</v>
      </c>
      <c r="P149">
        <f ca="1">IF($C149-P$1&lt;År1,0,O148*(1-VLOOKUP($A149,[1]Hugst!$R$5:$W$9,MATCH(ROUNDUP((P$1)/10,0)*10,[1]Hugst!$R$4:$W$4,0))))</f>
        <v>373.2008819611379</v>
      </c>
      <c r="Q149">
        <f ca="1">IF($C149-Q$1&lt;År1,0,P148*(1-VLOOKUP($A149,[1]Hugst!$R$5:$W$9,MATCH(ROUNDUP((Q$1)/10,0)*10,[1]Hugst!$R$4:$W$4,0))))</f>
        <v>373.71296530619003</v>
      </c>
      <c r="R149">
        <f ca="1">IF($C149-R$1&lt;År1,0,Q148*(1-VLOOKUP($A149,[1]Hugst!$R$5:$W$9,MATCH(ROUNDUP((R$1)/10,0)*10,[1]Hugst!$R$4:$W$4,0))))</f>
        <v>374.22762193437535</v>
      </c>
      <c r="S149">
        <f ca="1">IF($C149-S$1&lt;År1,0,R148*(1-VLOOKUP($A149,[1]Hugst!$R$5:$W$9,MATCH(ROUNDUP((S$1)/10,0)*10,[1]Hugst!$R$4:$W$4,0))))</f>
        <v>596.71456174648119</v>
      </c>
      <c r="T149">
        <f ca="1">IF($C149-T$1&lt;År1,0,S148*(1-VLOOKUP($A149,[1]Hugst!$R$5:$W$9,MATCH(ROUNDUP((T$1)/10,0)*10,[1]Hugst!$R$4:$W$4,0))))</f>
        <v>597.23440379914155</v>
      </c>
      <c r="U149">
        <f ca="1">IF($C149-U$1&lt;År1,0,T148*(1-VLOOKUP($A149,[1]Hugst!$R$5:$W$9,MATCH(ROUNDUP((U$1)/10,0)*10,[1]Hugst!$R$4:$W$4,0))))</f>
        <v>597.75685812343352</v>
      </c>
      <c r="V149">
        <f ca="1">IF($C149-V$1&lt;År1,0,U148*(1-VLOOKUP($A149,[1]Hugst!$R$5:$W$9,MATCH(ROUNDUP((V$1)/10,0)*10,[1]Hugst!$R$4:$W$4,0))))</f>
        <v>598.28193784633402</v>
      </c>
      <c r="W149">
        <f ca="1">IF($C149-W$1&lt;År1,0,V148*(1-VLOOKUP($A149,[1]Hugst!$R$5:$W$9,MATCH(ROUNDUP((W$1)/10,0)*10,[1]Hugst!$R$4:$W$4,0))))</f>
        <v>598.80965616080709</v>
      </c>
      <c r="X149">
        <f ca="1">IF($C149-X$1&lt;År1,0,W148*(1-VLOOKUP($A149,[1]Hugst!$R$5:$W$9,MATCH(ROUNDUP((X$1)/10,0)*10,[1]Hugst!$R$4:$W$4,0))))</f>
        <v>599.34002632610714</v>
      </c>
      <c r="Y149">
        <f ca="1">IF($C149-Y$1&lt;År1,0,X148*(1-VLOOKUP($A149,[1]Hugst!$R$5:$W$9,MATCH(ROUNDUP((Y$1)/10,0)*10,[1]Hugst!$R$4:$W$4,0))))</f>
        <v>599.87306166811823</v>
      </c>
      <c r="Z149">
        <f ca="1">IF($C149-Z$1&lt;År1,0,Y148*(1-VLOOKUP($A149,[1]Hugst!$R$5:$W$9,MATCH(ROUNDUP((Z$1)/10,0)*10,[1]Hugst!$R$4:$W$4,0))))</f>
        <v>600.40877557968702</v>
      </c>
      <c r="AA149">
        <f ca="1">IF($C149-AA$1&lt;År1,0,Z148*(1-VLOOKUP($A149,[1]Hugst!$R$5:$W$9,MATCH(ROUNDUP((AA$1)/10,0)*10,[1]Hugst!$R$4:$W$4,0))))</f>
        <v>600.94718152096243</v>
      </c>
      <c r="AB149">
        <f ca="1">IF($C149-AB$1&lt;År1,0,AA148*(1-VLOOKUP($A149,[1]Hugst!$R$5:$W$9,MATCH(ROUNDUP((AB$1)/10,0)*10,[1]Hugst!$R$4:$W$4,0))))</f>
        <v>601.48829301972796</v>
      </c>
      <c r="AC149">
        <f ca="1">IF($C149-AC$1&lt;År1,0,AB148*(1-VLOOKUP($A149,[1]Hugst!$R$5:$W$9,MATCH(ROUNDUP((AC$1)/10,0)*10,[1]Hugst!$R$4:$W$4,0))))</f>
        <v>602.03212367175934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25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96.437871347915006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367.73416764421137</v>
      </c>
      <c r="G150">
        <f ca="1">IF($C150-G$1&lt;År1,0,F149*(1-VLOOKUP($A150,[1]Hugst!$R$5:$W$9,MATCH(ROUNDUP((G$1)/10,0)*10,[1]Hugst!$R$4:$W$4,0))))</f>
        <v>368.21878006304479</v>
      </c>
      <c r="H150">
        <f ca="1">IF($C150-H$1&lt;År1,0,G149*(1-VLOOKUP($A150,[1]Hugst!$R$5:$W$9,MATCH(ROUNDUP((H$1)/10,0)*10,[1]Hugst!$R$4:$W$4,0))))</f>
        <v>368.70582772016525</v>
      </c>
      <c r="I150">
        <f ca="1">IF($C150-I$1&lt;År1,0,H149*(1-VLOOKUP($A150,[1]Hugst!$R$5:$W$9,MATCH(ROUNDUP((I$1)/10,0)*10,[1]Hugst!$R$4:$W$4,0))))</f>
        <v>369.19532285294991</v>
      </c>
      <c r="J150">
        <f ca="1">IF($C150-J$1&lt;År1,0,I149*(1-VLOOKUP($A150,[1]Hugst!$R$5:$W$9,MATCH(ROUNDUP((J$1)/10,0)*10,[1]Hugst!$R$4:$W$4,0))))</f>
        <v>369.68727776026782</v>
      </c>
      <c r="K150">
        <f ca="1">IF($C150-K$1&lt;År1,0,J149*(1-VLOOKUP($A150,[1]Hugst!$R$5:$W$9,MATCH(ROUNDUP((K$1)/10,0)*10,[1]Hugst!$R$4:$W$4,0))))</f>
        <v>370.18170480279792</v>
      </c>
      <c r="L150">
        <f ca="1">IF($C150-L$1&lt;År1,0,K149*(1-VLOOKUP($A150,[1]Hugst!$R$5:$W$9,MATCH(ROUNDUP((L$1)/10,0)*10,[1]Hugst!$R$4:$W$4,0))))</f>
        <v>370.67861640333882</v>
      </c>
      <c r="M150">
        <f ca="1">IF($C150-M$1&lt;År1,0,L149*(1-VLOOKUP($A150,[1]Hugst!$R$5:$W$9,MATCH(ROUNDUP((M$1)/10,0)*10,[1]Hugst!$R$4:$W$4,0))))</f>
        <v>371.17802504708953</v>
      </c>
      <c r="N150">
        <f ca="1">IF($C150-N$1&lt;År1,0,M149*(1-VLOOKUP($A150,[1]Hugst!$R$5:$W$9,MATCH(ROUNDUP((N$1)/10,0)*10,[1]Hugst!$R$4:$W$4,0))))</f>
        <v>371.679943282019</v>
      </c>
      <c r="O150">
        <f ca="1">IF($C150-O$1&lt;År1,0,N149*(1-VLOOKUP($A150,[1]Hugst!$R$5:$W$9,MATCH(ROUNDUP((O$1)/10,0)*10,[1]Hugst!$R$4:$W$4,0))))</f>
        <v>372.18438371913368</v>
      </c>
      <c r="P150">
        <f ca="1">IF($C150-P$1&lt;År1,0,O149*(1-VLOOKUP($A150,[1]Hugst!$R$5:$W$9,MATCH(ROUNDUP((P$1)/10,0)*10,[1]Hugst!$R$4:$W$4,0))))</f>
        <v>372.69135903281409</v>
      </c>
      <c r="Q150">
        <f ca="1">IF($C150-Q$1&lt;År1,0,P149*(1-VLOOKUP($A150,[1]Hugst!$R$5:$W$9,MATCH(ROUNDUP((Q$1)/10,0)*10,[1]Hugst!$R$4:$W$4,0))))</f>
        <v>373.2008819611379</v>
      </c>
      <c r="R150">
        <f ca="1">IF($C150-R$1&lt;År1,0,Q149*(1-VLOOKUP($A150,[1]Hugst!$R$5:$W$9,MATCH(ROUNDUP((R$1)/10,0)*10,[1]Hugst!$R$4:$W$4,0))))</f>
        <v>373.71296530619003</v>
      </c>
      <c r="S150">
        <f ca="1">IF($C150-S$1&lt;År1,0,R149*(1-VLOOKUP($A150,[1]Hugst!$R$5:$W$9,MATCH(ROUNDUP((S$1)/10,0)*10,[1]Hugst!$R$4:$W$4,0))))</f>
        <v>374.22762193437535</v>
      </c>
      <c r="T150">
        <f ca="1">IF($C150-T$1&lt;År1,0,S149*(1-VLOOKUP($A150,[1]Hugst!$R$5:$W$9,MATCH(ROUNDUP((T$1)/10,0)*10,[1]Hugst!$R$4:$W$4,0))))</f>
        <v>596.71456174648119</v>
      </c>
      <c r="U150">
        <f ca="1">IF($C150-U$1&lt;År1,0,T149*(1-VLOOKUP($A150,[1]Hugst!$R$5:$W$9,MATCH(ROUNDUP((U$1)/10,0)*10,[1]Hugst!$R$4:$W$4,0))))</f>
        <v>597.23440379914155</v>
      </c>
      <c r="V150">
        <f ca="1">IF($C150-V$1&lt;År1,0,U149*(1-VLOOKUP($A150,[1]Hugst!$R$5:$W$9,MATCH(ROUNDUP((V$1)/10,0)*10,[1]Hugst!$R$4:$W$4,0))))</f>
        <v>597.75685812343352</v>
      </c>
      <c r="W150">
        <f ca="1">IF($C150-W$1&lt;År1,0,V149*(1-VLOOKUP($A150,[1]Hugst!$R$5:$W$9,MATCH(ROUNDUP((W$1)/10,0)*10,[1]Hugst!$R$4:$W$4,0))))</f>
        <v>598.28193784633402</v>
      </c>
      <c r="X150">
        <f ca="1">IF($C150-X$1&lt;År1,0,W149*(1-VLOOKUP($A150,[1]Hugst!$R$5:$W$9,MATCH(ROUNDUP((X$1)/10,0)*10,[1]Hugst!$R$4:$W$4,0))))</f>
        <v>598.80965616080709</v>
      </c>
      <c r="Y150">
        <f ca="1">IF($C150-Y$1&lt;År1,0,X149*(1-VLOOKUP($A150,[1]Hugst!$R$5:$W$9,MATCH(ROUNDUP((Y$1)/10,0)*10,[1]Hugst!$R$4:$W$4,0))))</f>
        <v>599.34002632610714</v>
      </c>
      <c r="Z150">
        <f ca="1">IF($C150-Z$1&lt;År1,0,Y149*(1-VLOOKUP($A150,[1]Hugst!$R$5:$W$9,MATCH(ROUNDUP((Z$1)/10,0)*10,[1]Hugst!$R$4:$W$4,0))))</f>
        <v>599.87306166811823</v>
      </c>
      <c r="AA150">
        <f ca="1">IF($C150-AA$1&lt;År1,0,Z149*(1-VLOOKUP($A150,[1]Hugst!$R$5:$W$9,MATCH(ROUNDUP((AA$1)/10,0)*10,[1]Hugst!$R$4:$W$4,0))))</f>
        <v>600.40877557968702</v>
      </c>
      <c r="AB150">
        <f ca="1">IF($C150-AB$1&lt;År1,0,AA149*(1-VLOOKUP($A150,[1]Hugst!$R$5:$W$9,MATCH(ROUNDUP((AB$1)/10,0)*10,[1]Hugst!$R$4:$W$4,0))))</f>
        <v>600.94718152096243</v>
      </c>
      <c r="AC150">
        <f ca="1">IF($C150-AC$1&lt;År1,0,AB149*(1-VLOOKUP($A150,[1]Hugst!$R$5:$W$9,MATCH(ROUNDUP((AC$1)/10,0)*10,[1]Hugst!$R$4:$W$4,0))))</f>
        <v>601.48829301972796</v>
      </c>
      <c r="AD150">
        <f ca="1">IF($C150-AD$1&lt;År1,0,AC149*(1-VLOOKUP($A150,[1]Hugst!$R$5:$W$9,MATCH(ROUNDUP((AD$1)/10,0)*10,[1]Hugst!$R$4:$W$4,0))))</f>
        <v>602.03212367175934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25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95.955681991175425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367.25197828747179</v>
      </c>
      <c r="G151">
        <f ca="1">IF($C151-G$1&lt;År1,0,F150*(1-VLOOKUP($A151,[1]Hugst!$R$5:$W$9,MATCH(ROUNDUP((G$1)/10,0)*10,[1]Hugst!$R$4:$W$4,0))))</f>
        <v>367.73416764421137</v>
      </c>
      <c r="H151">
        <f ca="1">IF($C151-H$1&lt;År1,0,G150*(1-VLOOKUP($A151,[1]Hugst!$R$5:$W$9,MATCH(ROUNDUP((H$1)/10,0)*10,[1]Hugst!$R$4:$W$4,0))))</f>
        <v>368.21878006304479</v>
      </c>
      <c r="I151">
        <f ca="1">IF($C151-I$1&lt;År1,0,H150*(1-VLOOKUP($A151,[1]Hugst!$R$5:$W$9,MATCH(ROUNDUP((I$1)/10,0)*10,[1]Hugst!$R$4:$W$4,0))))</f>
        <v>368.70582772016525</v>
      </c>
      <c r="J151">
        <f ca="1">IF($C151-J$1&lt;År1,0,I150*(1-VLOOKUP($A151,[1]Hugst!$R$5:$W$9,MATCH(ROUNDUP((J$1)/10,0)*10,[1]Hugst!$R$4:$W$4,0))))</f>
        <v>369.19532285294991</v>
      </c>
      <c r="K151">
        <f ca="1">IF($C151-K$1&lt;År1,0,J150*(1-VLOOKUP($A151,[1]Hugst!$R$5:$W$9,MATCH(ROUNDUP((K$1)/10,0)*10,[1]Hugst!$R$4:$W$4,0))))</f>
        <v>369.68727776026782</v>
      </c>
      <c r="L151">
        <f ca="1">IF($C151-L$1&lt;År1,0,K150*(1-VLOOKUP($A151,[1]Hugst!$R$5:$W$9,MATCH(ROUNDUP((L$1)/10,0)*10,[1]Hugst!$R$4:$W$4,0))))</f>
        <v>370.18170480279792</v>
      </c>
      <c r="M151">
        <f ca="1">IF($C151-M$1&lt;År1,0,L150*(1-VLOOKUP($A151,[1]Hugst!$R$5:$W$9,MATCH(ROUNDUP((M$1)/10,0)*10,[1]Hugst!$R$4:$W$4,0))))</f>
        <v>370.67861640333882</v>
      </c>
      <c r="N151">
        <f ca="1">IF($C151-N$1&lt;År1,0,M150*(1-VLOOKUP($A151,[1]Hugst!$R$5:$W$9,MATCH(ROUNDUP((N$1)/10,0)*10,[1]Hugst!$R$4:$W$4,0))))</f>
        <v>371.17802504708953</v>
      </c>
      <c r="O151">
        <f ca="1">IF($C151-O$1&lt;År1,0,N150*(1-VLOOKUP($A151,[1]Hugst!$R$5:$W$9,MATCH(ROUNDUP((O$1)/10,0)*10,[1]Hugst!$R$4:$W$4,0))))</f>
        <v>371.679943282019</v>
      </c>
      <c r="P151">
        <f ca="1">IF($C151-P$1&lt;År1,0,O150*(1-VLOOKUP($A151,[1]Hugst!$R$5:$W$9,MATCH(ROUNDUP((P$1)/10,0)*10,[1]Hugst!$R$4:$W$4,0))))</f>
        <v>372.18438371913368</v>
      </c>
      <c r="Q151">
        <f ca="1">IF($C151-Q$1&lt;År1,0,P150*(1-VLOOKUP($A151,[1]Hugst!$R$5:$W$9,MATCH(ROUNDUP((Q$1)/10,0)*10,[1]Hugst!$R$4:$W$4,0))))</f>
        <v>372.69135903281409</v>
      </c>
      <c r="R151">
        <f ca="1">IF($C151-R$1&lt;År1,0,Q150*(1-VLOOKUP($A151,[1]Hugst!$R$5:$W$9,MATCH(ROUNDUP((R$1)/10,0)*10,[1]Hugst!$R$4:$W$4,0))))</f>
        <v>373.2008819611379</v>
      </c>
      <c r="S151">
        <f ca="1">IF($C151-S$1&lt;År1,0,R150*(1-VLOOKUP($A151,[1]Hugst!$R$5:$W$9,MATCH(ROUNDUP((S$1)/10,0)*10,[1]Hugst!$R$4:$W$4,0))))</f>
        <v>373.71296530619003</v>
      </c>
      <c r="T151">
        <f ca="1">IF($C151-T$1&lt;År1,0,S150*(1-VLOOKUP($A151,[1]Hugst!$R$5:$W$9,MATCH(ROUNDUP((T$1)/10,0)*10,[1]Hugst!$R$4:$W$4,0))))</f>
        <v>374.22762193437535</v>
      </c>
      <c r="U151">
        <f ca="1">IF($C151-U$1&lt;År1,0,T150*(1-VLOOKUP($A151,[1]Hugst!$R$5:$W$9,MATCH(ROUNDUP((U$1)/10,0)*10,[1]Hugst!$R$4:$W$4,0))))</f>
        <v>596.71456174648119</v>
      </c>
      <c r="V151">
        <f ca="1">IF($C151-V$1&lt;År1,0,U150*(1-VLOOKUP($A151,[1]Hugst!$R$5:$W$9,MATCH(ROUNDUP((V$1)/10,0)*10,[1]Hugst!$R$4:$W$4,0))))</f>
        <v>597.23440379914155</v>
      </c>
      <c r="W151">
        <f ca="1">IF($C151-W$1&lt;År1,0,V150*(1-VLOOKUP($A151,[1]Hugst!$R$5:$W$9,MATCH(ROUNDUP((W$1)/10,0)*10,[1]Hugst!$R$4:$W$4,0))))</f>
        <v>597.75685812343352</v>
      </c>
      <c r="X151">
        <f ca="1">IF($C151-X$1&lt;År1,0,W150*(1-VLOOKUP($A151,[1]Hugst!$R$5:$W$9,MATCH(ROUNDUP((X$1)/10,0)*10,[1]Hugst!$R$4:$W$4,0))))</f>
        <v>598.28193784633402</v>
      </c>
      <c r="Y151">
        <f ca="1">IF($C151-Y$1&lt;År1,0,X150*(1-VLOOKUP($A151,[1]Hugst!$R$5:$W$9,MATCH(ROUNDUP((Y$1)/10,0)*10,[1]Hugst!$R$4:$W$4,0))))</f>
        <v>598.80965616080709</v>
      </c>
      <c r="Z151">
        <f ca="1">IF($C151-Z$1&lt;År1,0,Y150*(1-VLOOKUP($A151,[1]Hugst!$R$5:$W$9,MATCH(ROUNDUP((Z$1)/10,0)*10,[1]Hugst!$R$4:$W$4,0))))</f>
        <v>599.34002632610714</v>
      </c>
      <c r="AA151">
        <f ca="1">IF($C151-AA$1&lt;År1,0,Z150*(1-VLOOKUP($A151,[1]Hugst!$R$5:$W$9,MATCH(ROUNDUP((AA$1)/10,0)*10,[1]Hugst!$R$4:$W$4,0))))</f>
        <v>599.87306166811823</v>
      </c>
      <c r="AB151">
        <f ca="1">IF($C151-AB$1&lt;År1,0,AA150*(1-VLOOKUP($A151,[1]Hugst!$R$5:$W$9,MATCH(ROUNDUP((AB$1)/10,0)*10,[1]Hugst!$R$4:$W$4,0))))</f>
        <v>600.40877557968702</v>
      </c>
      <c r="AC151">
        <f ca="1">IF($C151-AC$1&lt;År1,0,AB150*(1-VLOOKUP($A151,[1]Hugst!$R$5:$W$9,MATCH(ROUNDUP((AC$1)/10,0)*10,[1]Hugst!$R$4:$W$4,0))))</f>
        <v>600.94718152096243</v>
      </c>
      <c r="AD151">
        <f ca="1">IF($C151-AD$1&lt;År1,0,AC150*(1-VLOOKUP($A151,[1]Hugst!$R$5:$W$9,MATCH(ROUNDUP((AD$1)/10,0)*10,[1]Hugst!$R$4:$W$4,0))))</f>
        <v>601.48829301972796</v>
      </c>
      <c r="AE151">
        <f ca="1">IF($C151-AE$1&lt;År1,0,AD150*(1-VLOOKUP($A151,[1]Hugst!$R$5:$W$9,MATCH(ROUNDUP((AE$1)/10,0)*10,[1]Hugst!$R$4:$W$4,0))))</f>
        <v>602.03212367175934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25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95.47590358122261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366.77219987751897</v>
      </c>
      <c r="G152">
        <f ca="1">IF($C152-G$1&lt;År1,0,F151*(1-VLOOKUP($A152,[1]Hugst!$R$5:$W$9,MATCH(ROUNDUP((G$1)/10,0)*10,[1]Hugst!$R$4:$W$4,0))))</f>
        <v>367.25197828747179</v>
      </c>
      <c r="H152">
        <f ca="1">IF($C152-H$1&lt;År1,0,G151*(1-VLOOKUP($A152,[1]Hugst!$R$5:$W$9,MATCH(ROUNDUP((H$1)/10,0)*10,[1]Hugst!$R$4:$W$4,0))))</f>
        <v>367.73416764421137</v>
      </c>
      <c r="I152">
        <f ca="1">IF($C152-I$1&lt;År1,0,H151*(1-VLOOKUP($A152,[1]Hugst!$R$5:$W$9,MATCH(ROUNDUP((I$1)/10,0)*10,[1]Hugst!$R$4:$W$4,0))))</f>
        <v>368.21878006304479</v>
      </c>
      <c r="J152">
        <f ca="1">IF($C152-J$1&lt;År1,0,I151*(1-VLOOKUP($A152,[1]Hugst!$R$5:$W$9,MATCH(ROUNDUP((J$1)/10,0)*10,[1]Hugst!$R$4:$W$4,0))))</f>
        <v>368.70582772016525</v>
      </c>
      <c r="K152">
        <f ca="1">IF($C152-K$1&lt;År1,0,J151*(1-VLOOKUP($A152,[1]Hugst!$R$5:$W$9,MATCH(ROUNDUP((K$1)/10,0)*10,[1]Hugst!$R$4:$W$4,0))))</f>
        <v>369.19532285294991</v>
      </c>
      <c r="L152">
        <f ca="1">IF($C152-L$1&lt;År1,0,K151*(1-VLOOKUP($A152,[1]Hugst!$R$5:$W$9,MATCH(ROUNDUP((L$1)/10,0)*10,[1]Hugst!$R$4:$W$4,0))))</f>
        <v>369.68727776026782</v>
      </c>
      <c r="M152">
        <f ca="1">IF($C152-M$1&lt;År1,0,L151*(1-VLOOKUP($A152,[1]Hugst!$R$5:$W$9,MATCH(ROUNDUP((M$1)/10,0)*10,[1]Hugst!$R$4:$W$4,0))))</f>
        <v>370.18170480279792</v>
      </c>
      <c r="N152">
        <f ca="1">IF($C152-N$1&lt;År1,0,M151*(1-VLOOKUP($A152,[1]Hugst!$R$5:$W$9,MATCH(ROUNDUP((N$1)/10,0)*10,[1]Hugst!$R$4:$W$4,0))))</f>
        <v>370.67861640333882</v>
      </c>
      <c r="O152">
        <f ca="1">IF($C152-O$1&lt;År1,0,N151*(1-VLOOKUP($A152,[1]Hugst!$R$5:$W$9,MATCH(ROUNDUP((O$1)/10,0)*10,[1]Hugst!$R$4:$W$4,0))))</f>
        <v>371.17802504708953</v>
      </c>
      <c r="P152">
        <f ca="1">IF($C152-P$1&lt;År1,0,O151*(1-VLOOKUP($A152,[1]Hugst!$R$5:$W$9,MATCH(ROUNDUP((P$1)/10,0)*10,[1]Hugst!$R$4:$W$4,0))))</f>
        <v>371.679943282019</v>
      </c>
      <c r="Q152">
        <f ca="1">IF($C152-Q$1&lt;År1,0,P151*(1-VLOOKUP($A152,[1]Hugst!$R$5:$W$9,MATCH(ROUNDUP((Q$1)/10,0)*10,[1]Hugst!$R$4:$W$4,0))))</f>
        <v>372.18438371913368</v>
      </c>
      <c r="R152">
        <f ca="1">IF($C152-R$1&lt;År1,0,Q151*(1-VLOOKUP($A152,[1]Hugst!$R$5:$W$9,MATCH(ROUNDUP((R$1)/10,0)*10,[1]Hugst!$R$4:$W$4,0))))</f>
        <v>372.69135903281409</v>
      </c>
      <c r="S152">
        <f ca="1">IF($C152-S$1&lt;År1,0,R151*(1-VLOOKUP($A152,[1]Hugst!$R$5:$W$9,MATCH(ROUNDUP((S$1)/10,0)*10,[1]Hugst!$R$4:$W$4,0))))</f>
        <v>373.2008819611379</v>
      </c>
      <c r="T152">
        <f ca="1">IF($C152-T$1&lt;År1,0,S151*(1-VLOOKUP($A152,[1]Hugst!$R$5:$W$9,MATCH(ROUNDUP((T$1)/10,0)*10,[1]Hugst!$R$4:$W$4,0))))</f>
        <v>373.71296530619003</v>
      </c>
      <c r="U152">
        <f ca="1">IF($C152-U$1&lt;År1,0,T151*(1-VLOOKUP($A152,[1]Hugst!$R$5:$W$9,MATCH(ROUNDUP((U$1)/10,0)*10,[1]Hugst!$R$4:$W$4,0))))</f>
        <v>374.22762193437535</v>
      </c>
      <c r="V152">
        <f ca="1">IF($C152-V$1&lt;År1,0,U151*(1-VLOOKUP($A152,[1]Hugst!$R$5:$W$9,MATCH(ROUNDUP((V$1)/10,0)*10,[1]Hugst!$R$4:$W$4,0))))</f>
        <v>596.71456174648119</v>
      </c>
      <c r="W152">
        <f ca="1">IF($C152-W$1&lt;År1,0,V151*(1-VLOOKUP($A152,[1]Hugst!$R$5:$W$9,MATCH(ROUNDUP((W$1)/10,0)*10,[1]Hugst!$R$4:$W$4,0))))</f>
        <v>597.23440379914155</v>
      </c>
      <c r="X152">
        <f ca="1">IF($C152-X$1&lt;År1,0,W151*(1-VLOOKUP($A152,[1]Hugst!$R$5:$W$9,MATCH(ROUNDUP((X$1)/10,0)*10,[1]Hugst!$R$4:$W$4,0))))</f>
        <v>597.75685812343352</v>
      </c>
      <c r="Y152">
        <f ca="1">IF($C152-Y$1&lt;År1,0,X151*(1-VLOOKUP($A152,[1]Hugst!$R$5:$W$9,MATCH(ROUNDUP((Y$1)/10,0)*10,[1]Hugst!$R$4:$W$4,0))))</f>
        <v>598.28193784633402</v>
      </c>
      <c r="Z152">
        <f ca="1">IF($C152-Z$1&lt;År1,0,Y151*(1-VLOOKUP($A152,[1]Hugst!$R$5:$W$9,MATCH(ROUNDUP((Z$1)/10,0)*10,[1]Hugst!$R$4:$W$4,0))))</f>
        <v>598.80965616080709</v>
      </c>
      <c r="AA152">
        <f ca="1">IF($C152-AA$1&lt;År1,0,Z151*(1-VLOOKUP($A152,[1]Hugst!$R$5:$W$9,MATCH(ROUNDUP((AA$1)/10,0)*10,[1]Hugst!$R$4:$W$4,0))))</f>
        <v>599.34002632610714</v>
      </c>
      <c r="AB152">
        <f ca="1">IF($C152-AB$1&lt;År1,0,AA151*(1-VLOOKUP($A152,[1]Hugst!$R$5:$W$9,MATCH(ROUNDUP((AB$1)/10,0)*10,[1]Hugst!$R$4:$W$4,0))))</f>
        <v>599.87306166811823</v>
      </c>
      <c r="AC152">
        <f ca="1">IF($C152-AC$1&lt;År1,0,AB151*(1-VLOOKUP($A152,[1]Hugst!$R$5:$W$9,MATCH(ROUNDUP((AC$1)/10,0)*10,[1]Hugst!$R$4:$W$4,0))))</f>
        <v>600.40877557968702</v>
      </c>
      <c r="AD152">
        <f ca="1">IF($C152-AD$1&lt;År1,0,AC151*(1-VLOOKUP($A152,[1]Hugst!$R$5:$W$9,MATCH(ROUNDUP((AD$1)/10,0)*10,[1]Hugst!$R$4:$W$4,0))))</f>
        <v>600.94718152096243</v>
      </c>
      <c r="AE152">
        <f ca="1">IF($C152-AE$1&lt;År1,0,AD151*(1-VLOOKUP($A152,[1]Hugst!$R$5:$W$9,MATCH(ROUNDUP((AE$1)/10,0)*10,[1]Hugst!$R$4:$W$4,0))))</f>
        <v>601.48829301972796</v>
      </c>
      <c r="AF152">
        <f ca="1">IF($C152-AF$1&lt;År1,0,AE151*(1-VLOOKUP($A152,[1]Hugst!$R$5:$W$9,MATCH(ROUNDUP((AF$1)/10,0)*10,[1]Hugst!$R$4:$W$4,0))))</f>
        <v>602.03212367175934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25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94.99852406331047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366.29482035960683</v>
      </c>
      <c r="G153">
        <f ca="1">IF($C153-G$1&lt;År1,0,F152*(1-VLOOKUP($A153,[1]Hugst!$R$5:$W$9,MATCH(ROUNDUP((G$1)/10,0)*10,[1]Hugst!$R$4:$W$4,0))))</f>
        <v>366.77219987751897</v>
      </c>
      <c r="H153">
        <f ca="1">IF($C153-H$1&lt;År1,0,G152*(1-VLOOKUP($A153,[1]Hugst!$R$5:$W$9,MATCH(ROUNDUP((H$1)/10,0)*10,[1]Hugst!$R$4:$W$4,0))))</f>
        <v>367.25197828747179</v>
      </c>
      <c r="I153">
        <f ca="1">IF($C153-I$1&lt;År1,0,H152*(1-VLOOKUP($A153,[1]Hugst!$R$5:$W$9,MATCH(ROUNDUP((I$1)/10,0)*10,[1]Hugst!$R$4:$W$4,0))))</f>
        <v>367.73416764421137</v>
      </c>
      <c r="J153">
        <f ca="1">IF($C153-J$1&lt;År1,0,I152*(1-VLOOKUP($A153,[1]Hugst!$R$5:$W$9,MATCH(ROUNDUP((J$1)/10,0)*10,[1]Hugst!$R$4:$W$4,0))))</f>
        <v>368.21878006304479</v>
      </c>
      <c r="K153">
        <f ca="1">IF($C153-K$1&lt;År1,0,J152*(1-VLOOKUP($A153,[1]Hugst!$R$5:$W$9,MATCH(ROUNDUP((K$1)/10,0)*10,[1]Hugst!$R$4:$W$4,0))))</f>
        <v>368.70582772016525</v>
      </c>
      <c r="L153">
        <f ca="1">IF($C153-L$1&lt;År1,0,K152*(1-VLOOKUP($A153,[1]Hugst!$R$5:$W$9,MATCH(ROUNDUP((L$1)/10,0)*10,[1]Hugst!$R$4:$W$4,0))))</f>
        <v>369.19532285294991</v>
      </c>
      <c r="M153">
        <f ca="1">IF($C153-M$1&lt;År1,0,L152*(1-VLOOKUP($A153,[1]Hugst!$R$5:$W$9,MATCH(ROUNDUP((M$1)/10,0)*10,[1]Hugst!$R$4:$W$4,0))))</f>
        <v>369.68727776026782</v>
      </c>
      <c r="N153">
        <f ca="1">IF($C153-N$1&lt;År1,0,M152*(1-VLOOKUP($A153,[1]Hugst!$R$5:$W$9,MATCH(ROUNDUP((N$1)/10,0)*10,[1]Hugst!$R$4:$W$4,0))))</f>
        <v>370.18170480279792</v>
      </c>
      <c r="O153">
        <f ca="1">IF($C153-O$1&lt;År1,0,N152*(1-VLOOKUP($A153,[1]Hugst!$R$5:$W$9,MATCH(ROUNDUP((O$1)/10,0)*10,[1]Hugst!$R$4:$W$4,0))))</f>
        <v>370.67861640333882</v>
      </c>
      <c r="P153">
        <f ca="1">IF($C153-P$1&lt;År1,0,O152*(1-VLOOKUP($A153,[1]Hugst!$R$5:$W$9,MATCH(ROUNDUP((P$1)/10,0)*10,[1]Hugst!$R$4:$W$4,0))))</f>
        <v>371.17802504708953</v>
      </c>
      <c r="Q153">
        <f ca="1">IF($C153-Q$1&lt;År1,0,P152*(1-VLOOKUP($A153,[1]Hugst!$R$5:$W$9,MATCH(ROUNDUP((Q$1)/10,0)*10,[1]Hugst!$R$4:$W$4,0))))</f>
        <v>371.679943282019</v>
      </c>
      <c r="R153">
        <f ca="1">IF($C153-R$1&lt;År1,0,Q152*(1-VLOOKUP($A153,[1]Hugst!$R$5:$W$9,MATCH(ROUNDUP((R$1)/10,0)*10,[1]Hugst!$R$4:$W$4,0))))</f>
        <v>372.18438371913368</v>
      </c>
      <c r="S153">
        <f ca="1">IF($C153-S$1&lt;År1,0,R152*(1-VLOOKUP($A153,[1]Hugst!$R$5:$W$9,MATCH(ROUNDUP((S$1)/10,0)*10,[1]Hugst!$R$4:$W$4,0))))</f>
        <v>372.69135903281409</v>
      </c>
      <c r="T153">
        <f ca="1">IF($C153-T$1&lt;År1,0,S152*(1-VLOOKUP($A153,[1]Hugst!$R$5:$W$9,MATCH(ROUNDUP((T$1)/10,0)*10,[1]Hugst!$R$4:$W$4,0))))</f>
        <v>373.2008819611379</v>
      </c>
      <c r="U153">
        <f ca="1">IF($C153-U$1&lt;År1,0,T152*(1-VLOOKUP($A153,[1]Hugst!$R$5:$W$9,MATCH(ROUNDUP((U$1)/10,0)*10,[1]Hugst!$R$4:$W$4,0))))</f>
        <v>373.71296530619003</v>
      </c>
      <c r="V153">
        <f ca="1">IF($C153-V$1&lt;År1,0,U152*(1-VLOOKUP($A153,[1]Hugst!$R$5:$W$9,MATCH(ROUNDUP((V$1)/10,0)*10,[1]Hugst!$R$4:$W$4,0))))</f>
        <v>374.22762193437535</v>
      </c>
      <c r="W153">
        <f ca="1">IF($C153-W$1&lt;År1,0,V152*(1-VLOOKUP($A153,[1]Hugst!$R$5:$W$9,MATCH(ROUNDUP((W$1)/10,0)*10,[1]Hugst!$R$4:$W$4,0))))</f>
        <v>596.71456174648119</v>
      </c>
      <c r="X153">
        <f ca="1">IF($C153-X$1&lt;År1,0,W152*(1-VLOOKUP($A153,[1]Hugst!$R$5:$W$9,MATCH(ROUNDUP((X$1)/10,0)*10,[1]Hugst!$R$4:$W$4,0))))</f>
        <v>597.23440379914155</v>
      </c>
      <c r="Y153">
        <f ca="1">IF($C153-Y$1&lt;År1,0,X152*(1-VLOOKUP($A153,[1]Hugst!$R$5:$W$9,MATCH(ROUNDUP((Y$1)/10,0)*10,[1]Hugst!$R$4:$W$4,0))))</f>
        <v>597.75685812343352</v>
      </c>
      <c r="Z153">
        <f ca="1">IF($C153-Z$1&lt;År1,0,Y152*(1-VLOOKUP($A153,[1]Hugst!$R$5:$W$9,MATCH(ROUNDUP((Z$1)/10,0)*10,[1]Hugst!$R$4:$W$4,0))))</f>
        <v>598.28193784633402</v>
      </c>
      <c r="AA153">
        <f ca="1">IF($C153-AA$1&lt;År1,0,Z152*(1-VLOOKUP($A153,[1]Hugst!$R$5:$W$9,MATCH(ROUNDUP((AA$1)/10,0)*10,[1]Hugst!$R$4:$W$4,0))))</f>
        <v>598.80965616080709</v>
      </c>
      <c r="AB153">
        <f ca="1">IF($C153-AB$1&lt;År1,0,AA152*(1-VLOOKUP($A153,[1]Hugst!$R$5:$W$9,MATCH(ROUNDUP((AB$1)/10,0)*10,[1]Hugst!$R$4:$W$4,0))))</f>
        <v>599.34002632610714</v>
      </c>
      <c r="AC153">
        <f ca="1">IF($C153-AC$1&lt;År1,0,AB152*(1-VLOOKUP($A153,[1]Hugst!$R$5:$W$9,MATCH(ROUNDUP((AC$1)/10,0)*10,[1]Hugst!$R$4:$W$4,0))))</f>
        <v>599.87306166811823</v>
      </c>
      <c r="AD153">
        <f ca="1">IF($C153-AD$1&lt;År1,0,AC152*(1-VLOOKUP($A153,[1]Hugst!$R$5:$W$9,MATCH(ROUNDUP((AD$1)/10,0)*10,[1]Hugst!$R$4:$W$4,0))))</f>
        <v>600.40877557968702</v>
      </c>
      <c r="AE153">
        <f ca="1">IF($C153-AE$1&lt;År1,0,AD152*(1-VLOOKUP($A153,[1]Hugst!$R$5:$W$9,MATCH(ROUNDUP((AE$1)/10,0)*10,[1]Hugst!$R$4:$W$4,0))))</f>
        <v>600.94718152096243</v>
      </c>
      <c r="AF153">
        <f ca="1">IF($C153-AF$1&lt;År1,0,AE152*(1-VLOOKUP($A153,[1]Hugst!$R$5:$W$9,MATCH(ROUNDUP((AF$1)/10,0)*10,[1]Hugst!$R$4:$W$4,0))))</f>
        <v>601.48829301972796</v>
      </c>
      <c r="AG153">
        <f ca="1">IF($C153-AG$1&lt;År1,0,AF152*(1-VLOOKUP($A153,[1]Hugst!$R$5:$W$9,MATCH(ROUNDUP((AG$1)/10,0)*10,[1]Hugst!$R$4:$W$4,0))))</f>
        <v>602.03212367175934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25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94.523531442996955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365.81982773929332</v>
      </c>
      <c r="G154">
        <f ca="1">IF($C154-G$1&lt;År1,0,F153*(1-VLOOKUP($A154,[1]Hugst!$R$5:$W$9,MATCH(ROUNDUP((G$1)/10,0)*10,[1]Hugst!$R$4:$W$4,0))))</f>
        <v>366.29482035960683</v>
      </c>
      <c r="H154">
        <f ca="1">IF($C154-H$1&lt;År1,0,G153*(1-VLOOKUP($A154,[1]Hugst!$R$5:$W$9,MATCH(ROUNDUP((H$1)/10,0)*10,[1]Hugst!$R$4:$W$4,0))))</f>
        <v>366.77219987751897</v>
      </c>
      <c r="I154">
        <f ca="1">IF($C154-I$1&lt;År1,0,H153*(1-VLOOKUP($A154,[1]Hugst!$R$5:$W$9,MATCH(ROUNDUP((I$1)/10,0)*10,[1]Hugst!$R$4:$W$4,0))))</f>
        <v>367.25197828747179</v>
      </c>
      <c r="J154">
        <f ca="1">IF($C154-J$1&lt;År1,0,I153*(1-VLOOKUP($A154,[1]Hugst!$R$5:$W$9,MATCH(ROUNDUP((J$1)/10,0)*10,[1]Hugst!$R$4:$W$4,0))))</f>
        <v>367.73416764421137</v>
      </c>
      <c r="K154">
        <f ca="1">IF($C154-K$1&lt;År1,0,J153*(1-VLOOKUP($A154,[1]Hugst!$R$5:$W$9,MATCH(ROUNDUP((K$1)/10,0)*10,[1]Hugst!$R$4:$W$4,0))))</f>
        <v>368.21878006304479</v>
      </c>
      <c r="L154">
        <f ca="1">IF($C154-L$1&lt;År1,0,K153*(1-VLOOKUP($A154,[1]Hugst!$R$5:$W$9,MATCH(ROUNDUP((L$1)/10,0)*10,[1]Hugst!$R$4:$W$4,0))))</f>
        <v>368.70582772016525</v>
      </c>
      <c r="M154">
        <f ca="1">IF($C154-M$1&lt;År1,0,L153*(1-VLOOKUP($A154,[1]Hugst!$R$5:$W$9,MATCH(ROUNDUP((M$1)/10,0)*10,[1]Hugst!$R$4:$W$4,0))))</f>
        <v>369.19532285294991</v>
      </c>
      <c r="N154">
        <f ca="1">IF($C154-N$1&lt;År1,0,M153*(1-VLOOKUP($A154,[1]Hugst!$R$5:$W$9,MATCH(ROUNDUP((N$1)/10,0)*10,[1]Hugst!$R$4:$W$4,0))))</f>
        <v>369.68727776026782</v>
      </c>
      <c r="O154">
        <f ca="1">IF($C154-O$1&lt;År1,0,N153*(1-VLOOKUP($A154,[1]Hugst!$R$5:$W$9,MATCH(ROUNDUP((O$1)/10,0)*10,[1]Hugst!$R$4:$W$4,0))))</f>
        <v>370.18170480279792</v>
      </c>
      <c r="P154">
        <f ca="1">IF($C154-P$1&lt;År1,0,O153*(1-VLOOKUP($A154,[1]Hugst!$R$5:$W$9,MATCH(ROUNDUP((P$1)/10,0)*10,[1]Hugst!$R$4:$W$4,0))))</f>
        <v>370.67861640333882</v>
      </c>
      <c r="Q154">
        <f ca="1">IF($C154-Q$1&lt;År1,0,P153*(1-VLOOKUP($A154,[1]Hugst!$R$5:$W$9,MATCH(ROUNDUP((Q$1)/10,0)*10,[1]Hugst!$R$4:$W$4,0))))</f>
        <v>371.17802504708953</v>
      </c>
      <c r="R154">
        <f ca="1">IF($C154-R$1&lt;År1,0,Q153*(1-VLOOKUP($A154,[1]Hugst!$R$5:$W$9,MATCH(ROUNDUP((R$1)/10,0)*10,[1]Hugst!$R$4:$W$4,0))))</f>
        <v>371.679943282019</v>
      </c>
      <c r="S154">
        <f ca="1">IF($C154-S$1&lt;År1,0,R153*(1-VLOOKUP($A154,[1]Hugst!$R$5:$W$9,MATCH(ROUNDUP((S$1)/10,0)*10,[1]Hugst!$R$4:$W$4,0))))</f>
        <v>372.18438371913368</v>
      </c>
      <c r="T154">
        <f ca="1">IF($C154-T$1&lt;År1,0,S153*(1-VLOOKUP($A154,[1]Hugst!$R$5:$W$9,MATCH(ROUNDUP((T$1)/10,0)*10,[1]Hugst!$R$4:$W$4,0))))</f>
        <v>372.69135903281409</v>
      </c>
      <c r="U154">
        <f ca="1">IF($C154-U$1&lt;År1,0,T153*(1-VLOOKUP($A154,[1]Hugst!$R$5:$W$9,MATCH(ROUNDUP((U$1)/10,0)*10,[1]Hugst!$R$4:$W$4,0))))</f>
        <v>373.2008819611379</v>
      </c>
      <c r="V154">
        <f ca="1">IF($C154-V$1&lt;År1,0,U153*(1-VLOOKUP($A154,[1]Hugst!$R$5:$W$9,MATCH(ROUNDUP((V$1)/10,0)*10,[1]Hugst!$R$4:$W$4,0))))</f>
        <v>373.71296530619003</v>
      </c>
      <c r="W154">
        <f ca="1">IF($C154-W$1&lt;År1,0,V153*(1-VLOOKUP($A154,[1]Hugst!$R$5:$W$9,MATCH(ROUNDUP((W$1)/10,0)*10,[1]Hugst!$R$4:$W$4,0))))</f>
        <v>374.22762193437535</v>
      </c>
      <c r="X154">
        <f ca="1">IF($C154-X$1&lt;År1,0,W153*(1-VLOOKUP($A154,[1]Hugst!$R$5:$W$9,MATCH(ROUNDUP((X$1)/10,0)*10,[1]Hugst!$R$4:$W$4,0))))</f>
        <v>596.71456174648119</v>
      </c>
      <c r="Y154">
        <f ca="1">IF($C154-Y$1&lt;År1,0,X153*(1-VLOOKUP($A154,[1]Hugst!$R$5:$W$9,MATCH(ROUNDUP((Y$1)/10,0)*10,[1]Hugst!$R$4:$W$4,0))))</f>
        <v>597.23440379914155</v>
      </c>
      <c r="Z154">
        <f ca="1">IF($C154-Z$1&lt;År1,0,Y153*(1-VLOOKUP($A154,[1]Hugst!$R$5:$W$9,MATCH(ROUNDUP((Z$1)/10,0)*10,[1]Hugst!$R$4:$W$4,0))))</f>
        <v>597.75685812343352</v>
      </c>
      <c r="AA154">
        <f ca="1">IF($C154-AA$1&lt;År1,0,Z153*(1-VLOOKUP($A154,[1]Hugst!$R$5:$W$9,MATCH(ROUNDUP((AA$1)/10,0)*10,[1]Hugst!$R$4:$W$4,0))))</f>
        <v>598.28193784633402</v>
      </c>
      <c r="AB154">
        <f ca="1">IF($C154-AB$1&lt;År1,0,AA153*(1-VLOOKUP($A154,[1]Hugst!$R$5:$W$9,MATCH(ROUNDUP((AB$1)/10,0)*10,[1]Hugst!$R$4:$W$4,0))))</f>
        <v>598.80965616080709</v>
      </c>
      <c r="AC154">
        <f ca="1">IF($C154-AC$1&lt;År1,0,AB153*(1-VLOOKUP($A154,[1]Hugst!$R$5:$W$9,MATCH(ROUNDUP((AC$1)/10,0)*10,[1]Hugst!$R$4:$W$4,0))))</f>
        <v>599.34002632610714</v>
      </c>
      <c r="AD154">
        <f ca="1">IF($C154-AD$1&lt;År1,0,AC153*(1-VLOOKUP($A154,[1]Hugst!$R$5:$W$9,MATCH(ROUNDUP((AD$1)/10,0)*10,[1]Hugst!$R$4:$W$4,0))))</f>
        <v>599.87306166811823</v>
      </c>
      <c r="AE154">
        <f ca="1">IF($C154-AE$1&lt;År1,0,AD153*(1-VLOOKUP($A154,[1]Hugst!$R$5:$W$9,MATCH(ROUNDUP((AE$1)/10,0)*10,[1]Hugst!$R$4:$W$4,0))))</f>
        <v>600.40877557968702</v>
      </c>
      <c r="AF154">
        <f ca="1">IF($C154-AF$1&lt;År1,0,AE153*(1-VLOOKUP($A154,[1]Hugst!$R$5:$W$9,MATCH(ROUNDUP((AF$1)/10,0)*10,[1]Hugst!$R$4:$W$4,0))))</f>
        <v>600.94718152096243</v>
      </c>
      <c r="AG154">
        <f ca="1">IF($C154-AG$1&lt;År1,0,AF153*(1-VLOOKUP($A154,[1]Hugst!$R$5:$W$9,MATCH(ROUNDUP((AG$1)/10,0)*10,[1]Hugst!$R$4:$W$4,0))))</f>
        <v>601.48829301972796</v>
      </c>
      <c r="AH154">
        <f ca="1">IF($C154-AH$1&lt;År1,0,AG153*(1-VLOOKUP($A154,[1]Hugst!$R$5:$W$9,MATCH(ROUNDUP((AH$1)/10,0)*10,[1]Hugst!$R$4:$W$4,0))))</f>
        <v>602.03212367175934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25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94.050913785782086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365.34721008207845</v>
      </c>
      <c r="G155">
        <f ca="1">IF($C155-G$1&lt;År1,0,F154*(1-VLOOKUP($A155,[1]Hugst!$R$5:$W$9,MATCH(ROUNDUP((G$1)/10,0)*10,[1]Hugst!$R$4:$W$4,0))))</f>
        <v>365.81982773929332</v>
      </c>
      <c r="H155">
        <f ca="1">IF($C155-H$1&lt;År1,0,G154*(1-VLOOKUP($A155,[1]Hugst!$R$5:$W$9,MATCH(ROUNDUP((H$1)/10,0)*10,[1]Hugst!$R$4:$W$4,0))))</f>
        <v>366.29482035960683</v>
      </c>
      <c r="I155">
        <f ca="1">IF($C155-I$1&lt;År1,0,H154*(1-VLOOKUP($A155,[1]Hugst!$R$5:$W$9,MATCH(ROUNDUP((I$1)/10,0)*10,[1]Hugst!$R$4:$W$4,0))))</f>
        <v>366.77219987751897</v>
      </c>
      <c r="J155">
        <f ca="1">IF($C155-J$1&lt;År1,0,I154*(1-VLOOKUP($A155,[1]Hugst!$R$5:$W$9,MATCH(ROUNDUP((J$1)/10,0)*10,[1]Hugst!$R$4:$W$4,0))))</f>
        <v>367.25197828747179</v>
      </c>
      <c r="K155">
        <f ca="1">IF($C155-K$1&lt;År1,0,J154*(1-VLOOKUP($A155,[1]Hugst!$R$5:$W$9,MATCH(ROUNDUP((K$1)/10,0)*10,[1]Hugst!$R$4:$W$4,0))))</f>
        <v>367.73416764421137</v>
      </c>
      <c r="L155">
        <f ca="1">IF($C155-L$1&lt;År1,0,K154*(1-VLOOKUP($A155,[1]Hugst!$R$5:$W$9,MATCH(ROUNDUP((L$1)/10,0)*10,[1]Hugst!$R$4:$W$4,0))))</f>
        <v>368.21878006304479</v>
      </c>
      <c r="M155">
        <f ca="1">IF($C155-M$1&lt;År1,0,L154*(1-VLOOKUP($A155,[1]Hugst!$R$5:$W$9,MATCH(ROUNDUP((M$1)/10,0)*10,[1]Hugst!$R$4:$W$4,0))))</f>
        <v>368.70582772016525</v>
      </c>
      <c r="N155">
        <f ca="1">IF($C155-N$1&lt;År1,0,M154*(1-VLOOKUP($A155,[1]Hugst!$R$5:$W$9,MATCH(ROUNDUP((N$1)/10,0)*10,[1]Hugst!$R$4:$W$4,0))))</f>
        <v>369.19532285294991</v>
      </c>
      <c r="O155">
        <f ca="1">IF($C155-O$1&lt;År1,0,N154*(1-VLOOKUP($A155,[1]Hugst!$R$5:$W$9,MATCH(ROUNDUP((O$1)/10,0)*10,[1]Hugst!$R$4:$W$4,0))))</f>
        <v>369.68727776026782</v>
      </c>
      <c r="P155">
        <f ca="1">IF($C155-P$1&lt;År1,0,O154*(1-VLOOKUP($A155,[1]Hugst!$R$5:$W$9,MATCH(ROUNDUP((P$1)/10,0)*10,[1]Hugst!$R$4:$W$4,0))))</f>
        <v>370.18170480279792</v>
      </c>
      <c r="Q155">
        <f ca="1">IF($C155-Q$1&lt;År1,0,P154*(1-VLOOKUP($A155,[1]Hugst!$R$5:$W$9,MATCH(ROUNDUP((Q$1)/10,0)*10,[1]Hugst!$R$4:$W$4,0))))</f>
        <v>370.67861640333882</v>
      </c>
      <c r="R155">
        <f ca="1">IF($C155-R$1&lt;År1,0,Q154*(1-VLOOKUP($A155,[1]Hugst!$R$5:$W$9,MATCH(ROUNDUP((R$1)/10,0)*10,[1]Hugst!$R$4:$W$4,0))))</f>
        <v>371.17802504708953</v>
      </c>
      <c r="S155">
        <f ca="1">IF($C155-S$1&lt;År1,0,R154*(1-VLOOKUP($A155,[1]Hugst!$R$5:$W$9,MATCH(ROUNDUP((S$1)/10,0)*10,[1]Hugst!$R$4:$W$4,0))))</f>
        <v>371.679943282019</v>
      </c>
      <c r="T155">
        <f ca="1">IF($C155-T$1&lt;År1,0,S154*(1-VLOOKUP($A155,[1]Hugst!$R$5:$W$9,MATCH(ROUNDUP((T$1)/10,0)*10,[1]Hugst!$R$4:$W$4,0))))</f>
        <v>372.18438371913368</v>
      </c>
      <c r="U155">
        <f ca="1">IF($C155-U$1&lt;År1,0,T154*(1-VLOOKUP($A155,[1]Hugst!$R$5:$W$9,MATCH(ROUNDUP((U$1)/10,0)*10,[1]Hugst!$R$4:$W$4,0))))</f>
        <v>372.69135903281409</v>
      </c>
      <c r="V155">
        <f ca="1">IF($C155-V$1&lt;År1,0,U154*(1-VLOOKUP($A155,[1]Hugst!$R$5:$W$9,MATCH(ROUNDUP((V$1)/10,0)*10,[1]Hugst!$R$4:$W$4,0))))</f>
        <v>373.2008819611379</v>
      </c>
      <c r="W155">
        <f ca="1">IF($C155-W$1&lt;År1,0,V154*(1-VLOOKUP($A155,[1]Hugst!$R$5:$W$9,MATCH(ROUNDUP((W$1)/10,0)*10,[1]Hugst!$R$4:$W$4,0))))</f>
        <v>373.71296530619003</v>
      </c>
      <c r="X155">
        <f ca="1">IF($C155-X$1&lt;År1,0,W154*(1-VLOOKUP($A155,[1]Hugst!$R$5:$W$9,MATCH(ROUNDUP((X$1)/10,0)*10,[1]Hugst!$R$4:$W$4,0))))</f>
        <v>374.22762193437535</v>
      </c>
      <c r="Y155">
        <f ca="1">IF($C155-Y$1&lt;År1,0,X154*(1-VLOOKUP($A155,[1]Hugst!$R$5:$W$9,MATCH(ROUNDUP((Y$1)/10,0)*10,[1]Hugst!$R$4:$W$4,0))))</f>
        <v>596.71456174648119</v>
      </c>
      <c r="Z155">
        <f ca="1">IF($C155-Z$1&lt;År1,0,Y154*(1-VLOOKUP($A155,[1]Hugst!$R$5:$W$9,MATCH(ROUNDUP((Z$1)/10,0)*10,[1]Hugst!$R$4:$W$4,0))))</f>
        <v>597.23440379914155</v>
      </c>
      <c r="AA155">
        <f ca="1">IF($C155-AA$1&lt;År1,0,Z154*(1-VLOOKUP($A155,[1]Hugst!$R$5:$W$9,MATCH(ROUNDUP((AA$1)/10,0)*10,[1]Hugst!$R$4:$W$4,0))))</f>
        <v>597.75685812343352</v>
      </c>
      <c r="AB155">
        <f ca="1">IF($C155-AB$1&lt;År1,0,AA154*(1-VLOOKUP($A155,[1]Hugst!$R$5:$W$9,MATCH(ROUNDUP((AB$1)/10,0)*10,[1]Hugst!$R$4:$W$4,0))))</f>
        <v>598.28193784633402</v>
      </c>
      <c r="AC155">
        <f ca="1">IF($C155-AC$1&lt;År1,0,AB154*(1-VLOOKUP($A155,[1]Hugst!$R$5:$W$9,MATCH(ROUNDUP((AC$1)/10,0)*10,[1]Hugst!$R$4:$W$4,0))))</f>
        <v>598.80965616080709</v>
      </c>
      <c r="AD155">
        <f ca="1">IF($C155-AD$1&lt;År1,0,AC154*(1-VLOOKUP($A155,[1]Hugst!$R$5:$W$9,MATCH(ROUNDUP((AD$1)/10,0)*10,[1]Hugst!$R$4:$W$4,0))))</f>
        <v>599.34002632610714</v>
      </c>
      <c r="AE155">
        <f ca="1">IF($C155-AE$1&lt;År1,0,AD154*(1-VLOOKUP($A155,[1]Hugst!$R$5:$W$9,MATCH(ROUNDUP((AE$1)/10,0)*10,[1]Hugst!$R$4:$W$4,0))))</f>
        <v>599.87306166811823</v>
      </c>
      <c r="AF155">
        <f ca="1">IF($C155-AF$1&lt;År1,0,AE154*(1-VLOOKUP($A155,[1]Hugst!$R$5:$W$9,MATCH(ROUNDUP((AF$1)/10,0)*10,[1]Hugst!$R$4:$W$4,0))))</f>
        <v>600.40877557968702</v>
      </c>
      <c r="AG155">
        <f ca="1">IF($C155-AG$1&lt;År1,0,AF154*(1-VLOOKUP($A155,[1]Hugst!$R$5:$W$9,MATCH(ROUNDUP((AG$1)/10,0)*10,[1]Hugst!$R$4:$W$4,0))))</f>
        <v>600.94718152096243</v>
      </c>
      <c r="AH155">
        <f ca="1">IF($C155-AH$1&lt;År1,0,AG154*(1-VLOOKUP($A155,[1]Hugst!$R$5:$W$9,MATCH(ROUNDUP((AH$1)/10,0)*10,[1]Hugst!$R$4:$W$4,0))))</f>
        <v>601.48829301972796</v>
      </c>
      <c r="AI155">
        <f ca="1">IF($C155-AI$1&lt;År1,0,AH154*(1-VLOOKUP($A155,[1]Hugst!$R$5:$W$9,MATCH(ROUNDUP((AI$1)/10,0)*10,[1]Hugst!$R$4:$W$4,0))))</f>
        <v>602.03212367175934</v>
      </c>
      <c r="AJ155">
        <f>IF($C155-AJ$1&lt;År1,0,AI154*(1-VLOOKUP($A155,[1]Hugst!$R$5:$W$9,MATCH(ROUNDUP((AJ$1)/10,0)*10,[1]Hugst!$R$4:$W$4,0))))</f>
        <v>0</v>
      </c>
    </row>
    <row r="156" spans="1:36" x14ac:dyDescent="0.25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93.580659216854656</v>
      </c>
      <c r="E156">
        <f t="shared" ca="1" si="3"/>
        <v>1.0946038612219127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365.97155937437293</v>
      </c>
      <c r="G156">
        <f ca="1">IF($C156-G$1&lt;År1,0,F155*(1-VLOOKUP($A156,[1]Hugst!$R$5:$W$9,MATCH(ROUNDUP((G$1)/10,0)*10,[1]Hugst!$R$4:$W$4,0))))</f>
        <v>365.34721008207845</v>
      </c>
      <c r="H156">
        <f ca="1">IF($C156-H$1&lt;År1,0,G155*(1-VLOOKUP($A156,[1]Hugst!$R$5:$W$9,MATCH(ROUNDUP((H$1)/10,0)*10,[1]Hugst!$R$4:$W$4,0))))</f>
        <v>365.81982773929332</v>
      </c>
      <c r="I156">
        <f ca="1">IF($C156-I$1&lt;År1,0,H155*(1-VLOOKUP($A156,[1]Hugst!$R$5:$W$9,MATCH(ROUNDUP((I$1)/10,0)*10,[1]Hugst!$R$4:$W$4,0))))</f>
        <v>366.29482035960683</v>
      </c>
      <c r="J156">
        <f ca="1">IF($C156-J$1&lt;År1,0,I155*(1-VLOOKUP($A156,[1]Hugst!$R$5:$W$9,MATCH(ROUNDUP((J$1)/10,0)*10,[1]Hugst!$R$4:$W$4,0))))</f>
        <v>366.77219987751897</v>
      </c>
      <c r="K156">
        <f ca="1">IF($C156-K$1&lt;År1,0,J155*(1-VLOOKUP($A156,[1]Hugst!$R$5:$W$9,MATCH(ROUNDUP((K$1)/10,0)*10,[1]Hugst!$R$4:$W$4,0))))</f>
        <v>367.25197828747179</v>
      </c>
      <c r="L156">
        <f ca="1">IF($C156-L$1&lt;År1,0,K155*(1-VLOOKUP($A156,[1]Hugst!$R$5:$W$9,MATCH(ROUNDUP((L$1)/10,0)*10,[1]Hugst!$R$4:$W$4,0))))</f>
        <v>367.73416764421137</v>
      </c>
      <c r="M156">
        <f ca="1">IF($C156-M$1&lt;År1,0,L155*(1-VLOOKUP($A156,[1]Hugst!$R$5:$W$9,MATCH(ROUNDUP((M$1)/10,0)*10,[1]Hugst!$R$4:$W$4,0))))</f>
        <v>368.21878006304479</v>
      </c>
      <c r="N156">
        <f ca="1">IF($C156-N$1&lt;År1,0,M155*(1-VLOOKUP($A156,[1]Hugst!$R$5:$W$9,MATCH(ROUNDUP((N$1)/10,0)*10,[1]Hugst!$R$4:$W$4,0))))</f>
        <v>368.70582772016525</v>
      </c>
      <c r="O156">
        <f ca="1">IF($C156-O$1&lt;År1,0,N155*(1-VLOOKUP($A156,[1]Hugst!$R$5:$W$9,MATCH(ROUNDUP((O$1)/10,0)*10,[1]Hugst!$R$4:$W$4,0))))</f>
        <v>369.19532285294991</v>
      </c>
      <c r="P156">
        <f ca="1">IF($C156-P$1&lt;År1,0,O155*(1-VLOOKUP($A156,[1]Hugst!$R$5:$W$9,MATCH(ROUNDUP((P$1)/10,0)*10,[1]Hugst!$R$4:$W$4,0))))</f>
        <v>369.68727776026782</v>
      </c>
      <c r="Q156">
        <f ca="1">IF($C156-Q$1&lt;År1,0,P155*(1-VLOOKUP($A156,[1]Hugst!$R$5:$W$9,MATCH(ROUNDUP((Q$1)/10,0)*10,[1]Hugst!$R$4:$W$4,0))))</f>
        <v>370.18170480279792</v>
      </c>
      <c r="R156">
        <f ca="1">IF($C156-R$1&lt;År1,0,Q155*(1-VLOOKUP($A156,[1]Hugst!$R$5:$W$9,MATCH(ROUNDUP((R$1)/10,0)*10,[1]Hugst!$R$4:$W$4,0))))</f>
        <v>370.67861640333882</v>
      </c>
      <c r="S156">
        <f ca="1">IF($C156-S$1&lt;År1,0,R155*(1-VLOOKUP($A156,[1]Hugst!$R$5:$W$9,MATCH(ROUNDUP((S$1)/10,0)*10,[1]Hugst!$R$4:$W$4,0))))</f>
        <v>371.17802504708953</v>
      </c>
      <c r="T156">
        <f ca="1">IF($C156-T$1&lt;År1,0,S155*(1-VLOOKUP($A156,[1]Hugst!$R$5:$W$9,MATCH(ROUNDUP((T$1)/10,0)*10,[1]Hugst!$R$4:$W$4,0))))</f>
        <v>371.679943282019</v>
      </c>
      <c r="U156">
        <f ca="1">IF($C156-U$1&lt;År1,0,T155*(1-VLOOKUP($A156,[1]Hugst!$R$5:$W$9,MATCH(ROUNDUP((U$1)/10,0)*10,[1]Hugst!$R$4:$W$4,0))))</f>
        <v>372.18438371913368</v>
      </c>
      <c r="V156">
        <f ca="1">IF($C156-V$1&lt;År1,0,U155*(1-VLOOKUP($A156,[1]Hugst!$R$5:$W$9,MATCH(ROUNDUP((V$1)/10,0)*10,[1]Hugst!$R$4:$W$4,0))))</f>
        <v>372.69135903281409</v>
      </c>
      <c r="W156">
        <f ca="1">IF($C156-W$1&lt;År1,0,V155*(1-VLOOKUP($A156,[1]Hugst!$R$5:$W$9,MATCH(ROUNDUP((W$1)/10,0)*10,[1]Hugst!$R$4:$W$4,0))))</f>
        <v>373.2008819611379</v>
      </c>
      <c r="X156">
        <f ca="1">IF($C156-X$1&lt;År1,0,W155*(1-VLOOKUP($A156,[1]Hugst!$R$5:$W$9,MATCH(ROUNDUP((X$1)/10,0)*10,[1]Hugst!$R$4:$W$4,0))))</f>
        <v>373.71296530619003</v>
      </c>
      <c r="Y156">
        <f ca="1">IF($C156-Y$1&lt;År1,0,X155*(1-VLOOKUP($A156,[1]Hugst!$R$5:$W$9,MATCH(ROUNDUP((Y$1)/10,0)*10,[1]Hugst!$R$4:$W$4,0))))</f>
        <v>374.22762193437535</v>
      </c>
      <c r="Z156">
        <f ca="1">IF($C156-Z$1&lt;År1,0,Y155*(1-VLOOKUP($A156,[1]Hugst!$R$5:$W$9,MATCH(ROUNDUP((Z$1)/10,0)*10,[1]Hugst!$R$4:$W$4,0))))</f>
        <v>596.71456174648119</v>
      </c>
      <c r="AA156">
        <f ca="1">IF($C156-AA$1&lt;År1,0,Z155*(1-VLOOKUP($A156,[1]Hugst!$R$5:$W$9,MATCH(ROUNDUP((AA$1)/10,0)*10,[1]Hugst!$R$4:$W$4,0))))</f>
        <v>597.23440379914155</v>
      </c>
      <c r="AB156">
        <f ca="1">IF($C156-AB$1&lt;År1,0,AA155*(1-VLOOKUP($A156,[1]Hugst!$R$5:$W$9,MATCH(ROUNDUP((AB$1)/10,0)*10,[1]Hugst!$R$4:$W$4,0))))</f>
        <v>597.75685812343352</v>
      </c>
      <c r="AC156">
        <f ca="1">IF($C156-AC$1&lt;År1,0,AB155*(1-VLOOKUP($A156,[1]Hugst!$R$5:$W$9,MATCH(ROUNDUP((AC$1)/10,0)*10,[1]Hugst!$R$4:$W$4,0))))</f>
        <v>598.28193784633402</v>
      </c>
      <c r="AD156">
        <f ca="1">IF($C156-AD$1&lt;År1,0,AC155*(1-VLOOKUP($A156,[1]Hugst!$R$5:$W$9,MATCH(ROUNDUP((AD$1)/10,0)*10,[1]Hugst!$R$4:$W$4,0))))</f>
        <v>598.80965616080709</v>
      </c>
      <c r="AE156">
        <f ca="1">IF($C156-AE$1&lt;År1,0,AD155*(1-VLOOKUP($A156,[1]Hugst!$R$5:$W$9,MATCH(ROUNDUP((AE$1)/10,0)*10,[1]Hugst!$R$4:$W$4,0))))</f>
        <v>599.34002632610714</v>
      </c>
      <c r="AF156">
        <f ca="1">IF($C156-AF$1&lt;År1,0,AE155*(1-VLOOKUP($A156,[1]Hugst!$R$5:$W$9,MATCH(ROUNDUP((AF$1)/10,0)*10,[1]Hugst!$R$4:$W$4,0))))</f>
        <v>599.87306166811823</v>
      </c>
      <c r="AG156">
        <f ca="1">IF($C156-AG$1&lt;År1,0,AF155*(1-VLOOKUP($A156,[1]Hugst!$R$5:$W$9,MATCH(ROUNDUP((AG$1)/10,0)*10,[1]Hugst!$R$4:$W$4,0))))</f>
        <v>600.40877557968702</v>
      </c>
      <c r="AH156">
        <f ca="1">IF($C156-AH$1&lt;År1,0,AG155*(1-VLOOKUP($A156,[1]Hugst!$R$5:$W$9,MATCH(ROUNDUP((AH$1)/10,0)*10,[1]Hugst!$R$4:$W$4,0))))</f>
        <v>600.94718152096243</v>
      </c>
      <c r="AI156">
        <f ca="1">IF($C156-AI$1&lt;År1,0,AH155*(1-VLOOKUP($A156,[1]Hugst!$R$5:$W$9,MATCH(ROUNDUP((AI$1)/10,0)*10,[1]Hugst!$R$4:$W$4,0))))</f>
        <v>601.48829301972796</v>
      </c>
      <c r="AJ156">
        <f ca="1">IF($C156-AJ$1&lt;År1,0,AI155*(1-VLOOKUP($A156,[1]Hugst!$R$5:$W$9,MATCH(ROUNDUP((AJ$1)/10,0)*10,[1]Hugst!$R$4:$W$4,0))))</f>
        <v>600.93751981053799</v>
      </c>
    </row>
    <row r="157" spans="1:36" x14ac:dyDescent="0.25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31.83636959423384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106.75219451005873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25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31.677187746262643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106.59301266208753</v>
      </c>
      <c r="G158">
        <f ca="1">IF($C158-G$1&lt;År1,0,F157*(1-VLOOKUP($A158,[1]Hugst!$R$5:$W$9,MATCH(ROUNDUP((G$1)/10,0)*10,[1]Hugst!$R$4:$W$4,0))))</f>
        <v>106.75219451005873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25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31.518801807531425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106.4346267233563</v>
      </c>
      <c r="G159">
        <f ca="1">IF($C159-G$1&lt;År1,0,F158*(1-VLOOKUP($A159,[1]Hugst!$R$5:$W$9,MATCH(ROUNDUP((G$1)/10,0)*10,[1]Hugst!$R$4:$W$4,0))))</f>
        <v>106.59301266208753</v>
      </c>
      <c r="H159">
        <f ca="1">IF($C159-H$1&lt;År1,0,G158*(1-VLOOKUP($A159,[1]Hugst!$R$5:$W$9,MATCH(ROUNDUP((H$1)/10,0)*10,[1]Hugst!$R$4:$W$4,0))))</f>
        <v>106.75219451005873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25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31.36120779849297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106.27703271431785</v>
      </c>
      <c r="G160">
        <f ca="1">IF($C160-G$1&lt;År1,0,F159*(1-VLOOKUP($A160,[1]Hugst!$R$5:$W$9,MATCH(ROUNDUP((G$1)/10,0)*10,[1]Hugst!$R$4:$W$4,0))))</f>
        <v>106.4346267233563</v>
      </c>
      <c r="H160">
        <f ca="1">IF($C160-H$1&lt;År1,0,G159*(1-VLOOKUP($A160,[1]Hugst!$R$5:$W$9,MATCH(ROUNDUP((H$1)/10,0)*10,[1]Hugst!$R$4:$W$4,0))))</f>
        <v>106.59301266208753</v>
      </c>
      <c r="I160">
        <f ca="1">IF($C160-I$1&lt;År1,0,H159*(1-VLOOKUP($A160,[1]Hugst!$R$5:$W$9,MATCH(ROUNDUP((I$1)/10,0)*10,[1]Hugst!$R$4:$W$4,0))))</f>
        <v>106.75219451005873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25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31.204401759501366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106.12022667532625</v>
      </c>
      <c r="G161">
        <f ca="1">IF($C161-G$1&lt;År1,0,F160*(1-VLOOKUP($A161,[1]Hugst!$R$5:$W$9,MATCH(ROUNDUP((G$1)/10,0)*10,[1]Hugst!$R$4:$W$4,0))))</f>
        <v>106.27703271431785</v>
      </c>
      <c r="H161">
        <f ca="1">IF($C161-H$1&lt;År1,0,G160*(1-VLOOKUP($A161,[1]Hugst!$R$5:$W$9,MATCH(ROUNDUP((H$1)/10,0)*10,[1]Hugst!$R$4:$W$4,0))))</f>
        <v>106.4346267233563</v>
      </c>
      <c r="I161">
        <f ca="1">IF($C161-I$1&lt;År1,0,H160*(1-VLOOKUP($A161,[1]Hugst!$R$5:$W$9,MATCH(ROUNDUP((I$1)/10,0)*10,[1]Hugst!$R$4:$W$4,0))))</f>
        <v>106.59301266208753</v>
      </c>
      <c r="J161">
        <f ca="1">IF($C161-J$1&lt;År1,0,I160*(1-VLOOKUP($A161,[1]Hugst!$R$5:$W$9,MATCH(ROUNDUP((J$1)/10,0)*10,[1]Hugst!$R$4:$W$4,0))))</f>
        <v>106.75219451005873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25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31.048379750703305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105.96420466652819</v>
      </c>
      <c r="G162">
        <f ca="1">IF($C162-G$1&lt;År1,0,F161*(1-VLOOKUP($A162,[1]Hugst!$R$5:$W$9,MATCH(ROUNDUP((G$1)/10,0)*10,[1]Hugst!$R$4:$W$4,0))))</f>
        <v>106.12022667532625</v>
      </c>
      <c r="H162">
        <f ca="1">IF($C162-H$1&lt;År1,0,G161*(1-VLOOKUP($A162,[1]Hugst!$R$5:$W$9,MATCH(ROUNDUP((H$1)/10,0)*10,[1]Hugst!$R$4:$W$4,0))))</f>
        <v>106.27703271431785</v>
      </c>
      <c r="I162">
        <f ca="1">IF($C162-I$1&lt;År1,0,H161*(1-VLOOKUP($A162,[1]Hugst!$R$5:$W$9,MATCH(ROUNDUP((I$1)/10,0)*10,[1]Hugst!$R$4:$W$4,0))))</f>
        <v>106.4346267233563</v>
      </c>
      <c r="J162">
        <f ca="1">IF($C162-J$1&lt;År1,0,I161*(1-VLOOKUP($A162,[1]Hugst!$R$5:$W$9,MATCH(ROUNDUP((J$1)/10,0)*10,[1]Hugst!$R$4:$W$4,0))))</f>
        <v>106.59301266208753</v>
      </c>
      <c r="K162">
        <f ca="1">IF($C162-K$1&lt;År1,0,J161*(1-VLOOKUP($A162,[1]Hugst!$R$5:$W$9,MATCH(ROUNDUP((K$1)/10,0)*10,[1]Hugst!$R$4:$W$4,0))))</f>
        <v>106.75219451005873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25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30.893137851951167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105.80896276777605</v>
      </c>
      <c r="G163">
        <f ca="1">IF($C163-G$1&lt;År1,0,F162*(1-VLOOKUP($A163,[1]Hugst!$R$5:$W$9,MATCH(ROUNDUP((G$1)/10,0)*10,[1]Hugst!$R$4:$W$4,0))))</f>
        <v>105.96420466652819</v>
      </c>
      <c r="H163">
        <f ca="1">IF($C163-H$1&lt;År1,0,G162*(1-VLOOKUP($A163,[1]Hugst!$R$5:$W$9,MATCH(ROUNDUP((H$1)/10,0)*10,[1]Hugst!$R$4:$W$4,0))))</f>
        <v>106.12022667532625</v>
      </c>
      <c r="I163">
        <f ca="1">IF($C163-I$1&lt;År1,0,H162*(1-VLOOKUP($A163,[1]Hugst!$R$5:$W$9,MATCH(ROUNDUP((I$1)/10,0)*10,[1]Hugst!$R$4:$W$4,0))))</f>
        <v>106.27703271431785</v>
      </c>
      <c r="J163">
        <f ca="1">IF($C163-J$1&lt;År1,0,I162*(1-VLOOKUP($A163,[1]Hugst!$R$5:$W$9,MATCH(ROUNDUP((J$1)/10,0)*10,[1]Hugst!$R$4:$W$4,0))))</f>
        <v>106.4346267233563</v>
      </c>
      <c r="K163">
        <f ca="1">IF($C163-K$1&lt;År1,0,J162*(1-VLOOKUP($A163,[1]Hugst!$R$5:$W$9,MATCH(ROUNDUP((K$1)/10,0)*10,[1]Hugst!$R$4:$W$4,0))))</f>
        <v>106.59301266208753</v>
      </c>
      <c r="L163">
        <f ca="1">IF($C163-L$1&lt;År1,0,K162*(1-VLOOKUP($A163,[1]Hugst!$R$5:$W$9,MATCH(ROUNDUP((L$1)/10,0)*10,[1]Hugst!$R$4:$W$4,0))))</f>
        <v>106.75219451005873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25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30.738672162689909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105.65449707851479</v>
      </c>
      <c r="G164">
        <f ca="1">IF($C164-G$1&lt;År1,0,F163*(1-VLOOKUP($A164,[1]Hugst!$R$5:$W$9,MATCH(ROUNDUP((G$1)/10,0)*10,[1]Hugst!$R$4:$W$4,0))))</f>
        <v>105.80896276777605</v>
      </c>
      <c r="H164">
        <f ca="1">IF($C164-H$1&lt;År1,0,G163*(1-VLOOKUP($A164,[1]Hugst!$R$5:$W$9,MATCH(ROUNDUP((H$1)/10,0)*10,[1]Hugst!$R$4:$W$4,0))))</f>
        <v>105.96420466652819</v>
      </c>
      <c r="I164">
        <f ca="1">IF($C164-I$1&lt;År1,0,H163*(1-VLOOKUP($A164,[1]Hugst!$R$5:$W$9,MATCH(ROUNDUP((I$1)/10,0)*10,[1]Hugst!$R$4:$W$4,0))))</f>
        <v>106.12022667532625</v>
      </c>
      <c r="J164">
        <f ca="1">IF($C164-J$1&lt;År1,0,I163*(1-VLOOKUP($A164,[1]Hugst!$R$5:$W$9,MATCH(ROUNDUP((J$1)/10,0)*10,[1]Hugst!$R$4:$W$4,0))))</f>
        <v>106.27703271431785</v>
      </c>
      <c r="K164">
        <f ca="1">IF($C164-K$1&lt;År1,0,J163*(1-VLOOKUP($A164,[1]Hugst!$R$5:$W$9,MATCH(ROUNDUP((K$1)/10,0)*10,[1]Hugst!$R$4:$W$4,0))))</f>
        <v>106.4346267233563</v>
      </c>
      <c r="L164">
        <f ca="1">IF($C164-L$1&lt;År1,0,K163*(1-VLOOKUP($A164,[1]Hugst!$R$5:$W$9,MATCH(ROUNDUP((L$1)/10,0)*10,[1]Hugst!$R$4:$W$4,0))))</f>
        <v>106.59301266208753</v>
      </c>
      <c r="M164">
        <f ca="1">IF($C164-M$1&lt;År1,0,L163*(1-VLOOKUP($A164,[1]Hugst!$R$5:$W$9,MATCH(ROUNDUP((M$1)/10,0)*10,[1]Hugst!$R$4:$W$4,0))))</f>
        <v>106.75219451005873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25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30.584978801877185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105.50080371770207</v>
      </c>
      <c r="G165">
        <f ca="1">IF($C165-G$1&lt;År1,0,F164*(1-VLOOKUP($A165,[1]Hugst!$R$5:$W$9,MATCH(ROUNDUP((G$1)/10,0)*10,[1]Hugst!$R$4:$W$4,0))))</f>
        <v>105.65449707851479</v>
      </c>
      <c r="H165">
        <f ca="1">IF($C165-H$1&lt;År1,0,G164*(1-VLOOKUP($A165,[1]Hugst!$R$5:$W$9,MATCH(ROUNDUP((H$1)/10,0)*10,[1]Hugst!$R$4:$W$4,0))))</f>
        <v>105.80896276777605</v>
      </c>
      <c r="I165">
        <f ca="1">IF($C165-I$1&lt;År1,0,H164*(1-VLOOKUP($A165,[1]Hugst!$R$5:$W$9,MATCH(ROUNDUP((I$1)/10,0)*10,[1]Hugst!$R$4:$W$4,0))))</f>
        <v>105.96420466652819</v>
      </c>
      <c r="J165">
        <f ca="1">IF($C165-J$1&lt;År1,0,I164*(1-VLOOKUP($A165,[1]Hugst!$R$5:$W$9,MATCH(ROUNDUP((J$1)/10,0)*10,[1]Hugst!$R$4:$W$4,0))))</f>
        <v>106.12022667532625</v>
      </c>
      <c r="K165">
        <f ca="1">IF($C165-K$1&lt;År1,0,J164*(1-VLOOKUP($A165,[1]Hugst!$R$5:$W$9,MATCH(ROUNDUP((K$1)/10,0)*10,[1]Hugst!$R$4:$W$4,0))))</f>
        <v>106.27703271431785</v>
      </c>
      <c r="L165">
        <f ca="1">IF($C165-L$1&lt;År1,0,K164*(1-VLOOKUP($A165,[1]Hugst!$R$5:$W$9,MATCH(ROUNDUP((L$1)/10,0)*10,[1]Hugst!$R$4:$W$4,0))))</f>
        <v>106.4346267233563</v>
      </c>
      <c r="M165">
        <f ca="1">IF($C165-M$1&lt;År1,0,L164*(1-VLOOKUP($A165,[1]Hugst!$R$5:$W$9,MATCH(ROUNDUP((M$1)/10,0)*10,[1]Hugst!$R$4:$W$4,0))))</f>
        <v>106.59301266208753</v>
      </c>
      <c r="N165">
        <f ca="1">IF($C165-N$1&lt;År1,0,M164*(1-VLOOKUP($A165,[1]Hugst!$R$5:$W$9,MATCH(ROUNDUP((N$1)/10,0)*10,[1]Hugst!$R$4:$W$4,0))))</f>
        <v>106.75219451005873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25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30.432053907867498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105.34787882369238</v>
      </c>
      <c r="G166">
        <f ca="1">IF($C166-G$1&lt;År1,0,F165*(1-VLOOKUP($A166,[1]Hugst!$R$5:$W$9,MATCH(ROUNDUP((G$1)/10,0)*10,[1]Hugst!$R$4:$W$4,0))))</f>
        <v>105.50080371770207</v>
      </c>
      <c r="H166">
        <f ca="1">IF($C166-H$1&lt;År1,0,G165*(1-VLOOKUP($A166,[1]Hugst!$R$5:$W$9,MATCH(ROUNDUP((H$1)/10,0)*10,[1]Hugst!$R$4:$W$4,0))))</f>
        <v>105.65449707851479</v>
      </c>
      <c r="I166">
        <f ca="1">IF($C166-I$1&lt;År1,0,H165*(1-VLOOKUP($A166,[1]Hugst!$R$5:$W$9,MATCH(ROUNDUP((I$1)/10,0)*10,[1]Hugst!$R$4:$W$4,0))))</f>
        <v>105.80896276777605</v>
      </c>
      <c r="J166">
        <f ca="1">IF($C166-J$1&lt;År1,0,I165*(1-VLOOKUP($A166,[1]Hugst!$R$5:$W$9,MATCH(ROUNDUP((J$1)/10,0)*10,[1]Hugst!$R$4:$W$4,0))))</f>
        <v>105.96420466652819</v>
      </c>
      <c r="K166">
        <f ca="1">IF($C166-K$1&lt;År1,0,J165*(1-VLOOKUP($A166,[1]Hugst!$R$5:$W$9,MATCH(ROUNDUP((K$1)/10,0)*10,[1]Hugst!$R$4:$W$4,0))))</f>
        <v>106.12022667532625</v>
      </c>
      <c r="L166">
        <f ca="1">IF($C166-L$1&lt;År1,0,K165*(1-VLOOKUP($A166,[1]Hugst!$R$5:$W$9,MATCH(ROUNDUP((L$1)/10,0)*10,[1]Hugst!$R$4:$W$4,0))))</f>
        <v>106.27703271431785</v>
      </c>
      <c r="M166">
        <f ca="1">IF($C166-M$1&lt;År1,0,L165*(1-VLOOKUP($A166,[1]Hugst!$R$5:$W$9,MATCH(ROUNDUP((M$1)/10,0)*10,[1]Hugst!$R$4:$W$4,0))))</f>
        <v>106.4346267233563</v>
      </c>
      <c r="N166">
        <f ca="1">IF($C166-N$1&lt;År1,0,M165*(1-VLOOKUP($A166,[1]Hugst!$R$5:$W$9,MATCH(ROUNDUP((N$1)/10,0)*10,[1]Hugst!$R$4:$W$4,0))))</f>
        <v>106.59301266208753</v>
      </c>
      <c r="O166">
        <f ca="1">IF($C166-O$1&lt;År1,0,N165*(1-VLOOKUP($A166,[1]Hugst!$R$5:$W$9,MATCH(ROUNDUP((O$1)/10,0)*10,[1]Hugst!$R$4:$W$4,0))))</f>
        <v>106.75219451005873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25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30.279893638328929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105.19571855415381</v>
      </c>
      <c r="G167">
        <f ca="1">IF($C167-G$1&lt;År1,0,F166*(1-VLOOKUP($A167,[1]Hugst!$R$5:$W$9,MATCH(ROUNDUP((G$1)/10,0)*10,[1]Hugst!$R$4:$W$4,0))))</f>
        <v>105.34787882369238</v>
      </c>
      <c r="H167">
        <f ca="1">IF($C167-H$1&lt;År1,0,G166*(1-VLOOKUP($A167,[1]Hugst!$R$5:$W$9,MATCH(ROUNDUP((H$1)/10,0)*10,[1]Hugst!$R$4:$W$4,0))))</f>
        <v>105.50080371770207</v>
      </c>
      <c r="I167">
        <f ca="1">IF($C167-I$1&lt;År1,0,H166*(1-VLOOKUP($A167,[1]Hugst!$R$5:$W$9,MATCH(ROUNDUP((I$1)/10,0)*10,[1]Hugst!$R$4:$W$4,0))))</f>
        <v>105.65449707851479</v>
      </c>
      <c r="J167">
        <f ca="1">IF($C167-J$1&lt;År1,0,I166*(1-VLOOKUP($A167,[1]Hugst!$R$5:$W$9,MATCH(ROUNDUP((J$1)/10,0)*10,[1]Hugst!$R$4:$W$4,0))))</f>
        <v>105.80896276777605</v>
      </c>
      <c r="K167">
        <f ca="1">IF($C167-K$1&lt;År1,0,J166*(1-VLOOKUP($A167,[1]Hugst!$R$5:$W$9,MATCH(ROUNDUP((K$1)/10,0)*10,[1]Hugst!$R$4:$W$4,0))))</f>
        <v>105.96420466652819</v>
      </c>
      <c r="L167">
        <f ca="1">IF($C167-L$1&lt;År1,0,K166*(1-VLOOKUP($A167,[1]Hugst!$R$5:$W$9,MATCH(ROUNDUP((L$1)/10,0)*10,[1]Hugst!$R$4:$W$4,0))))</f>
        <v>106.12022667532625</v>
      </c>
      <c r="M167">
        <f ca="1">IF($C167-M$1&lt;År1,0,L166*(1-VLOOKUP($A167,[1]Hugst!$R$5:$W$9,MATCH(ROUNDUP((M$1)/10,0)*10,[1]Hugst!$R$4:$W$4,0))))</f>
        <v>106.27703271431785</v>
      </c>
      <c r="N167">
        <f ca="1">IF($C167-N$1&lt;År1,0,M166*(1-VLOOKUP($A167,[1]Hugst!$R$5:$W$9,MATCH(ROUNDUP((N$1)/10,0)*10,[1]Hugst!$R$4:$W$4,0))))</f>
        <v>106.4346267233563</v>
      </c>
      <c r="O167">
        <f ca="1">IF($C167-O$1&lt;År1,0,N166*(1-VLOOKUP($A167,[1]Hugst!$R$5:$W$9,MATCH(ROUNDUP((O$1)/10,0)*10,[1]Hugst!$R$4:$W$4,0))))</f>
        <v>106.59301266208753</v>
      </c>
      <c r="P167">
        <f ca="1">IF($C167-P$1&lt;År1,0,O166*(1-VLOOKUP($A167,[1]Hugst!$R$5:$W$9,MATCH(ROUNDUP((P$1)/10,0)*10,[1]Hugst!$R$4:$W$4,0))))</f>
        <v>106.75219451005873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25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30.128494170135696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71.332197873839419</v>
      </c>
      <c r="G168">
        <f ca="1">IF($C168-G$1&lt;År1,0,F167*(1-VLOOKUP($A168,[1]Hugst!$R$5:$W$9,MATCH(ROUNDUP((G$1)/10,0)*10,[1]Hugst!$R$4:$W$4,0))))</f>
        <v>105.19571855415381</v>
      </c>
      <c r="H168">
        <f ca="1">IF($C168-H$1&lt;År1,0,G167*(1-VLOOKUP($A168,[1]Hugst!$R$5:$W$9,MATCH(ROUNDUP((H$1)/10,0)*10,[1]Hugst!$R$4:$W$4,0))))</f>
        <v>105.34787882369238</v>
      </c>
      <c r="I168">
        <f ca="1">IF($C168-I$1&lt;År1,0,H167*(1-VLOOKUP($A168,[1]Hugst!$R$5:$W$9,MATCH(ROUNDUP((I$1)/10,0)*10,[1]Hugst!$R$4:$W$4,0))))</f>
        <v>105.50080371770207</v>
      </c>
      <c r="J168">
        <f ca="1">IF($C168-J$1&lt;År1,0,I167*(1-VLOOKUP($A168,[1]Hugst!$R$5:$W$9,MATCH(ROUNDUP((J$1)/10,0)*10,[1]Hugst!$R$4:$W$4,0))))</f>
        <v>105.65449707851479</v>
      </c>
      <c r="K168">
        <f ca="1">IF($C168-K$1&lt;År1,0,J167*(1-VLOOKUP($A168,[1]Hugst!$R$5:$W$9,MATCH(ROUNDUP((K$1)/10,0)*10,[1]Hugst!$R$4:$W$4,0))))</f>
        <v>105.80896276777605</v>
      </c>
      <c r="L168">
        <f ca="1">IF($C168-L$1&lt;År1,0,K167*(1-VLOOKUP($A168,[1]Hugst!$R$5:$W$9,MATCH(ROUNDUP((L$1)/10,0)*10,[1]Hugst!$R$4:$W$4,0))))</f>
        <v>105.96420466652819</v>
      </c>
      <c r="M168">
        <f ca="1">IF($C168-M$1&lt;År1,0,L167*(1-VLOOKUP($A168,[1]Hugst!$R$5:$W$9,MATCH(ROUNDUP((M$1)/10,0)*10,[1]Hugst!$R$4:$W$4,0))))</f>
        <v>106.12022667532625</v>
      </c>
      <c r="N168">
        <f ca="1">IF($C168-N$1&lt;År1,0,M167*(1-VLOOKUP($A168,[1]Hugst!$R$5:$W$9,MATCH(ROUNDUP((N$1)/10,0)*10,[1]Hugst!$R$4:$W$4,0))))</f>
        <v>106.27703271431785</v>
      </c>
      <c r="O168">
        <f ca="1">IF($C168-O$1&lt;År1,0,N167*(1-VLOOKUP($A168,[1]Hugst!$R$5:$W$9,MATCH(ROUNDUP((O$1)/10,0)*10,[1]Hugst!$R$4:$W$4,0))))</f>
        <v>106.4346267233563</v>
      </c>
      <c r="P168">
        <f ca="1">IF($C168-P$1&lt;År1,0,O167*(1-VLOOKUP($A168,[1]Hugst!$R$5:$W$9,MATCH(ROUNDUP((P$1)/10,0)*10,[1]Hugst!$R$4:$W$4,0))))</f>
        <v>106.59301266208753</v>
      </c>
      <c r="Q168">
        <f ca="1">IF($C168-Q$1&lt;År1,0,P167*(1-VLOOKUP($A168,[1]Hugst!$R$5:$W$9,MATCH(ROUNDUP((Q$1)/10,0)*10,[1]Hugst!$R$4:$W$4,0))))</f>
        <v>106.75219451005873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25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29.977851699286134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71.181555402989858</v>
      </c>
      <c r="G169">
        <f ca="1">IF($C169-G$1&lt;År1,0,F168*(1-VLOOKUP($A169,[1]Hugst!$R$5:$W$9,MATCH(ROUNDUP((G$1)/10,0)*10,[1]Hugst!$R$4:$W$4,0))))</f>
        <v>71.332197873839419</v>
      </c>
      <c r="H169">
        <f ca="1">IF($C169-H$1&lt;År1,0,G168*(1-VLOOKUP($A169,[1]Hugst!$R$5:$W$9,MATCH(ROUNDUP((H$1)/10,0)*10,[1]Hugst!$R$4:$W$4,0))))</f>
        <v>105.19571855415381</v>
      </c>
      <c r="I169">
        <f ca="1">IF($C169-I$1&lt;År1,0,H168*(1-VLOOKUP($A169,[1]Hugst!$R$5:$W$9,MATCH(ROUNDUP((I$1)/10,0)*10,[1]Hugst!$R$4:$W$4,0))))</f>
        <v>105.34787882369238</v>
      </c>
      <c r="J169">
        <f ca="1">IF($C169-J$1&lt;År1,0,I168*(1-VLOOKUP($A169,[1]Hugst!$R$5:$W$9,MATCH(ROUNDUP((J$1)/10,0)*10,[1]Hugst!$R$4:$W$4,0))))</f>
        <v>105.50080371770207</v>
      </c>
      <c r="K169">
        <f ca="1">IF($C169-K$1&lt;År1,0,J168*(1-VLOOKUP($A169,[1]Hugst!$R$5:$W$9,MATCH(ROUNDUP((K$1)/10,0)*10,[1]Hugst!$R$4:$W$4,0))))</f>
        <v>105.65449707851479</v>
      </c>
      <c r="L169">
        <f ca="1">IF($C169-L$1&lt;År1,0,K168*(1-VLOOKUP($A169,[1]Hugst!$R$5:$W$9,MATCH(ROUNDUP((L$1)/10,0)*10,[1]Hugst!$R$4:$W$4,0))))</f>
        <v>105.80896276777605</v>
      </c>
      <c r="M169">
        <f ca="1">IF($C169-M$1&lt;År1,0,L168*(1-VLOOKUP($A169,[1]Hugst!$R$5:$W$9,MATCH(ROUNDUP((M$1)/10,0)*10,[1]Hugst!$R$4:$W$4,0))))</f>
        <v>105.96420466652819</v>
      </c>
      <c r="N169">
        <f ca="1">IF($C169-N$1&lt;År1,0,M168*(1-VLOOKUP($A169,[1]Hugst!$R$5:$W$9,MATCH(ROUNDUP((N$1)/10,0)*10,[1]Hugst!$R$4:$W$4,0))))</f>
        <v>106.12022667532625</v>
      </c>
      <c r="O169">
        <f ca="1">IF($C169-O$1&lt;År1,0,N168*(1-VLOOKUP($A169,[1]Hugst!$R$5:$W$9,MATCH(ROUNDUP((O$1)/10,0)*10,[1]Hugst!$R$4:$W$4,0))))</f>
        <v>106.27703271431785</v>
      </c>
      <c r="P169">
        <f ca="1">IF($C169-P$1&lt;År1,0,O168*(1-VLOOKUP($A169,[1]Hugst!$R$5:$W$9,MATCH(ROUNDUP((P$1)/10,0)*10,[1]Hugst!$R$4:$W$4,0))))</f>
        <v>106.4346267233563</v>
      </c>
      <c r="Q169">
        <f ca="1">IF($C169-Q$1&lt;År1,0,P168*(1-VLOOKUP($A169,[1]Hugst!$R$5:$W$9,MATCH(ROUNDUP((Q$1)/10,0)*10,[1]Hugst!$R$4:$W$4,0))))</f>
        <v>106.59301266208753</v>
      </c>
      <c r="R169">
        <f ca="1">IF($C169-R$1&lt;År1,0,Q168*(1-VLOOKUP($A169,[1]Hugst!$R$5:$W$9,MATCH(ROUNDUP((R$1)/10,0)*10,[1]Hugst!$R$4:$W$4,0))))</f>
        <v>106.75219451005873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25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29.827962440789236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71.031666144492959</v>
      </c>
      <c r="G170">
        <f ca="1">IF($C170-G$1&lt;År1,0,F169*(1-VLOOKUP($A170,[1]Hugst!$R$5:$W$9,MATCH(ROUNDUP((G$1)/10,0)*10,[1]Hugst!$R$4:$W$4,0))))</f>
        <v>71.181555402989858</v>
      </c>
      <c r="H170">
        <f ca="1">IF($C170-H$1&lt;År1,0,G169*(1-VLOOKUP($A170,[1]Hugst!$R$5:$W$9,MATCH(ROUNDUP((H$1)/10,0)*10,[1]Hugst!$R$4:$W$4,0))))</f>
        <v>71.332197873839419</v>
      </c>
      <c r="I170">
        <f ca="1">IF($C170-I$1&lt;År1,0,H169*(1-VLOOKUP($A170,[1]Hugst!$R$5:$W$9,MATCH(ROUNDUP((I$1)/10,0)*10,[1]Hugst!$R$4:$W$4,0))))</f>
        <v>105.19571855415381</v>
      </c>
      <c r="J170">
        <f ca="1">IF($C170-J$1&lt;År1,0,I169*(1-VLOOKUP($A170,[1]Hugst!$R$5:$W$9,MATCH(ROUNDUP((J$1)/10,0)*10,[1]Hugst!$R$4:$W$4,0))))</f>
        <v>105.34787882369238</v>
      </c>
      <c r="K170">
        <f ca="1">IF($C170-K$1&lt;År1,0,J169*(1-VLOOKUP($A170,[1]Hugst!$R$5:$W$9,MATCH(ROUNDUP((K$1)/10,0)*10,[1]Hugst!$R$4:$W$4,0))))</f>
        <v>105.50080371770207</v>
      </c>
      <c r="L170">
        <f ca="1">IF($C170-L$1&lt;År1,0,K169*(1-VLOOKUP($A170,[1]Hugst!$R$5:$W$9,MATCH(ROUNDUP((L$1)/10,0)*10,[1]Hugst!$R$4:$W$4,0))))</f>
        <v>105.65449707851479</v>
      </c>
      <c r="M170">
        <f ca="1">IF($C170-M$1&lt;År1,0,L169*(1-VLOOKUP($A170,[1]Hugst!$R$5:$W$9,MATCH(ROUNDUP((M$1)/10,0)*10,[1]Hugst!$R$4:$W$4,0))))</f>
        <v>105.80896276777605</v>
      </c>
      <c r="N170">
        <f ca="1">IF($C170-N$1&lt;År1,0,M169*(1-VLOOKUP($A170,[1]Hugst!$R$5:$W$9,MATCH(ROUNDUP((N$1)/10,0)*10,[1]Hugst!$R$4:$W$4,0))))</f>
        <v>105.96420466652819</v>
      </c>
      <c r="O170">
        <f ca="1">IF($C170-O$1&lt;År1,0,N169*(1-VLOOKUP($A170,[1]Hugst!$R$5:$W$9,MATCH(ROUNDUP((O$1)/10,0)*10,[1]Hugst!$R$4:$W$4,0))))</f>
        <v>106.12022667532625</v>
      </c>
      <c r="P170">
        <f ca="1">IF($C170-P$1&lt;År1,0,O169*(1-VLOOKUP($A170,[1]Hugst!$R$5:$W$9,MATCH(ROUNDUP((P$1)/10,0)*10,[1]Hugst!$R$4:$W$4,0))))</f>
        <v>106.27703271431785</v>
      </c>
      <c r="Q170">
        <f ca="1">IF($C170-Q$1&lt;År1,0,P169*(1-VLOOKUP($A170,[1]Hugst!$R$5:$W$9,MATCH(ROUNDUP((Q$1)/10,0)*10,[1]Hugst!$R$4:$W$4,0))))</f>
        <v>106.4346267233563</v>
      </c>
      <c r="R170">
        <f ca="1">IF($C170-R$1&lt;År1,0,Q169*(1-VLOOKUP($A170,[1]Hugst!$R$5:$W$9,MATCH(ROUNDUP((R$1)/10,0)*10,[1]Hugst!$R$4:$W$4,0))))</f>
        <v>106.59301266208753</v>
      </c>
      <c r="S170">
        <f ca="1">IF($C170-S$1&lt;År1,0,R169*(1-VLOOKUP($A170,[1]Hugst!$R$5:$W$9,MATCH(ROUNDUP((S$1)/10,0)*10,[1]Hugst!$R$4:$W$4,0))))</f>
        <v>106.75219451005873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25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29.678822628585465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70.882526332289189</v>
      </c>
      <c r="G171">
        <f ca="1">IF($C171-G$1&lt;År1,0,F170*(1-VLOOKUP($A171,[1]Hugst!$R$5:$W$9,MATCH(ROUNDUP((G$1)/10,0)*10,[1]Hugst!$R$4:$W$4,0))))</f>
        <v>71.031666144492959</v>
      </c>
      <c r="H171">
        <f ca="1">IF($C171-H$1&lt;År1,0,G170*(1-VLOOKUP($A171,[1]Hugst!$R$5:$W$9,MATCH(ROUNDUP((H$1)/10,0)*10,[1]Hugst!$R$4:$W$4,0))))</f>
        <v>71.181555402989858</v>
      </c>
      <c r="I171">
        <f ca="1">IF($C171-I$1&lt;År1,0,H170*(1-VLOOKUP($A171,[1]Hugst!$R$5:$W$9,MATCH(ROUNDUP((I$1)/10,0)*10,[1]Hugst!$R$4:$W$4,0))))</f>
        <v>71.332197873839419</v>
      </c>
      <c r="J171">
        <f ca="1">IF($C171-J$1&lt;År1,0,I170*(1-VLOOKUP($A171,[1]Hugst!$R$5:$W$9,MATCH(ROUNDUP((J$1)/10,0)*10,[1]Hugst!$R$4:$W$4,0))))</f>
        <v>105.19571855415381</v>
      </c>
      <c r="K171">
        <f ca="1">IF($C171-K$1&lt;År1,0,J170*(1-VLOOKUP($A171,[1]Hugst!$R$5:$W$9,MATCH(ROUNDUP((K$1)/10,0)*10,[1]Hugst!$R$4:$W$4,0))))</f>
        <v>105.34787882369238</v>
      </c>
      <c r="L171">
        <f ca="1">IF($C171-L$1&lt;År1,0,K170*(1-VLOOKUP($A171,[1]Hugst!$R$5:$W$9,MATCH(ROUNDUP((L$1)/10,0)*10,[1]Hugst!$R$4:$W$4,0))))</f>
        <v>105.50080371770207</v>
      </c>
      <c r="M171">
        <f ca="1">IF($C171-M$1&lt;År1,0,L170*(1-VLOOKUP($A171,[1]Hugst!$R$5:$W$9,MATCH(ROUNDUP((M$1)/10,0)*10,[1]Hugst!$R$4:$W$4,0))))</f>
        <v>105.65449707851479</v>
      </c>
      <c r="N171">
        <f ca="1">IF($C171-N$1&lt;År1,0,M170*(1-VLOOKUP($A171,[1]Hugst!$R$5:$W$9,MATCH(ROUNDUP((N$1)/10,0)*10,[1]Hugst!$R$4:$W$4,0))))</f>
        <v>105.80896276777605</v>
      </c>
      <c r="O171">
        <f ca="1">IF($C171-O$1&lt;År1,0,N170*(1-VLOOKUP($A171,[1]Hugst!$R$5:$W$9,MATCH(ROUNDUP((O$1)/10,0)*10,[1]Hugst!$R$4:$W$4,0))))</f>
        <v>105.96420466652819</v>
      </c>
      <c r="P171">
        <f ca="1">IF($C171-P$1&lt;År1,0,O170*(1-VLOOKUP($A171,[1]Hugst!$R$5:$W$9,MATCH(ROUNDUP((P$1)/10,0)*10,[1]Hugst!$R$4:$W$4,0))))</f>
        <v>106.12022667532625</v>
      </c>
      <c r="Q171">
        <f ca="1">IF($C171-Q$1&lt;År1,0,P170*(1-VLOOKUP($A171,[1]Hugst!$R$5:$W$9,MATCH(ROUNDUP((Q$1)/10,0)*10,[1]Hugst!$R$4:$W$4,0))))</f>
        <v>106.27703271431785</v>
      </c>
      <c r="R171">
        <f ca="1">IF($C171-R$1&lt;År1,0,Q170*(1-VLOOKUP($A171,[1]Hugst!$R$5:$W$9,MATCH(ROUNDUP((R$1)/10,0)*10,[1]Hugst!$R$4:$W$4,0))))</f>
        <v>106.4346267233563</v>
      </c>
      <c r="S171">
        <f ca="1">IF($C171-S$1&lt;År1,0,R170*(1-VLOOKUP($A171,[1]Hugst!$R$5:$W$9,MATCH(ROUNDUP((S$1)/10,0)*10,[1]Hugst!$R$4:$W$4,0))))</f>
        <v>106.59301266208753</v>
      </c>
      <c r="T171">
        <f ca="1">IF($C171-T$1&lt;År1,0,S170*(1-VLOOKUP($A171,[1]Hugst!$R$5:$W$9,MATCH(ROUNDUP((T$1)/10,0)*10,[1]Hugst!$R$4:$W$4,0))))</f>
        <v>106.75219451005873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25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29.530428515443077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70.734132219146801</v>
      </c>
      <c r="G172">
        <f ca="1">IF($C172-G$1&lt;År1,0,F171*(1-VLOOKUP($A172,[1]Hugst!$R$5:$W$9,MATCH(ROUNDUP((G$1)/10,0)*10,[1]Hugst!$R$4:$W$4,0))))</f>
        <v>70.882526332289189</v>
      </c>
      <c r="H172">
        <f ca="1">IF($C172-H$1&lt;År1,0,G171*(1-VLOOKUP($A172,[1]Hugst!$R$5:$W$9,MATCH(ROUNDUP((H$1)/10,0)*10,[1]Hugst!$R$4:$W$4,0))))</f>
        <v>71.031666144492959</v>
      </c>
      <c r="I172">
        <f ca="1">IF($C172-I$1&lt;År1,0,H171*(1-VLOOKUP($A172,[1]Hugst!$R$5:$W$9,MATCH(ROUNDUP((I$1)/10,0)*10,[1]Hugst!$R$4:$W$4,0))))</f>
        <v>71.181555402989858</v>
      </c>
      <c r="J172">
        <f ca="1">IF($C172-J$1&lt;År1,0,I171*(1-VLOOKUP($A172,[1]Hugst!$R$5:$W$9,MATCH(ROUNDUP((J$1)/10,0)*10,[1]Hugst!$R$4:$W$4,0))))</f>
        <v>71.332197873839419</v>
      </c>
      <c r="K172">
        <f ca="1">IF($C172-K$1&lt;År1,0,J171*(1-VLOOKUP($A172,[1]Hugst!$R$5:$W$9,MATCH(ROUNDUP((K$1)/10,0)*10,[1]Hugst!$R$4:$W$4,0))))</f>
        <v>105.19571855415381</v>
      </c>
      <c r="L172">
        <f ca="1">IF($C172-L$1&lt;År1,0,K171*(1-VLOOKUP($A172,[1]Hugst!$R$5:$W$9,MATCH(ROUNDUP((L$1)/10,0)*10,[1]Hugst!$R$4:$W$4,0))))</f>
        <v>105.34787882369238</v>
      </c>
      <c r="M172">
        <f ca="1">IF($C172-M$1&lt;År1,0,L171*(1-VLOOKUP($A172,[1]Hugst!$R$5:$W$9,MATCH(ROUNDUP((M$1)/10,0)*10,[1]Hugst!$R$4:$W$4,0))))</f>
        <v>105.50080371770207</v>
      </c>
      <c r="N172">
        <f ca="1">IF($C172-N$1&lt;År1,0,M171*(1-VLOOKUP($A172,[1]Hugst!$R$5:$W$9,MATCH(ROUNDUP((N$1)/10,0)*10,[1]Hugst!$R$4:$W$4,0))))</f>
        <v>105.65449707851479</v>
      </c>
      <c r="O172">
        <f ca="1">IF($C172-O$1&lt;År1,0,N171*(1-VLOOKUP($A172,[1]Hugst!$R$5:$W$9,MATCH(ROUNDUP((O$1)/10,0)*10,[1]Hugst!$R$4:$W$4,0))))</f>
        <v>105.80896276777605</v>
      </c>
      <c r="P172">
        <f ca="1">IF($C172-P$1&lt;År1,0,O171*(1-VLOOKUP($A172,[1]Hugst!$R$5:$W$9,MATCH(ROUNDUP((P$1)/10,0)*10,[1]Hugst!$R$4:$W$4,0))))</f>
        <v>105.96420466652819</v>
      </c>
      <c r="Q172">
        <f ca="1">IF($C172-Q$1&lt;År1,0,P171*(1-VLOOKUP($A172,[1]Hugst!$R$5:$W$9,MATCH(ROUNDUP((Q$1)/10,0)*10,[1]Hugst!$R$4:$W$4,0))))</f>
        <v>106.12022667532625</v>
      </c>
      <c r="R172">
        <f ca="1">IF($C172-R$1&lt;År1,0,Q171*(1-VLOOKUP($A172,[1]Hugst!$R$5:$W$9,MATCH(ROUNDUP((R$1)/10,0)*10,[1]Hugst!$R$4:$W$4,0))))</f>
        <v>106.27703271431785</v>
      </c>
      <c r="S172">
        <f ca="1">IF($C172-S$1&lt;År1,0,R171*(1-VLOOKUP($A172,[1]Hugst!$R$5:$W$9,MATCH(ROUNDUP((S$1)/10,0)*10,[1]Hugst!$R$4:$W$4,0))))</f>
        <v>106.4346267233563</v>
      </c>
      <c r="T172">
        <f ca="1">IF($C172-T$1&lt;År1,0,S171*(1-VLOOKUP($A172,[1]Hugst!$R$5:$W$9,MATCH(ROUNDUP((T$1)/10,0)*10,[1]Hugst!$R$4:$W$4,0))))</f>
        <v>106.59301266208753</v>
      </c>
      <c r="U172">
        <f ca="1">IF($C172-U$1&lt;År1,0,T171*(1-VLOOKUP($A172,[1]Hugst!$R$5:$W$9,MATCH(ROUNDUP((U$1)/10,0)*10,[1]Hugst!$R$4:$W$4,0))))</f>
        <v>106.75219451005873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25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29.382776372865237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70.586480076568961</v>
      </c>
      <c r="G173">
        <f ca="1">IF($C173-G$1&lt;År1,0,F172*(1-VLOOKUP($A173,[1]Hugst!$R$5:$W$9,MATCH(ROUNDUP((G$1)/10,0)*10,[1]Hugst!$R$4:$W$4,0))))</f>
        <v>70.734132219146801</v>
      </c>
      <c r="H173">
        <f ca="1">IF($C173-H$1&lt;År1,0,G172*(1-VLOOKUP($A173,[1]Hugst!$R$5:$W$9,MATCH(ROUNDUP((H$1)/10,0)*10,[1]Hugst!$R$4:$W$4,0))))</f>
        <v>70.882526332289189</v>
      </c>
      <c r="I173">
        <f ca="1">IF($C173-I$1&lt;År1,0,H172*(1-VLOOKUP($A173,[1]Hugst!$R$5:$W$9,MATCH(ROUNDUP((I$1)/10,0)*10,[1]Hugst!$R$4:$W$4,0))))</f>
        <v>71.031666144492959</v>
      </c>
      <c r="J173">
        <f ca="1">IF($C173-J$1&lt;År1,0,I172*(1-VLOOKUP($A173,[1]Hugst!$R$5:$W$9,MATCH(ROUNDUP((J$1)/10,0)*10,[1]Hugst!$R$4:$W$4,0))))</f>
        <v>71.181555402989858</v>
      </c>
      <c r="K173">
        <f ca="1">IF($C173-K$1&lt;År1,0,J172*(1-VLOOKUP($A173,[1]Hugst!$R$5:$W$9,MATCH(ROUNDUP((K$1)/10,0)*10,[1]Hugst!$R$4:$W$4,0))))</f>
        <v>71.332197873839419</v>
      </c>
      <c r="L173">
        <f ca="1">IF($C173-L$1&lt;År1,0,K172*(1-VLOOKUP($A173,[1]Hugst!$R$5:$W$9,MATCH(ROUNDUP((L$1)/10,0)*10,[1]Hugst!$R$4:$W$4,0))))</f>
        <v>105.19571855415381</v>
      </c>
      <c r="M173">
        <f ca="1">IF($C173-M$1&lt;År1,0,L172*(1-VLOOKUP($A173,[1]Hugst!$R$5:$W$9,MATCH(ROUNDUP((M$1)/10,0)*10,[1]Hugst!$R$4:$W$4,0))))</f>
        <v>105.34787882369238</v>
      </c>
      <c r="N173">
        <f ca="1">IF($C173-N$1&lt;År1,0,M172*(1-VLOOKUP($A173,[1]Hugst!$R$5:$W$9,MATCH(ROUNDUP((N$1)/10,0)*10,[1]Hugst!$R$4:$W$4,0))))</f>
        <v>105.50080371770207</v>
      </c>
      <c r="O173">
        <f ca="1">IF($C173-O$1&lt;År1,0,N172*(1-VLOOKUP($A173,[1]Hugst!$R$5:$W$9,MATCH(ROUNDUP((O$1)/10,0)*10,[1]Hugst!$R$4:$W$4,0))))</f>
        <v>105.65449707851479</v>
      </c>
      <c r="P173">
        <f ca="1">IF($C173-P$1&lt;År1,0,O172*(1-VLOOKUP($A173,[1]Hugst!$R$5:$W$9,MATCH(ROUNDUP((P$1)/10,0)*10,[1]Hugst!$R$4:$W$4,0))))</f>
        <v>105.80896276777605</v>
      </c>
      <c r="Q173">
        <f ca="1">IF($C173-Q$1&lt;År1,0,P172*(1-VLOOKUP($A173,[1]Hugst!$R$5:$W$9,MATCH(ROUNDUP((Q$1)/10,0)*10,[1]Hugst!$R$4:$W$4,0))))</f>
        <v>105.96420466652819</v>
      </c>
      <c r="R173">
        <f ca="1">IF($C173-R$1&lt;År1,0,Q172*(1-VLOOKUP($A173,[1]Hugst!$R$5:$W$9,MATCH(ROUNDUP((R$1)/10,0)*10,[1]Hugst!$R$4:$W$4,0))))</f>
        <v>106.12022667532625</v>
      </c>
      <c r="S173">
        <f ca="1">IF($C173-S$1&lt;År1,0,R172*(1-VLOOKUP($A173,[1]Hugst!$R$5:$W$9,MATCH(ROUNDUP((S$1)/10,0)*10,[1]Hugst!$R$4:$W$4,0))))</f>
        <v>106.27703271431785</v>
      </c>
      <c r="T173">
        <f ca="1">IF($C173-T$1&lt;År1,0,S172*(1-VLOOKUP($A173,[1]Hugst!$R$5:$W$9,MATCH(ROUNDUP((T$1)/10,0)*10,[1]Hugst!$R$4:$W$4,0))))</f>
        <v>106.4346267233563</v>
      </c>
      <c r="U173">
        <f ca="1">IF($C173-U$1&lt;År1,0,T172*(1-VLOOKUP($A173,[1]Hugst!$R$5:$W$9,MATCH(ROUNDUP((U$1)/10,0)*10,[1]Hugst!$R$4:$W$4,0))))</f>
        <v>106.59301266208753</v>
      </c>
      <c r="V173">
        <f ca="1">IF($C173-V$1&lt;År1,0,U172*(1-VLOOKUP($A173,[1]Hugst!$R$5:$W$9,MATCH(ROUNDUP((V$1)/10,0)*10,[1]Hugst!$R$4:$W$4,0))))</f>
        <v>106.75219451005873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25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29.235862491001171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70.439566194704895</v>
      </c>
      <c r="G174">
        <f ca="1">IF($C174-G$1&lt;År1,0,F173*(1-VLOOKUP($A174,[1]Hugst!$R$5:$W$9,MATCH(ROUNDUP((G$1)/10,0)*10,[1]Hugst!$R$4:$W$4,0))))</f>
        <v>70.586480076568961</v>
      </c>
      <c r="H174">
        <f ca="1">IF($C174-H$1&lt;År1,0,G173*(1-VLOOKUP($A174,[1]Hugst!$R$5:$W$9,MATCH(ROUNDUP((H$1)/10,0)*10,[1]Hugst!$R$4:$W$4,0))))</f>
        <v>70.734132219146801</v>
      </c>
      <c r="I174">
        <f ca="1">IF($C174-I$1&lt;År1,0,H173*(1-VLOOKUP($A174,[1]Hugst!$R$5:$W$9,MATCH(ROUNDUP((I$1)/10,0)*10,[1]Hugst!$R$4:$W$4,0))))</f>
        <v>70.882526332289189</v>
      </c>
      <c r="J174">
        <f ca="1">IF($C174-J$1&lt;År1,0,I173*(1-VLOOKUP($A174,[1]Hugst!$R$5:$W$9,MATCH(ROUNDUP((J$1)/10,0)*10,[1]Hugst!$R$4:$W$4,0))))</f>
        <v>71.031666144492959</v>
      </c>
      <c r="K174">
        <f ca="1">IF($C174-K$1&lt;År1,0,J173*(1-VLOOKUP($A174,[1]Hugst!$R$5:$W$9,MATCH(ROUNDUP((K$1)/10,0)*10,[1]Hugst!$R$4:$W$4,0))))</f>
        <v>71.181555402989858</v>
      </c>
      <c r="L174">
        <f ca="1">IF($C174-L$1&lt;År1,0,K173*(1-VLOOKUP($A174,[1]Hugst!$R$5:$W$9,MATCH(ROUNDUP((L$1)/10,0)*10,[1]Hugst!$R$4:$W$4,0))))</f>
        <v>71.332197873839419</v>
      </c>
      <c r="M174">
        <f ca="1">IF($C174-M$1&lt;År1,0,L173*(1-VLOOKUP($A174,[1]Hugst!$R$5:$W$9,MATCH(ROUNDUP((M$1)/10,0)*10,[1]Hugst!$R$4:$W$4,0))))</f>
        <v>105.19571855415381</v>
      </c>
      <c r="N174">
        <f ca="1">IF($C174-N$1&lt;År1,0,M173*(1-VLOOKUP($A174,[1]Hugst!$R$5:$W$9,MATCH(ROUNDUP((N$1)/10,0)*10,[1]Hugst!$R$4:$W$4,0))))</f>
        <v>105.34787882369238</v>
      </c>
      <c r="O174">
        <f ca="1">IF($C174-O$1&lt;År1,0,N173*(1-VLOOKUP($A174,[1]Hugst!$R$5:$W$9,MATCH(ROUNDUP((O$1)/10,0)*10,[1]Hugst!$R$4:$W$4,0))))</f>
        <v>105.50080371770207</v>
      </c>
      <c r="P174">
        <f ca="1">IF($C174-P$1&lt;År1,0,O173*(1-VLOOKUP($A174,[1]Hugst!$R$5:$W$9,MATCH(ROUNDUP((P$1)/10,0)*10,[1]Hugst!$R$4:$W$4,0))))</f>
        <v>105.65449707851479</v>
      </c>
      <c r="Q174">
        <f ca="1">IF($C174-Q$1&lt;År1,0,P173*(1-VLOOKUP($A174,[1]Hugst!$R$5:$W$9,MATCH(ROUNDUP((Q$1)/10,0)*10,[1]Hugst!$R$4:$W$4,0))))</f>
        <v>105.80896276777605</v>
      </c>
      <c r="R174">
        <f ca="1">IF($C174-R$1&lt;År1,0,Q173*(1-VLOOKUP($A174,[1]Hugst!$R$5:$W$9,MATCH(ROUNDUP((R$1)/10,0)*10,[1]Hugst!$R$4:$W$4,0))))</f>
        <v>105.96420466652819</v>
      </c>
      <c r="S174">
        <f ca="1">IF($C174-S$1&lt;År1,0,R173*(1-VLOOKUP($A174,[1]Hugst!$R$5:$W$9,MATCH(ROUNDUP((S$1)/10,0)*10,[1]Hugst!$R$4:$W$4,0))))</f>
        <v>106.12022667532625</v>
      </c>
      <c r="T174">
        <f ca="1">IF($C174-T$1&lt;År1,0,S173*(1-VLOOKUP($A174,[1]Hugst!$R$5:$W$9,MATCH(ROUNDUP((T$1)/10,0)*10,[1]Hugst!$R$4:$W$4,0))))</f>
        <v>106.27703271431785</v>
      </c>
      <c r="U174">
        <f ca="1">IF($C174-U$1&lt;År1,0,T173*(1-VLOOKUP($A174,[1]Hugst!$R$5:$W$9,MATCH(ROUNDUP((U$1)/10,0)*10,[1]Hugst!$R$4:$W$4,0))))</f>
        <v>106.4346267233563</v>
      </c>
      <c r="V174">
        <f ca="1">IF($C174-V$1&lt;År1,0,U173*(1-VLOOKUP($A174,[1]Hugst!$R$5:$W$9,MATCH(ROUNDUP((V$1)/10,0)*10,[1]Hugst!$R$4:$W$4,0))))</f>
        <v>106.59301266208753</v>
      </c>
      <c r="W174">
        <f ca="1">IF($C174-W$1&lt;År1,0,V173*(1-VLOOKUP($A174,[1]Hugst!$R$5:$W$9,MATCH(ROUNDUP((W$1)/10,0)*10,[1]Hugst!$R$4:$W$4,0))))</f>
        <v>106.75219451005873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25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29.089683178546693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70.293386882250417</v>
      </c>
      <c r="G175">
        <f ca="1">IF($C175-G$1&lt;År1,0,F174*(1-VLOOKUP($A175,[1]Hugst!$R$5:$W$9,MATCH(ROUNDUP((G$1)/10,0)*10,[1]Hugst!$R$4:$W$4,0))))</f>
        <v>70.439566194704895</v>
      </c>
      <c r="H175">
        <f ca="1">IF($C175-H$1&lt;År1,0,G174*(1-VLOOKUP($A175,[1]Hugst!$R$5:$W$9,MATCH(ROUNDUP((H$1)/10,0)*10,[1]Hugst!$R$4:$W$4,0))))</f>
        <v>70.586480076568961</v>
      </c>
      <c r="I175">
        <f ca="1">IF($C175-I$1&lt;År1,0,H174*(1-VLOOKUP($A175,[1]Hugst!$R$5:$W$9,MATCH(ROUNDUP((I$1)/10,0)*10,[1]Hugst!$R$4:$W$4,0))))</f>
        <v>70.734132219146801</v>
      </c>
      <c r="J175">
        <f ca="1">IF($C175-J$1&lt;År1,0,I174*(1-VLOOKUP($A175,[1]Hugst!$R$5:$W$9,MATCH(ROUNDUP((J$1)/10,0)*10,[1]Hugst!$R$4:$W$4,0))))</f>
        <v>70.882526332289189</v>
      </c>
      <c r="K175">
        <f ca="1">IF($C175-K$1&lt;År1,0,J174*(1-VLOOKUP($A175,[1]Hugst!$R$5:$W$9,MATCH(ROUNDUP((K$1)/10,0)*10,[1]Hugst!$R$4:$W$4,0))))</f>
        <v>71.031666144492959</v>
      </c>
      <c r="L175">
        <f ca="1">IF($C175-L$1&lt;År1,0,K174*(1-VLOOKUP($A175,[1]Hugst!$R$5:$W$9,MATCH(ROUNDUP((L$1)/10,0)*10,[1]Hugst!$R$4:$W$4,0))))</f>
        <v>71.181555402989858</v>
      </c>
      <c r="M175">
        <f ca="1">IF($C175-M$1&lt;År1,0,L174*(1-VLOOKUP($A175,[1]Hugst!$R$5:$W$9,MATCH(ROUNDUP((M$1)/10,0)*10,[1]Hugst!$R$4:$W$4,0))))</f>
        <v>71.332197873839419</v>
      </c>
      <c r="N175">
        <f ca="1">IF($C175-N$1&lt;År1,0,M174*(1-VLOOKUP($A175,[1]Hugst!$R$5:$W$9,MATCH(ROUNDUP((N$1)/10,0)*10,[1]Hugst!$R$4:$W$4,0))))</f>
        <v>105.19571855415381</v>
      </c>
      <c r="O175">
        <f ca="1">IF($C175-O$1&lt;År1,0,N174*(1-VLOOKUP($A175,[1]Hugst!$R$5:$W$9,MATCH(ROUNDUP((O$1)/10,0)*10,[1]Hugst!$R$4:$W$4,0))))</f>
        <v>105.34787882369238</v>
      </c>
      <c r="P175">
        <f ca="1">IF($C175-P$1&lt;År1,0,O174*(1-VLOOKUP($A175,[1]Hugst!$R$5:$W$9,MATCH(ROUNDUP((P$1)/10,0)*10,[1]Hugst!$R$4:$W$4,0))))</f>
        <v>105.50080371770207</v>
      </c>
      <c r="Q175">
        <f ca="1">IF($C175-Q$1&lt;År1,0,P174*(1-VLOOKUP($A175,[1]Hugst!$R$5:$W$9,MATCH(ROUNDUP((Q$1)/10,0)*10,[1]Hugst!$R$4:$W$4,0))))</f>
        <v>105.65449707851479</v>
      </c>
      <c r="R175">
        <f ca="1">IF($C175-R$1&lt;År1,0,Q174*(1-VLOOKUP($A175,[1]Hugst!$R$5:$W$9,MATCH(ROUNDUP((R$1)/10,0)*10,[1]Hugst!$R$4:$W$4,0))))</f>
        <v>105.80896276777605</v>
      </c>
      <c r="S175">
        <f ca="1">IF($C175-S$1&lt;År1,0,R174*(1-VLOOKUP($A175,[1]Hugst!$R$5:$W$9,MATCH(ROUNDUP((S$1)/10,0)*10,[1]Hugst!$R$4:$W$4,0))))</f>
        <v>105.96420466652819</v>
      </c>
      <c r="T175">
        <f ca="1">IF($C175-T$1&lt;År1,0,S174*(1-VLOOKUP($A175,[1]Hugst!$R$5:$W$9,MATCH(ROUNDUP((T$1)/10,0)*10,[1]Hugst!$R$4:$W$4,0))))</f>
        <v>106.12022667532625</v>
      </c>
      <c r="U175">
        <f ca="1">IF($C175-U$1&lt;År1,0,T174*(1-VLOOKUP($A175,[1]Hugst!$R$5:$W$9,MATCH(ROUNDUP((U$1)/10,0)*10,[1]Hugst!$R$4:$W$4,0))))</f>
        <v>106.27703271431785</v>
      </c>
      <c r="V175">
        <f ca="1">IF($C175-V$1&lt;År1,0,U174*(1-VLOOKUP($A175,[1]Hugst!$R$5:$W$9,MATCH(ROUNDUP((V$1)/10,0)*10,[1]Hugst!$R$4:$W$4,0))))</f>
        <v>106.4346267233563</v>
      </c>
      <c r="W175">
        <f ca="1">IF($C175-W$1&lt;År1,0,V174*(1-VLOOKUP($A175,[1]Hugst!$R$5:$W$9,MATCH(ROUNDUP((W$1)/10,0)*10,[1]Hugst!$R$4:$W$4,0))))</f>
        <v>106.59301266208753</v>
      </c>
      <c r="X175">
        <f ca="1">IF($C175-X$1&lt;År1,0,W174*(1-VLOOKUP($A175,[1]Hugst!$R$5:$W$9,MATCH(ROUNDUP((X$1)/10,0)*10,[1]Hugst!$R$4:$W$4,0))))</f>
        <v>106.75219451005873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25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28.944234762652854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70.147938466356578</v>
      </c>
      <c r="G176">
        <f ca="1">IF($C176-G$1&lt;År1,0,F175*(1-VLOOKUP($A176,[1]Hugst!$R$5:$W$9,MATCH(ROUNDUP((G$1)/10,0)*10,[1]Hugst!$R$4:$W$4,0))))</f>
        <v>70.293386882250417</v>
      </c>
      <c r="H176">
        <f ca="1">IF($C176-H$1&lt;År1,0,G175*(1-VLOOKUP($A176,[1]Hugst!$R$5:$W$9,MATCH(ROUNDUP((H$1)/10,0)*10,[1]Hugst!$R$4:$W$4,0))))</f>
        <v>70.439566194704895</v>
      </c>
      <c r="I176">
        <f ca="1">IF($C176-I$1&lt;År1,0,H175*(1-VLOOKUP($A176,[1]Hugst!$R$5:$W$9,MATCH(ROUNDUP((I$1)/10,0)*10,[1]Hugst!$R$4:$W$4,0))))</f>
        <v>70.586480076568961</v>
      </c>
      <c r="J176">
        <f ca="1">IF($C176-J$1&lt;År1,0,I175*(1-VLOOKUP($A176,[1]Hugst!$R$5:$W$9,MATCH(ROUNDUP((J$1)/10,0)*10,[1]Hugst!$R$4:$W$4,0))))</f>
        <v>70.734132219146801</v>
      </c>
      <c r="K176">
        <f ca="1">IF($C176-K$1&lt;År1,0,J175*(1-VLOOKUP($A176,[1]Hugst!$R$5:$W$9,MATCH(ROUNDUP((K$1)/10,0)*10,[1]Hugst!$R$4:$W$4,0))))</f>
        <v>70.882526332289189</v>
      </c>
      <c r="L176">
        <f ca="1">IF($C176-L$1&lt;År1,0,K175*(1-VLOOKUP($A176,[1]Hugst!$R$5:$W$9,MATCH(ROUNDUP((L$1)/10,0)*10,[1]Hugst!$R$4:$W$4,0))))</f>
        <v>71.031666144492959</v>
      </c>
      <c r="M176">
        <f ca="1">IF($C176-M$1&lt;År1,0,L175*(1-VLOOKUP($A176,[1]Hugst!$R$5:$W$9,MATCH(ROUNDUP((M$1)/10,0)*10,[1]Hugst!$R$4:$W$4,0))))</f>
        <v>71.181555402989858</v>
      </c>
      <c r="N176">
        <f ca="1">IF($C176-N$1&lt;År1,0,M175*(1-VLOOKUP($A176,[1]Hugst!$R$5:$W$9,MATCH(ROUNDUP((N$1)/10,0)*10,[1]Hugst!$R$4:$W$4,0))))</f>
        <v>71.332197873839419</v>
      </c>
      <c r="O176">
        <f ca="1">IF($C176-O$1&lt;År1,0,N175*(1-VLOOKUP($A176,[1]Hugst!$R$5:$W$9,MATCH(ROUNDUP((O$1)/10,0)*10,[1]Hugst!$R$4:$W$4,0))))</f>
        <v>105.19571855415381</v>
      </c>
      <c r="P176">
        <f ca="1">IF($C176-P$1&lt;År1,0,O175*(1-VLOOKUP($A176,[1]Hugst!$R$5:$W$9,MATCH(ROUNDUP((P$1)/10,0)*10,[1]Hugst!$R$4:$W$4,0))))</f>
        <v>105.34787882369238</v>
      </c>
      <c r="Q176">
        <f ca="1">IF($C176-Q$1&lt;År1,0,P175*(1-VLOOKUP($A176,[1]Hugst!$R$5:$W$9,MATCH(ROUNDUP((Q$1)/10,0)*10,[1]Hugst!$R$4:$W$4,0))))</f>
        <v>105.50080371770207</v>
      </c>
      <c r="R176">
        <f ca="1">IF($C176-R$1&lt;År1,0,Q175*(1-VLOOKUP($A176,[1]Hugst!$R$5:$W$9,MATCH(ROUNDUP((R$1)/10,0)*10,[1]Hugst!$R$4:$W$4,0))))</f>
        <v>105.65449707851479</v>
      </c>
      <c r="S176">
        <f ca="1">IF($C176-S$1&lt;År1,0,R175*(1-VLOOKUP($A176,[1]Hugst!$R$5:$W$9,MATCH(ROUNDUP((S$1)/10,0)*10,[1]Hugst!$R$4:$W$4,0))))</f>
        <v>105.80896276777605</v>
      </c>
      <c r="T176">
        <f ca="1">IF($C176-T$1&lt;År1,0,S175*(1-VLOOKUP($A176,[1]Hugst!$R$5:$W$9,MATCH(ROUNDUP((T$1)/10,0)*10,[1]Hugst!$R$4:$W$4,0))))</f>
        <v>105.96420466652819</v>
      </c>
      <c r="U176">
        <f ca="1">IF($C176-U$1&lt;År1,0,T175*(1-VLOOKUP($A176,[1]Hugst!$R$5:$W$9,MATCH(ROUNDUP((U$1)/10,0)*10,[1]Hugst!$R$4:$W$4,0))))</f>
        <v>106.12022667532625</v>
      </c>
      <c r="V176">
        <f ca="1">IF($C176-V$1&lt;År1,0,U175*(1-VLOOKUP($A176,[1]Hugst!$R$5:$W$9,MATCH(ROUNDUP((V$1)/10,0)*10,[1]Hugst!$R$4:$W$4,0))))</f>
        <v>106.27703271431785</v>
      </c>
      <c r="W176">
        <f ca="1">IF($C176-W$1&lt;År1,0,V175*(1-VLOOKUP($A176,[1]Hugst!$R$5:$W$9,MATCH(ROUNDUP((W$1)/10,0)*10,[1]Hugst!$R$4:$W$4,0))))</f>
        <v>106.4346267233563</v>
      </c>
      <c r="X176">
        <f ca="1">IF($C176-X$1&lt;År1,0,W175*(1-VLOOKUP($A176,[1]Hugst!$R$5:$W$9,MATCH(ROUNDUP((X$1)/10,0)*10,[1]Hugst!$R$4:$W$4,0))))</f>
        <v>106.59301266208753</v>
      </c>
      <c r="Y176">
        <f ca="1">IF($C176-Y$1&lt;År1,0,X175*(1-VLOOKUP($A176,[1]Hugst!$R$5:$W$9,MATCH(ROUNDUP((Y$1)/10,0)*10,[1]Hugst!$R$4:$W$4,0))))</f>
        <v>106.75219451005873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25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28.79951358884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70.003217292543724</v>
      </c>
      <c r="G177">
        <f ca="1">IF($C177-G$1&lt;År1,0,F176*(1-VLOOKUP($A177,[1]Hugst!$R$5:$W$9,MATCH(ROUNDUP((G$1)/10,0)*10,[1]Hugst!$R$4:$W$4,0))))</f>
        <v>70.147938466356578</v>
      </c>
      <c r="H177">
        <f ca="1">IF($C177-H$1&lt;År1,0,G176*(1-VLOOKUP($A177,[1]Hugst!$R$5:$W$9,MATCH(ROUNDUP((H$1)/10,0)*10,[1]Hugst!$R$4:$W$4,0))))</f>
        <v>70.293386882250417</v>
      </c>
      <c r="I177">
        <f ca="1">IF($C177-I$1&lt;År1,0,H176*(1-VLOOKUP($A177,[1]Hugst!$R$5:$W$9,MATCH(ROUNDUP((I$1)/10,0)*10,[1]Hugst!$R$4:$W$4,0))))</f>
        <v>70.439566194704895</v>
      </c>
      <c r="J177">
        <f ca="1">IF($C177-J$1&lt;År1,0,I176*(1-VLOOKUP($A177,[1]Hugst!$R$5:$W$9,MATCH(ROUNDUP((J$1)/10,0)*10,[1]Hugst!$R$4:$W$4,0))))</f>
        <v>70.586480076568961</v>
      </c>
      <c r="K177">
        <f ca="1">IF($C177-K$1&lt;År1,0,J176*(1-VLOOKUP($A177,[1]Hugst!$R$5:$W$9,MATCH(ROUNDUP((K$1)/10,0)*10,[1]Hugst!$R$4:$W$4,0))))</f>
        <v>70.734132219146801</v>
      </c>
      <c r="L177">
        <f ca="1">IF($C177-L$1&lt;År1,0,K176*(1-VLOOKUP($A177,[1]Hugst!$R$5:$W$9,MATCH(ROUNDUP((L$1)/10,0)*10,[1]Hugst!$R$4:$W$4,0))))</f>
        <v>70.882526332289189</v>
      </c>
      <c r="M177">
        <f ca="1">IF($C177-M$1&lt;År1,0,L176*(1-VLOOKUP($A177,[1]Hugst!$R$5:$W$9,MATCH(ROUNDUP((M$1)/10,0)*10,[1]Hugst!$R$4:$W$4,0))))</f>
        <v>71.031666144492959</v>
      </c>
      <c r="N177">
        <f ca="1">IF($C177-N$1&lt;År1,0,M176*(1-VLOOKUP($A177,[1]Hugst!$R$5:$W$9,MATCH(ROUNDUP((N$1)/10,0)*10,[1]Hugst!$R$4:$W$4,0))))</f>
        <v>71.181555402989858</v>
      </c>
      <c r="O177">
        <f ca="1">IF($C177-O$1&lt;År1,0,N176*(1-VLOOKUP($A177,[1]Hugst!$R$5:$W$9,MATCH(ROUNDUP((O$1)/10,0)*10,[1]Hugst!$R$4:$W$4,0))))</f>
        <v>71.332197873839419</v>
      </c>
      <c r="P177">
        <f ca="1">IF($C177-P$1&lt;År1,0,O176*(1-VLOOKUP($A177,[1]Hugst!$R$5:$W$9,MATCH(ROUNDUP((P$1)/10,0)*10,[1]Hugst!$R$4:$W$4,0))))</f>
        <v>105.19571855415381</v>
      </c>
      <c r="Q177">
        <f ca="1">IF($C177-Q$1&lt;År1,0,P176*(1-VLOOKUP($A177,[1]Hugst!$R$5:$W$9,MATCH(ROUNDUP((Q$1)/10,0)*10,[1]Hugst!$R$4:$W$4,0))))</f>
        <v>105.34787882369238</v>
      </c>
      <c r="R177">
        <f ca="1">IF($C177-R$1&lt;År1,0,Q176*(1-VLOOKUP($A177,[1]Hugst!$R$5:$W$9,MATCH(ROUNDUP((R$1)/10,0)*10,[1]Hugst!$R$4:$W$4,0))))</f>
        <v>105.50080371770207</v>
      </c>
      <c r="S177">
        <f ca="1">IF($C177-S$1&lt;År1,0,R176*(1-VLOOKUP($A177,[1]Hugst!$R$5:$W$9,MATCH(ROUNDUP((S$1)/10,0)*10,[1]Hugst!$R$4:$W$4,0))))</f>
        <v>105.65449707851479</v>
      </c>
      <c r="T177">
        <f ca="1">IF($C177-T$1&lt;År1,0,S176*(1-VLOOKUP($A177,[1]Hugst!$R$5:$W$9,MATCH(ROUNDUP((T$1)/10,0)*10,[1]Hugst!$R$4:$W$4,0))))</f>
        <v>105.80896276777605</v>
      </c>
      <c r="U177">
        <f ca="1">IF($C177-U$1&lt;År1,0,T176*(1-VLOOKUP($A177,[1]Hugst!$R$5:$W$9,MATCH(ROUNDUP((U$1)/10,0)*10,[1]Hugst!$R$4:$W$4,0))))</f>
        <v>105.96420466652819</v>
      </c>
      <c r="V177">
        <f ca="1">IF($C177-V$1&lt;År1,0,U176*(1-VLOOKUP($A177,[1]Hugst!$R$5:$W$9,MATCH(ROUNDUP((V$1)/10,0)*10,[1]Hugst!$R$4:$W$4,0))))</f>
        <v>106.12022667532625</v>
      </c>
      <c r="W177">
        <f ca="1">IF($C177-W$1&lt;År1,0,V176*(1-VLOOKUP($A177,[1]Hugst!$R$5:$W$9,MATCH(ROUNDUP((W$1)/10,0)*10,[1]Hugst!$R$4:$W$4,0))))</f>
        <v>106.27703271431785</v>
      </c>
      <c r="X177">
        <f ca="1">IF($C177-X$1&lt;År1,0,W176*(1-VLOOKUP($A177,[1]Hugst!$R$5:$W$9,MATCH(ROUNDUP((X$1)/10,0)*10,[1]Hugst!$R$4:$W$4,0))))</f>
        <v>106.4346267233563</v>
      </c>
      <c r="Y177">
        <f ca="1">IF($C177-Y$1&lt;År1,0,X176*(1-VLOOKUP($A177,[1]Hugst!$R$5:$W$9,MATCH(ROUNDUP((Y$1)/10,0)*10,[1]Hugst!$R$4:$W$4,0))))</f>
        <v>106.59301266208753</v>
      </c>
      <c r="Z177">
        <f ca="1">IF($C177-Z$1&lt;År1,0,Y176*(1-VLOOKUP($A177,[1]Hugst!$R$5:$W$9,MATCH(ROUNDUP((Z$1)/10,0)*10,[1]Hugst!$R$4:$W$4,0))))</f>
        <v>106.75219451005873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25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28.65551602089613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69.859219724599853</v>
      </c>
      <c r="G178">
        <f ca="1">IF($C178-G$1&lt;År1,0,F177*(1-VLOOKUP($A178,[1]Hugst!$R$5:$W$9,MATCH(ROUNDUP((G$1)/10,0)*10,[1]Hugst!$R$4:$W$4,0))))</f>
        <v>70.003217292543724</v>
      </c>
      <c r="H178">
        <f ca="1">IF($C178-H$1&lt;År1,0,G177*(1-VLOOKUP($A178,[1]Hugst!$R$5:$W$9,MATCH(ROUNDUP((H$1)/10,0)*10,[1]Hugst!$R$4:$W$4,0))))</f>
        <v>70.147938466356578</v>
      </c>
      <c r="I178">
        <f ca="1">IF($C178-I$1&lt;År1,0,H177*(1-VLOOKUP($A178,[1]Hugst!$R$5:$W$9,MATCH(ROUNDUP((I$1)/10,0)*10,[1]Hugst!$R$4:$W$4,0))))</f>
        <v>70.293386882250417</v>
      </c>
      <c r="J178">
        <f ca="1">IF($C178-J$1&lt;År1,0,I177*(1-VLOOKUP($A178,[1]Hugst!$R$5:$W$9,MATCH(ROUNDUP((J$1)/10,0)*10,[1]Hugst!$R$4:$W$4,0))))</f>
        <v>70.439566194704895</v>
      </c>
      <c r="K178">
        <f ca="1">IF($C178-K$1&lt;År1,0,J177*(1-VLOOKUP($A178,[1]Hugst!$R$5:$W$9,MATCH(ROUNDUP((K$1)/10,0)*10,[1]Hugst!$R$4:$W$4,0))))</f>
        <v>70.586480076568961</v>
      </c>
      <c r="L178">
        <f ca="1">IF($C178-L$1&lt;År1,0,K177*(1-VLOOKUP($A178,[1]Hugst!$R$5:$W$9,MATCH(ROUNDUP((L$1)/10,0)*10,[1]Hugst!$R$4:$W$4,0))))</f>
        <v>70.734132219146801</v>
      </c>
      <c r="M178">
        <f ca="1">IF($C178-M$1&lt;År1,0,L177*(1-VLOOKUP($A178,[1]Hugst!$R$5:$W$9,MATCH(ROUNDUP((M$1)/10,0)*10,[1]Hugst!$R$4:$W$4,0))))</f>
        <v>70.882526332289189</v>
      </c>
      <c r="N178">
        <f ca="1">IF($C178-N$1&lt;År1,0,M177*(1-VLOOKUP($A178,[1]Hugst!$R$5:$W$9,MATCH(ROUNDUP((N$1)/10,0)*10,[1]Hugst!$R$4:$W$4,0))))</f>
        <v>71.031666144492959</v>
      </c>
      <c r="O178">
        <f ca="1">IF($C178-O$1&lt;År1,0,N177*(1-VLOOKUP($A178,[1]Hugst!$R$5:$W$9,MATCH(ROUNDUP((O$1)/10,0)*10,[1]Hugst!$R$4:$W$4,0))))</f>
        <v>71.181555402989858</v>
      </c>
      <c r="P178">
        <f ca="1">IF($C178-P$1&lt;År1,0,O177*(1-VLOOKUP($A178,[1]Hugst!$R$5:$W$9,MATCH(ROUNDUP((P$1)/10,0)*10,[1]Hugst!$R$4:$W$4,0))))</f>
        <v>71.332197873839419</v>
      </c>
      <c r="Q178">
        <f ca="1">IF($C178-Q$1&lt;År1,0,P177*(1-VLOOKUP($A178,[1]Hugst!$R$5:$W$9,MATCH(ROUNDUP((Q$1)/10,0)*10,[1]Hugst!$R$4:$W$4,0))))</f>
        <v>105.19571855415381</v>
      </c>
      <c r="R178">
        <f ca="1">IF($C178-R$1&lt;År1,0,Q177*(1-VLOOKUP($A178,[1]Hugst!$R$5:$W$9,MATCH(ROUNDUP((R$1)/10,0)*10,[1]Hugst!$R$4:$W$4,0))))</f>
        <v>105.34787882369238</v>
      </c>
      <c r="S178">
        <f ca="1">IF($C178-S$1&lt;År1,0,R177*(1-VLOOKUP($A178,[1]Hugst!$R$5:$W$9,MATCH(ROUNDUP((S$1)/10,0)*10,[1]Hugst!$R$4:$W$4,0))))</f>
        <v>105.50080371770207</v>
      </c>
      <c r="T178">
        <f ca="1">IF($C178-T$1&lt;År1,0,S177*(1-VLOOKUP($A178,[1]Hugst!$R$5:$W$9,MATCH(ROUNDUP((T$1)/10,0)*10,[1]Hugst!$R$4:$W$4,0))))</f>
        <v>105.65449707851479</v>
      </c>
      <c r="U178">
        <f ca="1">IF($C178-U$1&lt;År1,0,T177*(1-VLOOKUP($A178,[1]Hugst!$R$5:$W$9,MATCH(ROUNDUP((U$1)/10,0)*10,[1]Hugst!$R$4:$W$4,0))))</f>
        <v>105.80896276777605</v>
      </c>
      <c r="V178">
        <f ca="1">IF($C178-V$1&lt;År1,0,U177*(1-VLOOKUP($A178,[1]Hugst!$R$5:$W$9,MATCH(ROUNDUP((V$1)/10,0)*10,[1]Hugst!$R$4:$W$4,0))))</f>
        <v>105.96420466652819</v>
      </c>
      <c r="W178">
        <f ca="1">IF($C178-W$1&lt;År1,0,V177*(1-VLOOKUP($A178,[1]Hugst!$R$5:$W$9,MATCH(ROUNDUP((W$1)/10,0)*10,[1]Hugst!$R$4:$W$4,0))))</f>
        <v>106.12022667532625</v>
      </c>
      <c r="X178">
        <f ca="1">IF($C178-X$1&lt;År1,0,W177*(1-VLOOKUP($A178,[1]Hugst!$R$5:$W$9,MATCH(ROUNDUP((X$1)/10,0)*10,[1]Hugst!$R$4:$W$4,0))))</f>
        <v>106.27703271431785</v>
      </c>
      <c r="Y178">
        <f ca="1">IF($C178-Y$1&lt;År1,0,X177*(1-VLOOKUP($A178,[1]Hugst!$R$5:$W$9,MATCH(ROUNDUP((Y$1)/10,0)*10,[1]Hugst!$R$4:$W$4,0))))</f>
        <v>106.4346267233563</v>
      </c>
      <c r="Z178">
        <f ca="1">IF($C178-Z$1&lt;År1,0,Y177*(1-VLOOKUP($A178,[1]Hugst!$R$5:$W$9,MATCH(ROUNDUP((Z$1)/10,0)*10,[1]Hugst!$R$4:$W$4,0))))</f>
        <v>106.59301266208753</v>
      </c>
      <c r="AA178">
        <f ca="1">IF($C178-AA$1&lt;År1,0,Z177*(1-VLOOKUP($A178,[1]Hugst!$R$5:$W$9,MATCH(ROUNDUP((AA$1)/10,0)*10,[1]Hugst!$R$4:$W$4,0))))</f>
        <v>106.75219451005873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25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28.512238440791407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69.715942144495131</v>
      </c>
      <c r="G179">
        <f ca="1">IF($C179-G$1&lt;År1,0,F178*(1-VLOOKUP($A179,[1]Hugst!$R$5:$W$9,MATCH(ROUNDUP((G$1)/10,0)*10,[1]Hugst!$R$4:$W$4,0))))</f>
        <v>69.859219724599853</v>
      </c>
      <c r="H179">
        <f ca="1">IF($C179-H$1&lt;År1,0,G178*(1-VLOOKUP($A179,[1]Hugst!$R$5:$W$9,MATCH(ROUNDUP((H$1)/10,0)*10,[1]Hugst!$R$4:$W$4,0))))</f>
        <v>70.003217292543724</v>
      </c>
      <c r="I179">
        <f ca="1">IF($C179-I$1&lt;År1,0,H178*(1-VLOOKUP($A179,[1]Hugst!$R$5:$W$9,MATCH(ROUNDUP((I$1)/10,0)*10,[1]Hugst!$R$4:$W$4,0))))</f>
        <v>70.147938466356578</v>
      </c>
      <c r="J179">
        <f ca="1">IF($C179-J$1&lt;År1,0,I178*(1-VLOOKUP($A179,[1]Hugst!$R$5:$W$9,MATCH(ROUNDUP((J$1)/10,0)*10,[1]Hugst!$R$4:$W$4,0))))</f>
        <v>70.293386882250417</v>
      </c>
      <c r="K179">
        <f ca="1">IF($C179-K$1&lt;År1,0,J178*(1-VLOOKUP($A179,[1]Hugst!$R$5:$W$9,MATCH(ROUNDUP((K$1)/10,0)*10,[1]Hugst!$R$4:$W$4,0))))</f>
        <v>70.439566194704895</v>
      </c>
      <c r="L179">
        <f ca="1">IF($C179-L$1&lt;År1,0,K178*(1-VLOOKUP($A179,[1]Hugst!$R$5:$W$9,MATCH(ROUNDUP((L$1)/10,0)*10,[1]Hugst!$R$4:$W$4,0))))</f>
        <v>70.586480076568961</v>
      </c>
      <c r="M179">
        <f ca="1">IF($C179-M$1&lt;År1,0,L178*(1-VLOOKUP($A179,[1]Hugst!$R$5:$W$9,MATCH(ROUNDUP((M$1)/10,0)*10,[1]Hugst!$R$4:$W$4,0))))</f>
        <v>70.734132219146801</v>
      </c>
      <c r="N179">
        <f ca="1">IF($C179-N$1&lt;År1,0,M178*(1-VLOOKUP($A179,[1]Hugst!$R$5:$W$9,MATCH(ROUNDUP((N$1)/10,0)*10,[1]Hugst!$R$4:$W$4,0))))</f>
        <v>70.882526332289189</v>
      </c>
      <c r="O179">
        <f ca="1">IF($C179-O$1&lt;År1,0,N178*(1-VLOOKUP($A179,[1]Hugst!$R$5:$W$9,MATCH(ROUNDUP((O$1)/10,0)*10,[1]Hugst!$R$4:$W$4,0))))</f>
        <v>71.031666144492959</v>
      </c>
      <c r="P179">
        <f ca="1">IF($C179-P$1&lt;År1,0,O178*(1-VLOOKUP($A179,[1]Hugst!$R$5:$W$9,MATCH(ROUNDUP((P$1)/10,0)*10,[1]Hugst!$R$4:$W$4,0))))</f>
        <v>71.181555402989858</v>
      </c>
      <c r="Q179">
        <f ca="1">IF($C179-Q$1&lt;År1,0,P178*(1-VLOOKUP($A179,[1]Hugst!$R$5:$W$9,MATCH(ROUNDUP((Q$1)/10,0)*10,[1]Hugst!$R$4:$W$4,0))))</f>
        <v>71.332197873839419</v>
      </c>
      <c r="R179">
        <f ca="1">IF($C179-R$1&lt;År1,0,Q178*(1-VLOOKUP($A179,[1]Hugst!$R$5:$W$9,MATCH(ROUNDUP((R$1)/10,0)*10,[1]Hugst!$R$4:$W$4,0))))</f>
        <v>105.19571855415381</v>
      </c>
      <c r="S179">
        <f ca="1">IF($C179-S$1&lt;År1,0,R178*(1-VLOOKUP($A179,[1]Hugst!$R$5:$W$9,MATCH(ROUNDUP((S$1)/10,0)*10,[1]Hugst!$R$4:$W$4,0))))</f>
        <v>105.34787882369238</v>
      </c>
      <c r="T179">
        <f ca="1">IF($C179-T$1&lt;År1,0,S178*(1-VLOOKUP($A179,[1]Hugst!$R$5:$W$9,MATCH(ROUNDUP((T$1)/10,0)*10,[1]Hugst!$R$4:$W$4,0))))</f>
        <v>105.50080371770207</v>
      </c>
      <c r="U179">
        <f ca="1">IF($C179-U$1&lt;År1,0,T178*(1-VLOOKUP($A179,[1]Hugst!$R$5:$W$9,MATCH(ROUNDUP((U$1)/10,0)*10,[1]Hugst!$R$4:$W$4,0))))</f>
        <v>105.65449707851479</v>
      </c>
      <c r="V179">
        <f ca="1">IF($C179-V$1&lt;År1,0,U178*(1-VLOOKUP($A179,[1]Hugst!$R$5:$W$9,MATCH(ROUNDUP((V$1)/10,0)*10,[1]Hugst!$R$4:$W$4,0))))</f>
        <v>105.80896276777605</v>
      </c>
      <c r="W179">
        <f ca="1">IF($C179-W$1&lt;År1,0,V178*(1-VLOOKUP($A179,[1]Hugst!$R$5:$W$9,MATCH(ROUNDUP((W$1)/10,0)*10,[1]Hugst!$R$4:$W$4,0))))</f>
        <v>105.96420466652819</v>
      </c>
      <c r="X179">
        <f ca="1">IF($C179-X$1&lt;År1,0,W178*(1-VLOOKUP($A179,[1]Hugst!$R$5:$W$9,MATCH(ROUNDUP((X$1)/10,0)*10,[1]Hugst!$R$4:$W$4,0))))</f>
        <v>106.12022667532625</v>
      </c>
      <c r="Y179">
        <f ca="1">IF($C179-Y$1&lt;År1,0,X178*(1-VLOOKUP($A179,[1]Hugst!$R$5:$W$9,MATCH(ROUNDUP((Y$1)/10,0)*10,[1]Hugst!$R$4:$W$4,0))))</f>
        <v>106.27703271431785</v>
      </c>
      <c r="Z179">
        <f ca="1">IF($C179-Z$1&lt;År1,0,Y178*(1-VLOOKUP($A179,[1]Hugst!$R$5:$W$9,MATCH(ROUNDUP((Z$1)/10,0)*10,[1]Hugst!$R$4:$W$4,0))))</f>
        <v>106.4346267233563</v>
      </c>
      <c r="AA179">
        <f ca="1">IF($C179-AA$1&lt;År1,0,Z178*(1-VLOOKUP($A179,[1]Hugst!$R$5:$W$9,MATCH(ROUNDUP((AA$1)/10,0)*10,[1]Hugst!$R$4:$W$4,0))))</f>
        <v>106.59301266208753</v>
      </c>
      <c r="AB179">
        <f ca="1">IF($C179-AB$1&lt;År1,0,AA178*(1-VLOOKUP($A179,[1]Hugst!$R$5:$W$9,MATCH(ROUNDUP((AB$1)/10,0)*10,[1]Hugst!$R$4:$W$4,0))))</f>
        <v>106.75219451005873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25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28.369677248587664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69.573380952291387</v>
      </c>
      <c r="G180">
        <f ca="1">IF($C180-G$1&lt;År1,0,F179*(1-VLOOKUP($A180,[1]Hugst!$R$5:$W$9,MATCH(ROUNDUP((G$1)/10,0)*10,[1]Hugst!$R$4:$W$4,0))))</f>
        <v>69.715942144495131</v>
      </c>
      <c r="H180">
        <f ca="1">IF($C180-H$1&lt;År1,0,G179*(1-VLOOKUP($A180,[1]Hugst!$R$5:$W$9,MATCH(ROUNDUP((H$1)/10,0)*10,[1]Hugst!$R$4:$W$4,0))))</f>
        <v>69.859219724599853</v>
      </c>
      <c r="I180">
        <f ca="1">IF($C180-I$1&lt;År1,0,H179*(1-VLOOKUP($A180,[1]Hugst!$R$5:$W$9,MATCH(ROUNDUP((I$1)/10,0)*10,[1]Hugst!$R$4:$W$4,0))))</f>
        <v>70.003217292543724</v>
      </c>
      <c r="J180">
        <f ca="1">IF($C180-J$1&lt;År1,0,I179*(1-VLOOKUP($A180,[1]Hugst!$R$5:$W$9,MATCH(ROUNDUP((J$1)/10,0)*10,[1]Hugst!$R$4:$W$4,0))))</f>
        <v>70.147938466356578</v>
      </c>
      <c r="K180">
        <f ca="1">IF($C180-K$1&lt;År1,0,J179*(1-VLOOKUP($A180,[1]Hugst!$R$5:$W$9,MATCH(ROUNDUP((K$1)/10,0)*10,[1]Hugst!$R$4:$W$4,0))))</f>
        <v>70.293386882250417</v>
      </c>
      <c r="L180">
        <f ca="1">IF($C180-L$1&lt;År1,0,K179*(1-VLOOKUP($A180,[1]Hugst!$R$5:$W$9,MATCH(ROUNDUP((L$1)/10,0)*10,[1]Hugst!$R$4:$W$4,0))))</f>
        <v>70.439566194704895</v>
      </c>
      <c r="M180">
        <f ca="1">IF($C180-M$1&lt;År1,0,L179*(1-VLOOKUP($A180,[1]Hugst!$R$5:$W$9,MATCH(ROUNDUP((M$1)/10,0)*10,[1]Hugst!$R$4:$W$4,0))))</f>
        <v>70.586480076568961</v>
      </c>
      <c r="N180">
        <f ca="1">IF($C180-N$1&lt;År1,0,M179*(1-VLOOKUP($A180,[1]Hugst!$R$5:$W$9,MATCH(ROUNDUP((N$1)/10,0)*10,[1]Hugst!$R$4:$W$4,0))))</f>
        <v>70.734132219146801</v>
      </c>
      <c r="O180">
        <f ca="1">IF($C180-O$1&lt;År1,0,N179*(1-VLOOKUP($A180,[1]Hugst!$R$5:$W$9,MATCH(ROUNDUP((O$1)/10,0)*10,[1]Hugst!$R$4:$W$4,0))))</f>
        <v>70.882526332289189</v>
      </c>
      <c r="P180">
        <f ca="1">IF($C180-P$1&lt;År1,0,O179*(1-VLOOKUP($A180,[1]Hugst!$R$5:$W$9,MATCH(ROUNDUP((P$1)/10,0)*10,[1]Hugst!$R$4:$W$4,0))))</f>
        <v>71.031666144492959</v>
      </c>
      <c r="Q180">
        <f ca="1">IF($C180-Q$1&lt;År1,0,P179*(1-VLOOKUP($A180,[1]Hugst!$R$5:$W$9,MATCH(ROUNDUP((Q$1)/10,0)*10,[1]Hugst!$R$4:$W$4,0))))</f>
        <v>71.181555402989858</v>
      </c>
      <c r="R180">
        <f ca="1">IF($C180-R$1&lt;År1,0,Q179*(1-VLOOKUP($A180,[1]Hugst!$R$5:$W$9,MATCH(ROUNDUP((R$1)/10,0)*10,[1]Hugst!$R$4:$W$4,0))))</f>
        <v>71.332197873839419</v>
      </c>
      <c r="S180">
        <f ca="1">IF($C180-S$1&lt;År1,0,R179*(1-VLOOKUP($A180,[1]Hugst!$R$5:$W$9,MATCH(ROUNDUP((S$1)/10,0)*10,[1]Hugst!$R$4:$W$4,0))))</f>
        <v>105.19571855415381</v>
      </c>
      <c r="T180">
        <f ca="1">IF($C180-T$1&lt;År1,0,S179*(1-VLOOKUP($A180,[1]Hugst!$R$5:$W$9,MATCH(ROUNDUP((T$1)/10,0)*10,[1]Hugst!$R$4:$W$4,0))))</f>
        <v>105.34787882369238</v>
      </c>
      <c r="U180">
        <f ca="1">IF($C180-U$1&lt;År1,0,T179*(1-VLOOKUP($A180,[1]Hugst!$R$5:$W$9,MATCH(ROUNDUP((U$1)/10,0)*10,[1]Hugst!$R$4:$W$4,0))))</f>
        <v>105.50080371770207</v>
      </c>
      <c r="V180">
        <f ca="1">IF($C180-V$1&lt;År1,0,U179*(1-VLOOKUP($A180,[1]Hugst!$R$5:$W$9,MATCH(ROUNDUP((V$1)/10,0)*10,[1]Hugst!$R$4:$W$4,0))))</f>
        <v>105.65449707851479</v>
      </c>
      <c r="W180">
        <f ca="1">IF($C180-W$1&lt;År1,0,V179*(1-VLOOKUP($A180,[1]Hugst!$R$5:$W$9,MATCH(ROUNDUP((W$1)/10,0)*10,[1]Hugst!$R$4:$W$4,0))))</f>
        <v>105.80896276777605</v>
      </c>
      <c r="X180">
        <f ca="1">IF($C180-X$1&lt;År1,0,W179*(1-VLOOKUP($A180,[1]Hugst!$R$5:$W$9,MATCH(ROUNDUP((X$1)/10,0)*10,[1]Hugst!$R$4:$W$4,0))))</f>
        <v>105.96420466652819</v>
      </c>
      <c r="Y180">
        <f ca="1">IF($C180-Y$1&lt;År1,0,X179*(1-VLOOKUP($A180,[1]Hugst!$R$5:$W$9,MATCH(ROUNDUP((Y$1)/10,0)*10,[1]Hugst!$R$4:$W$4,0))))</f>
        <v>106.12022667532625</v>
      </c>
      <c r="Z180">
        <f ca="1">IF($C180-Z$1&lt;År1,0,Y179*(1-VLOOKUP($A180,[1]Hugst!$R$5:$W$9,MATCH(ROUNDUP((Z$1)/10,0)*10,[1]Hugst!$R$4:$W$4,0))))</f>
        <v>106.27703271431785</v>
      </c>
      <c r="AA180">
        <f ca="1">IF($C180-AA$1&lt;År1,0,Z179*(1-VLOOKUP($A180,[1]Hugst!$R$5:$W$9,MATCH(ROUNDUP((AA$1)/10,0)*10,[1]Hugst!$R$4:$W$4,0))))</f>
        <v>106.4346267233563</v>
      </c>
      <c r="AB180">
        <f ca="1">IF($C180-AB$1&lt;År1,0,AA179*(1-VLOOKUP($A180,[1]Hugst!$R$5:$W$9,MATCH(ROUNDUP((AB$1)/10,0)*10,[1]Hugst!$R$4:$W$4,0))))</f>
        <v>106.59301266208753</v>
      </c>
      <c r="AC180">
        <f ca="1">IF($C180-AC$1&lt;År1,0,AB179*(1-VLOOKUP($A180,[1]Hugst!$R$5:$W$9,MATCH(ROUNDUP((AC$1)/10,0)*10,[1]Hugst!$R$4:$W$4,0))))</f>
        <v>106.75219451005873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25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28.227828862344154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69.431532566047878</v>
      </c>
      <c r="G181">
        <f ca="1">IF($C181-G$1&lt;År1,0,F180*(1-VLOOKUP($A181,[1]Hugst!$R$5:$W$9,MATCH(ROUNDUP((G$1)/10,0)*10,[1]Hugst!$R$4:$W$4,0))))</f>
        <v>69.573380952291387</v>
      </c>
      <c r="H181">
        <f ca="1">IF($C181-H$1&lt;År1,0,G180*(1-VLOOKUP($A181,[1]Hugst!$R$5:$W$9,MATCH(ROUNDUP((H$1)/10,0)*10,[1]Hugst!$R$4:$W$4,0))))</f>
        <v>69.715942144495131</v>
      </c>
      <c r="I181">
        <f ca="1">IF($C181-I$1&lt;År1,0,H180*(1-VLOOKUP($A181,[1]Hugst!$R$5:$W$9,MATCH(ROUNDUP((I$1)/10,0)*10,[1]Hugst!$R$4:$W$4,0))))</f>
        <v>69.859219724599853</v>
      </c>
      <c r="J181">
        <f ca="1">IF($C181-J$1&lt;År1,0,I180*(1-VLOOKUP($A181,[1]Hugst!$R$5:$W$9,MATCH(ROUNDUP((J$1)/10,0)*10,[1]Hugst!$R$4:$W$4,0))))</f>
        <v>70.003217292543724</v>
      </c>
      <c r="K181">
        <f ca="1">IF($C181-K$1&lt;År1,0,J180*(1-VLOOKUP($A181,[1]Hugst!$R$5:$W$9,MATCH(ROUNDUP((K$1)/10,0)*10,[1]Hugst!$R$4:$W$4,0))))</f>
        <v>70.147938466356578</v>
      </c>
      <c r="L181">
        <f ca="1">IF($C181-L$1&lt;År1,0,K180*(1-VLOOKUP($A181,[1]Hugst!$R$5:$W$9,MATCH(ROUNDUP((L$1)/10,0)*10,[1]Hugst!$R$4:$W$4,0))))</f>
        <v>70.293386882250417</v>
      </c>
      <c r="M181">
        <f ca="1">IF($C181-M$1&lt;År1,0,L180*(1-VLOOKUP($A181,[1]Hugst!$R$5:$W$9,MATCH(ROUNDUP((M$1)/10,0)*10,[1]Hugst!$R$4:$W$4,0))))</f>
        <v>70.439566194704895</v>
      </c>
      <c r="N181">
        <f ca="1">IF($C181-N$1&lt;År1,0,M180*(1-VLOOKUP($A181,[1]Hugst!$R$5:$W$9,MATCH(ROUNDUP((N$1)/10,0)*10,[1]Hugst!$R$4:$W$4,0))))</f>
        <v>70.586480076568961</v>
      </c>
      <c r="O181">
        <f ca="1">IF($C181-O$1&lt;År1,0,N180*(1-VLOOKUP($A181,[1]Hugst!$R$5:$W$9,MATCH(ROUNDUP((O$1)/10,0)*10,[1]Hugst!$R$4:$W$4,0))))</f>
        <v>70.734132219146801</v>
      </c>
      <c r="P181">
        <f ca="1">IF($C181-P$1&lt;År1,0,O180*(1-VLOOKUP($A181,[1]Hugst!$R$5:$W$9,MATCH(ROUNDUP((P$1)/10,0)*10,[1]Hugst!$R$4:$W$4,0))))</f>
        <v>70.882526332289189</v>
      </c>
      <c r="Q181">
        <f ca="1">IF($C181-Q$1&lt;År1,0,P180*(1-VLOOKUP($A181,[1]Hugst!$R$5:$W$9,MATCH(ROUNDUP((Q$1)/10,0)*10,[1]Hugst!$R$4:$W$4,0))))</f>
        <v>71.031666144492959</v>
      </c>
      <c r="R181">
        <f ca="1">IF($C181-R$1&lt;År1,0,Q180*(1-VLOOKUP($A181,[1]Hugst!$R$5:$W$9,MATCH(ROUNDUP((R$1)/10,0)*10,[1]Hugst!$R$4:$W$4,0))))</f>
        <v>71.181555402989858</v>
      </c>
      <c r="S181">
        <f ca="1">IF($C181-S$1&lt;År1,0,R180*(1-VLOOKUP($A181,[1]Hugst!$R$5:$W$9,MATCH(ROUNDUP((S$1)/10,0)*10,[1]Hugst!$R$4:$W$4,0))))</f>
        <v>71.332197873839419</v>
      </c>
      <c r="T181">
        <f ca="1">IF($C181-T$1&lt;År1,0,S180*(1-VLOOKUP($A181,[1]Hugst!$R$5:$W$9,MATCH(ROUNDUP((T$1)/10,0)*10,[1]Hugst!$R$4:$W$4,0))))</f>
        <v>105.19571855415381</v>
      </c>
      <c r="U181">
        <f ca="1">IF($C181-U$1&lt;År1,0,T180*(1-VLOOKUP($A181,[1]Hugst!$R$5:$W$9,MATCH(ROUNDUP((U$1)/10,0)*10,[1]Hugst!$R$4:$W$4,0))))</f>
        <v>105.34787882369238</v>
      </c>
      <c r="V181">
        <f ca="1">IF($C181-V$1&lt;År1,0,U180*(1-VLOOKUP($A181,[1]Hugst!$R$5:$W$9,MATCH(ROUNDUP((V$1)/10,0)*10,[1]Hugst!$R$4:$W$4,0))))</f>
        <v>105.50080371770207</v>
      </c>
      <c r="W181">
        <f ca="1">IF($C181-W$1&lt;År1,0,V180*(1-VLOOKUP($A181,[1]Hugst!$R$5:$W$9,MATCH(ROUNDUP((W$1)/10,0)*10,[1]Hugst!$R$4:$W$4,0))))</f>
        <v>105.65449707851479</v>
      </c>
      <c r="X181">
        <f ca="1">IF($C181-X$1&lt;År1,0,W180*(1-VLOOKUP($A181,[1]Hugst!$R$5:$W$9,MATCH(ROUNDUP((X$1)/10,0)*10,[1]Hugst!$R$4:$W$4,0))))</f>
        <v>105.80896276777605</v>
      </c>
      <c r="Y181">
        <f ca="1">IF($C181-Y$1&lt;År1,0,X180*(1-VLOOKUP($A181,[1]Hugst!$R$5:$W$9,MATCH(ROUNDUP((Y$1)/10,0)*10,[1]Hugst!$R$4:$W$4,0))))</f>
        <v>105.96420466652819</v>
      </c>
      <c r="Z181">
        <f ca="1">IF($C181-Z$1&lt;År1,0,Y180*(1-VLOOKUP($A181,[1]Hugst!$R$5:$W$9,MATCH(ROUNDUP((Z$1)/10,0)*10,[1]Hugst!$R$4:$W$4,0))))</f>
        <v>106.12022667532625</v>
      </c>
      <c r="AA181">
        <f ca="1">IF($C181-AA$1&lt;År1,0,Z180*(1-VLOOKUP($A181,[1]Hugst!$R$5:$W$9,MATCH(ROUNDUP((AA$1)/10,0)*10,[1]Hugst!$R$4:$W$4,0))))</f>
        <v>106.27703271431785</v>
      </c>
      <c r="AB181">
        <f ca="1">IF($C181-AB$1&lt;År1,0,AA180*(1-VLOOKUP($A181,[1]Hugst!$R$5:$W$9,MATCH(ROUNDUP((AB$1)/10,0)*10,[1]Hugst!$R$4:$W$4,0))))</f>
        <v>106.4346267233563</v>
      </c>
      <c r="AC181">
        <f ca="1">IF($C181-AC$1&lt;År1,0,AB180*(1-VLOOKUP($A181,[1]Hugst!$R$5:$W$9,MATCH(ROUNDUP((AC$1)/10,0)*10,[1]Hugst!$R$4:$W$4,0))))</f>
        <v>106.59301266208753</v>
      </c>
      <c r="AD181">
        <f ca="1">IF($C181-AD$1&lt;År1,0,AC180*(1-VLOOKUP($A181,[1]Hugst!$R$5:$W$9,MATCH(ROUNDUP((AD$1)/10,0)*10,[1]Hugst!$R$4:$W$4,0))))</f>
        <v>106.75219451005873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25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28.086689718032744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69.290393421736468</v>
      </c>
      <c r="G182">
        <f ca="1">IF($C182-G$1&lt;År1,0,F181*(1-VLOOKUP($A182,[1]Hugst!$R$5:$W$9,MATCH(ROUNDUP((G$1)/10,0)*10,[1]Hugst!$R$4:$W$4,0))))</f>
        <v>69.431532566047878</v>
      </c>
      <c r="H182">
        <f ca="1">IF($C182-H$1&lt;År1,0,G181*(1-VLOOKUP($A182,[1]Hugst!$R$5:$W$9,MATCH(ROUNDUP((H$1)/10,0)*10,[1]Hugst!$R$4:$W$4,0))))</f>
        <v>69.573380952291387</v>
      </c>
      <c r="I182">
        <f ca="1">IF($C182-I$1&lt;År1,0,H181*(1-VLOOKUP($A182,[1]Hugst!$R$5:$W$9,MATCH(ROUNDUP((I$1)/10,0)*10,[1]Hugst!$R$4:$W$4,0))))</f>
        <v>69.715942144495131</v>
      </c>
      <c r="J182">
        <f ca="1">IF($C182-J$1&lt;År1,0,I181*(1-VLOOKUP($A182,[1]Hugst!$R$5:$W$9,MATCH(ROUNDUP((J$1)/10,0)*10,[1]Hugst!$R$4:$W$4,0))))</f>
        <v>69.859219724599853</v>
      </c>
      <c r="K182">
        <f ca="1">IF($C182-K$1&lt;År1,0,J181*(1-VLOOKUP($A182,[1]Hugst!$R$5:$W$9,MATCH(ROUNDUP((K$1)/10,0)*10,[1]Hugst!$R$4:$W$4,0))))</f>
        <v>70.003217292543724</v>
      </c>
      <c r="L182">
        <f ca="1">IF($C182-L$1&lt;År1,0,K181*(1-VLOOKUP($A182,[1]Hugst!$R$5:$W$9,MATCH(ROUNDUP((L$1)/10,0)*10,[1]Hugst!$R$4:$W$4,0))))</f>
        <v>70.147938466356578</v>
      </c>
      <c r="M182">
        <f ca="1">IF($C182-M$1&lt;År1,0,L181*(1-VLOOKUP($A182,[1]Hugst!$R$5:$W$9,MATCH(ROUNDUP((M$1)/10,0)*10,[1]Hugst!$R$4:$W$4,0))))</f>
        <v>70.293386882250417</v>
      </c>
      <c r="N182">
        <f ca="1">IF($C182-N$1&lt;År1,0,M181*(1-VLOOKUP($A182,[1]Hugst!$R$5:$W$9,MATCH(ROUNDUP((N$1)/10,0)*10,[1]Hugst!$R$4:$W$4,0))))</f>
        <v>70.439566194704895</v>
      </c>
      <c r="O182">
        <f ca="1">IF($C182-O$1&lt;År1,0,N181*(1-VLOOKUP($A182,[1]Hugst!$R$5:$W$9,MATCH(ROUNDUP((O$1)/10,0)*10,[1]Hugst!$R$4:$W$4,0))))</f>
        <v>70.586480076568961</v>
      </c>
      <c r="P182">
        <f ca="1">IF($C182-P$1&lt;År1,0,O181*(1-VLOOKUP($A182,[1]Hugst!$R$5:$W$9,MATCH(ROUNDUP((P$1)/10,0)*10,[1]Hugst!$R$4:$W$4,0))))</f>
        <v>70.734132219146801</v>
      </c>
      <c r="Q182">
        <f ca="1">IF($C182-Q$1&lt;År1,0,P181*(1-VLOOKUP($A182,[1]Hugst!$R$5:$W$9,MATCH(ROUNDUP((Q$1)/10,0)*10,[1]Hugst!$R$4:$W$4,0))))</f>
        <v>70.882526332289189</v>
      </c>
      <c r="R182">
        <f ca="1">IF($C182-R$1&lt;År1,0,Q181*(1-VLOOKUP($A182,[1]Hugst!$R$5:$W$9,MATCH(ROUNDUP((R$1)/10,0)*10,[1]Hugst!$R$4:$W$4,0))))</f>
        <v>71.031666144492959</v>
      </c>
      <c r="S182">
        <f ca="1">IF($C182-S$1&lt;År1,0,R181*(1-VLOOKUP($A182,[1]Hugst!$R$5:$W$9,MATCH(ROUNDUP((S$1)/10,0)*10,[1]Hugst!$R$4:$W$4,0))))</f>
        <v>71.181555402989858</v>
      </c>
      <c r="T182">
        <f ca="1">IF($C182-T$1&lt;År1,0,S181*(1-VLOOKUP($A182,[1]Hugst!$R$5:$W$9,MATCH(ROUNDUP((T$1)/10,0)*10,[1]Hugst!$R$4:$W$4,0))))</f>
        <v>71.332197873839419</v>
      </c>
      <c r="U182">
        <f ca="1">IF($C182-U$1&lt;År1,0,T181*(1-VLOOKUP($A182,[1]Hugst!$R$5:$W$9,MATCH(ROUNDUP((U$1)/10,0)*10,[1]Hugst!$R$4:$W$4,0))))</f>
        <v>105.19571855415381</v>
      </c>
      <c r="V182">
        <f ca="1">IF($C182-V$1&lt;År1,0,U181*(1-VLOOKUP($A182,[1]Hugst!$R$5:$W$9,MATCH(ROUNDUP((V$1)/10,0)*10,[1]Hugst!$R$4:$W$4,0))))</f>
        <v>105.34787882369238</v>
      </c>
      <c r="W182">
        <f ca="1">IF($C182-W$1&lt;År1,0,V181*(1-VLOOKUP($A182,[1]Hugst!$R$5:$W$9,MATCH(ROUNDUP((W$1)/10,0)*10,[1]Hugst!$R$4:$W$4,0))))</f>
        <v>105.50080371770207</v>
      </c>
      <c r="X182">
        <f ca="1">IF($C182-X$1&lt;År1,0,W181*(1-VLOOKUP($A182,[1]Hugst!$R$5:$W$9,MATCH(ROUNDUP((X$1)/10,0)*10,[1]Hugst!$R$4:$W$4,0))))</f>
        <v>105.65449707851479</v>
      </c>
      <c r="Y182">
        <f ca="1">IF($C182-Y$1&lt;År1,0,X181*(1-VLOOKUP($A182,[1]Hugst!$R$5:$W$9,MATCH(ROUNDUP((Y$1)/10,0)*10,[1]Hugst!$R$4:$W$4,0))))</f>
        <v>105.80896276777605</v>
      </c>
      <c r="Z182">
        <f ca="1">IF($C182-Z$1&lt;År1,0,Y181*(1-VLOOKUP($A182,[1]Hugst!$R$5:$W$9,MATCH(ROUNDUP((Z$1)/10,0)*10,[1]Hugst!$R$4:$W$4,0))))</f>
        <v>105.96420466652819</v>
      </c>
      <c r="AA182">
        <f ca="1">IF($C182-AA$1&lt;År1,0,Z181*(1-VLOOKUP($A182,[1]Hugst!$R$5:$W$9,MATCH(ROUNDUP((AA$1)/10,0)*10,[1]Hugst!$R$4:$W$4,0))))</f>
        <v>106.12022667532625</v>
      </c>
      <c r="AB182">
        <f ca="1">IF($C182-AB$1&lt;År1,0,AA181*(1-VLOOKUP($A182,[1]Hugst!$R$5:$W$9,MATCH(ROUNDUP((AB$1)/10,0)*10,[1]Hugst!$R$4:$W$4,0))))</f>
        <v>106.27703271431785</v>
      </c>
      <c r="AC182">
        <f ca="1">IF($C182-AC$1&lt;År1,0,AB181*(1-VLOOKUP($A182,[1]Hugst!$R$5:$W$9,MATCH(ROUNDUP((AC$1)/10,0)*10,[1]Hugst!$R$4:$W$4,0))))</f>
        <v>106.4346267233563</v>
      </c>
      <c r="AD182">
        <f ca="1">IF($C182-AD$1&lt;År1,0,AC181*(1-VLOOKUP($A182,[1]Hugst!$R$5:$W$9,MATCH(ROUNDUP((AD$1)/10,0)*10,[1]Hugst!$R$4:$W$4,0))))</f>
        <v>106.59301266208753</v>
      </c>
      <c r="AE182">
        <f ca="1">IF($C182-AE$1&lt;År1,0,AD181*(1-VLOOKUP($A182,[1]Hugst!$R$5:$W$9,MATCH(ROUNDUP((AE$1)/10,0)*10,[1]Hugst!$R$4:$W$4,0))))</f>
        <v>106.75219451005873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25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27.946256269443325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69.149959973147048</v>
      </c>
      <c r="G183">
        <f ca="1">IF($C183-G$1&lt;År1,0,F182*(1-VLOOKUP($A183,[1]Hugst!$R$5:$W$9,MATCH(ROUNDUP((G$1)/10,0)*10,[1]Hugst!$R$4:$W$4,0))))</f>
        <v>69.290393421736468</v>
      </c>
      <c r="H183">
        <f ca="1">IF($C183-H$1&lt;År1,0,G182*(1-VLOOKUP($A183,[1]Hugst!$R$5:$W$9,MATCH(ROUNDUP((H$1)/10,0)*10,[1]Hugst!$R$4:$W$4,0))))</f>
        <v>69.431532566047878</v>
      </c>
      <c r="I183">
        <f ca="1">IF($C183-I$1&lt;År1,0,H182*(1-VLOOKUP($A183,[1]Hugst!$R$5:$W$9,MATCH(ROUNDUP((I$1)/10,0)*10,[1]Hugst!$R$4:$W$4,0))))</f>
        <v>69.573380952291387</v>
      </c>
      <c r="J183">
        <f ca="1">IF($C183-J$1&lt;År1,0,I182*(1-VLOOKUP($A183,[1]Hugst!$R$5:$W$9,MATCH(ROUNDUP((J$1)/10,0)*10,[1]Hugst!$R$4:$W$4,0))))</f>
        <v>69.715942144495131</v>
      </c>
      <c r="K183">
        <f ca="1">IF($C183-K$1&lt;År1,0,J182*(1-VLOOKUP($A183,[1]Hugst!$R$5:$W$9,MATCH(ROUNDUP((K$1)/10,0)*10,[1]Hugst!$R$4:$W$4,0))))</f>
        <v>69.859219724599853</v>
      </c>
      <c r="L183">
        <f ca="1">IF($C183-L$1&lt;År1,0,K182*(1-VLOOKUP($A183,[1]Hugst!$R$5:$W$9,MATCH(ROUNDUP((L$1)/10,0)*10,[1]Hugst!$R$4:$W$4,0))))</f>
        <v>70.003217292543724</v>
      </c>
      <c r="M183">
        <f ca="1">IF($C183-M$1&lt;År1,0,L182*(1-VLOOKUP($A183,[1]Hugst!$R$5:$W$9,MATCH(ROUNDUP((M$1)/10,0)*10,[1]Hugst!$R$4:$W$4,0))))</f>
        <v>70.147938466356578</v>
      </c>
      <c r="N183">
        <f ca="1">IF($C183-N$1&lt;År1,0,M182*(1-VLOOKUP($A183,[1]Hugst!$R$5:$W$9,MATCH(ROUNDUP((N$1)/10,0)*10,[1]Hugst!$R$4:$W$4,0))))</f>
        <v>70.293386882250417</v>
      </c>
      <c r="O183">
        <f ca="1">IF($C183-O$1&lt;År1,0,N182*(1-VLOOKUP($A183,[1]Hugst!$R$5:$W$9,MATCH(ROUNDUP((O$1)/10,0)*10,[1]Hugst!$R$4:$W$4,0))))</f>
        <v>70.439566194704895</v>
      </c>
      <c r="P183">
        <f ca="1">IF($C183-P$1&lt;År1,0,O182*(1-VLOOKUP($A183,[1]Hugst!$R$5:$W$9,MATCH(ROUNDUP((P$1)/10,0)*10,[1]Hugst!$R$4:$W$4,0))))</f>
        <v>70.586480076568961</v>
      </c>
      <c r="Q183">
        <f ca="1">IF($C183-Q$1&lt;År1,0,P182*(1-VLOOKUP($A183,[1]Hugst!$R$5:$W$9,MATCH(ROUNDUP((Q$1)/10,0)*10,[1]Hugst!$R$4:$W$4,0))))</f>
        <v>70.734132219146801</v>
      </c>
      <c r="R183">
        <f ca="1">IF($C183-R$1&lt;År1,0,Q182*(1-VLOOKUP($A183,[1]Hugst!$R$5:$W$9,MATCH(ROUNDUP((R$1)/10,0)*10,[1]Hugst!$R$4:$W$4,0))))</f>
        <v>70.882526332289189</v>
      </c>
      <c r="S183">
        <f ca="1">IF($C183-S$1&lt;År1,0,R182*(1-VLOOKUP($A183,[1]Hugst!$R$5:$W$9,MATCH(ROUNDUP((S$1)/10,0)*10,[1]Hugst!$R$4:$W$4,0))))</f>
        <v>71.031666144492959</v>
      </c>
      <c r="T183">
        <f ca="1">IF($C183-T$1&lt;År1,0,S182*(1-VLOOKUP($A183,[1]Hugst!$R$5:$W$9,MATCH(ROUNDUP((T$1)/10,0)*10,[1]Hugst!$R$4:$W$4,0))))</f>
        <v>71.181555402989858</v>
      </c>
      <c r="U183">
        <f ca="1">IF($C183-U$1&lt;År1,0,T182*(1-VLOOKUP($A183,[1]Hugst!$R$5:$W$9,MATCH(ROUNDUP((U$1)/10,0)*10,[1]Hugst!$R$4:$W$4,0))))</f>
        <v>71.332197873839419</v>
      </c>
      <c r="V183">
        <f ca="1">IF($C183-V$1&lt;År1,0,U182*(1-VLOOKUP($A183,[1]Hugst!$R$5:$W$9,MATCH(ROUNDUP((V$1)/10,0)*10,[1]Hugst!$R$4:$W$4,0))))</f>
        <v>105.19571855415381</v>
      </c>
      <c r="W183">
        <f ca="1">IF($C183-W$1&lt;År1,0,V182*(1-VLOOKUP($A183,[1]Hugst!$R$5:$W$9,MATCH(ROUNDUP((W$1)/10,0)*10,[1]Hugst!$R$4:$W$4,0))))</f>
        <v>105.34787882369238</v>
      </c>
      <c r="X183">
        <f ca="1">IF($C183-X$1&lt;År1,0,W182*(1-VLOOKUP($A183,[1]Hugst!$R$5:$W$9,MATCH(ROUNDUP((X$1)/10,0)*10,[1]Hugst!$R$4:$W$4,0))))</f>
        <v>105.50080371770207</v>
      </c>
      <c r="Y183">
        <f ca="1">IF($C183-Y$1&lt;År1,0,X182*(1-VLOOKUP($A183,[1]Hugst!$R$5:$W$9,MATCH(ROUNDUP((Y$1)/10,0)*10,[1]Hugst!$R$4:$W$4,0))))</f>
        <v>105.65449707851479</v>
      </c>
      <c r="Z183">
        <f ca="1">IF($C183-Z$1&lt;År1,0,Y182*(1-VLOOKUP($A183,[1]Hugst!$R$5:$W$9,MATCH(ROUNDUP((Z$1)/10,0)*10,[1]Hugst!$R$4:$W$4,0))))</f>
        <v>105.80896276777605</v>
      </c>
      <c r="AA183">
        <f ca="1">IF($C183-AA$1&lt;År1,0,Z182*(1-VLOOKUP($A183,[1]Hugst!$R$5:$W$9,MATCH(ROUNDUP((AA$1)/10,0)*10,[1]Hugst!$R$4:$W$4,0))))</f>
        <v>105.96420466652819</v>
      </c>
      <c r="AB183">
        <f ca="1">IF($C183-AB$1&lt;År1,0,AA182*(1-VLOOKUP($A183,[1]Hugst!$R$5:$W$9,MATCH(ROUNDUP((AB$1)/10,0)*10,[1]Hugst!$R$4:$W$4,0))))</f>
        <v>106.12022667532625</v>
      </c>
      <c r="AC183">
        <f ca="1">IF($C183-AC$1&lt;År1,0,AB182*(1-VLOOKUP($A183,[1]Hugst!$R$5:$W$9,MATCH(ROUNDUP((AC$1)/10,0)*10,[1]Hugst!$R$4:$W$4,0))))</f>
        <v>106.27703271431785</v>
      </c>
      <c r="AD183">
        <f ca="1">IF($C183-AD$1&lt;År1,0,AC182*(1-VLOOKUP($A183,[1]Hugst!$R$5:$W$9,MATCH(ROUNDUP((AD$1)/10,0)*10,[1]Hugst!$R$4:$W$4,0))))</f>
        <v>106.4346267233563</v>
      </c>
      <c r="AE183">
        <f ca="1">IF($C183-AE$1&lt;År1,0,AD182*(1-VLOOKUP($A183,[1]Hugst!$R$5:$W$9,MATCH(ROUNDUP((AE$1)/10,0)*10,[1]Hugst!$R$4:$W$4,0))))</f>
        <v>106.59301266208753</v>
      </c>
      <c r="AF183">
        <f ca="1">IF($C183-AF$1&lt;År1,0,AE182*(1-VLOOKUP($A183,[1]Hugst!$R$5:$W$9,MATCH(ROUNDUP((AF$1)/10,0)*10,[1]Hugst!$R$4:$W$4,0))))</f>
        <v>106.75219451005873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25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27.806524988094225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69.010228691797948</v>
      </c>
      <c r="G184">
        <f ca="1">IF($C184-G$1&lt;År1,0,F183*(1-VLOOKUP($A184,[1]Hugst!$R$5:$W$9,MATCH(ROUNDUP((G$1)/10,0)*10,[1]Hugst!$R$4:$W$4,0))))</f>
        <v>69.149959973147048</v>
      </c>
      <c r="H184">
        <f ca="1">IF($C184-H$1&lt;År1,0,G183*(1-VLOOKUP($A184,[1]Hugst!$R$5:$W$9,MATCH(ROUNDUP((H$1)/10,0)*10,[1]Hugst!$R$4:$W$4,0))))</f>
        <v>69.290393421736468</v>
      </c>
      <c r="I184">
        <f ca="1">IF($C184-I$1&lt;År1,0,H183*(1-VLOOKUP($A184,[1]Hugst!$R$5:$W$9,MATCH(ROUNDUP((I$1)/10,0)*10,[1]Hugst!$R$4:$W$4,0))))</f>
        <v>69.431532566047878</v>
      </c>
      <c r="J184">
        <f ca="1">IF($C184-J$1&lt;År1,0,I183*(1-VLOOKUP($A184,[1]Hugst!$R$5:$W$9,MATCH(ROUNDUP((J$1)/10,0)*10,[1]Hugst!$R$4:$W$4,0))))</f>
        <v>69.573380952291387</v>
      </c>
      <c r="K184">
        <f ca="1">IF($C184-K$1&lt;År1,0,J183*(1-VLOOKUP($A184,[1]Hugst!$R$5:$W$9,MATCH(ROUNDUP((K$1)/10,0)*10,[1]Hugst!$R$4:$W$4,0))))</f>
        <v>69.715942144495131</v>
      </c>
      <c r="L184">
        <f ca="1">IF($C184-L$1&lt;År1,0,K183*(1-VLOOKUP($A184,[1]Hugst!$R$5:$W$9,MATCH(ROUNDUP((L$1)/10,0)*10,[1]Hugst!$R$4:$W$4,0))))</f>
        <v>69.859219724599853</v>
      </c>
      <c r="M184">
        <f ca="1">IF($C184-M$1&lt;År1,0,L183*(1-VLOOKUP($A184,[1]Hugst!$R$5:$W$9,MATCH(ROUNDUP((M$1)/10,0)*10,[1]Hugst!$R$4:$W$4,0))))</f>
        <v>70.003217292543724</v>
      </c>
      <c r="N184">
        <f ca="1">IF($C184-N$1&lt;År1,0,M183*(1-VLOOKUP($A184,[1]Hugst!$R$5:$W$9,MATCH(ROUNDUP((N$1)/10,0)*10,[1]Hugst!$R$4:$W$4,0))))</f>
        <v>70.147938466356578</v>
      </c>
      <c r="O184">
        <f ca="1">IF($C184-O$1&lt;År1,0,N183*(1-VLOOKUP($A184,[1]Hugst!$R$5:$W$9,MATCH(ROUNDUP((O$1)/10,0)*10,[1]Hugst!$R$4:$W$4,0))))</f>
        <v>70.293386882250417</v>
      </c>
      <c r="P184">
        <f ca="1">IF($C184-P$1&lt;År1,0,O183*(1-VLOOKUP($A184,[1]Hugst!$R$5:$W$9,MATCH(ROUNDUP((P$1)/10,0)*10,[1]Hugst!$R$4:$W$4,0))))</f>
        <v>70.439566194704895</v>
      </c>
      <c r="Q184">
        <f ca="1">IF($C184-Q$1&lt;År1,0,P183*(1-VLOOKUP($A184,[1]Hugst!$R$5:$W$9,MATCH(ROUNDUP((Q$1)/10,0)*10,[1]Hugst!$R$4:$W$4,0))))</f>
        <v>70.586480076568961</v>
      </c>
      <c r="R184">
        <f ca="1">IF($C184-R$1&lt;År1,0,Q183*(1-VLOOKUP($A184,[1]Hugst!$R$5:$W$9,MATCH(ROUNDUP((R$1)/10,0)*10,[1]Hugst!$R$4:$W$4,0))))</f>
        <v>70.734132219146801</v>
      </c>
      <c r="S184">
        <f ca="1">IF($C184-S$1&lt;År1,0,R183*(1-VLOOKUP($A184,[1]Hugst!$R$5:$W$9,MATCH(ROUNDUP((S$1)/10,0)*10,[1]Hugst!$R$4:$W$4,0))))</f>
        <v>70.882526332289189</v>
      </c>
      <c r="T184">
        <f ca="1">IF($C184-T$1&lt;År1,0,S183*(1-VLOOKUP($A184,[1]Hugst!$R$5:$W$9,MATCH(ROUNDUP((T$1)/10,0)*10,[1]Hugst!$R$4:$W$4,0))))</f>
        <v>71.031666144492959</v>
      </c>
      <c r="U184">
        <f ca="1">IF($C184-U$1&lt;År1,0,T183*(1-VLOOKUP($A184,[1]Hugst!$R$5:$W$9,MATCH(ROUNDUP((U$1)/10,0)*10,[1]Hugst!$R$4:$W$4,0))))</f>
        <v>71.181555402989858</v>
      </c>
      <c r="V184">
        <f ca="1">IF($C184-V$1&lt;År1,0,U183*(1-VLOOKUP($A184,[1]Hugst!$R$5:$W$9,MATCH(ROUNDUP((V$1)/10,0)*10,[1]Hugst!$R$4:$W$4,0))))</f>
        <v>71.332197873839419</v>
      </c>
      <c r="W184">
        <f ca="1">IF($C184-W$1&lt;År1,0,V183*(1-VLOOKUP($A184,[1]Hugst!$R$5:$W$9,MATCH(ROUNDUP((W$1)/10,0)*10,[1]Hugst!$R$4:$W$4,0))))</f>
        <v>105.19571855415381</v>
      </c>
      <c r="X184">
        <f ca="1">IF($C184-X$1&lt;År1,0,W183*(1-VLOOKUP($A184,[1]Hugst!$R$5:$W$9,MATCH(ROUNDUP((X$1)/10,0)*10,[1]Hugst!$R$4:$W$4,0))))</f>
        <v>105.34787882369238</v>
      </c>
      <c r="Y184">
        <f ca="1">IF($C184-Y$1&lt;År1,0,X183*(1-VLOOKUP($A184,[1]Hugst!$R$5:$W$9,MATCH(ROUNDUP((Y$1)/10,0)*10,[1]Hugst!$R$4:$W$4,0))))</f>
        <v>105.50080371770207</v>
      </c>
      <c r="Z184">
        <f ca="1">IF($C184-Z$1&lt;År1,0,Y183*(1-VLOOKUP($A184,[1]Hugst!$R$5:$W$9,MATCH(ROUNDUP((Z$1)/10,0)*10,[1]Hugst!$R$4:$W$4,0))))</f>
        <v>105.65449707851479</v>
      </c>
      <c r="AA184">
        <f ca="1">IF($C184-AA$1&lt;År1,0,Z183*(1-VLOOKUP($A184,[1]Hugst!$R$5:$W$9,MATCH(ROUNDUP((AA$1)/10,0)*10,[1]Hugst!$R$4:$W$4,0))))</f>
        <v>105.80896276777605</v>
      </c>
      <c r="AB184">
        <f ca="1">IF($C184-AB$1&lt;År1,0,AA183*(1-VLOOKUP($A184,[1]Hugst!$R$5:$W$9,MATCH(ROUNDUP((AB$1)/10,0)*10,[1]Hugst!$R$4:$W$4,0))))</f>
        <v>105.96420466652819</v>
      </c>
      <c r="AC184">
        <f ca="1">IF($C184-AC$1&lt;År1,0,AB183*(1-VLOOKUP($A184,[1]Hugst!$R$5:$W$9,MATCH(ROUNDUP((AC$1)/10,0)*10,[1]Hugst!$R$4:$W$4,0))))</f>
        <v>106.12022667532625</v>
      </c>
      <c r="AD184">
        <f ca="1">IF($C184-AD$1&lt;År1,0,AC183*(1-VLOOKUP($A184,[1]Hugst!$R$5:$W$9,MATCH(ROUNDUP((AD$1)/10,0)*10,[1]Hugst!$R$4:$W$4,0))))</f>
        <v>106.27703271431785</v>
      </c>
      <c r="AE184">
        <f ca="1">IF($C184-AE$1&lt;År1,0,AD183*(1-VLOOKUP($A184,[1]Hugst!$R$5:$W$9,MATCH(ROUNDUP((AE$1)/10,0)*10,[1]Hugst!$R$4:$W$4,0))))</f>
        <v>106.4346267233563</v>
      </c>
      <c r="AF184">
        <f ca="1">IF($C184-AF$1&lt;År1,0,AE183*(1-VLOOKUP($A184,[1]Hugst!$R$5:$W$9,MATCH(ROUNDUP((AF$1)/10,0)*10,[1]Hugst!$R$4:$W$4,0))))</f>
        <v>106.59301266208753</v>
      </c>
      <c r="AG184">
        <f ca="1">IF($C184-AG$1&lt;År1,0,AF183*(1-VLOOKUP($A184,[1]Hugst!$R$5:$W$9,MATCH(ROUNDUP((AG$1)/10,0)*10,[1]Hugst!$R$4:$W$4,0))))</f>
        <v>106.75219451005873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25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27.667492363154452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68.871196066858175</v>
      </c>
      <c r="G185">
        <f ca="1">IF($C185-G$1&lt;År1,0,F184*(1-VLOOKUP($A185,[1]Hugst!$R$5:$W$9,MATCH(ROUNDUP((G$1)/10,0)*10,[1]Hugst!$R$4:$W$4,0))))</f>
        <v>69.010228691797948</v>
      </c>
      <c r="H185">
        <f ca="1">IF($C185-H$1&lt;År1,0,G184*(1-VLOOKUP($A185,[1]Hugst!$R$5:$W$9,MATCH(ROUNDUP((H$1)/10,0)*10,[1]Hugst!$R$4:$W$4,0))))</f>
        <v>69.149959973147048</v>
      </c>
      <c r="I185">
        <f ca="1">IF($C185-I$1&lt;År1,0,H184*(1-VLOOKUP($A185,[1]Hugst!$R$5:$W$9,MATCH(ROUNDUP((I$1)/10,0)*10,[1]Hugst!$R$4:$W$4,0))))</f>
        <v>69.290393421736468</v>
      </c>
      <c r="J185">
        <f ca="1">IF($C185-J$1&lt;År1,0,I184*(1-VLOOKUP($A185,[1]Hugst!$R$5:$W$9,MATCH(ROUNDUP((J$1)/10,0)*10,[1]Hugst!$R$4:$W$4,0))))</f>
        <v>69.431532566047878</v>
      </c>
      <c r="K185">
        <f ca="1">IF($C185-K$1&lt;År1,0,J184*(1-VLOOKUP($A185,[1]Hugst!$R$5:$W$9,MATCH(ROUNDUP((K$1)/10,0)*10,[1]Hugst!$R$4:$W$4,0))))</f>
        <v>69.573380952291387</v>
      </c>
      <c r="L185">
        <f ca="1">IF($C185-L$1&lt;År1,0,K184*(1-VLOOKUP($A185,[1]Hugst!$R$5:$W$9,MATCH(ROUNDUP((L$1)/10,0)*10,[1]Hugst!$R$4:$W$4,0))))</f>
        <v>69.715942144495131</v>
      </c>
      <c r="M185">
        <f ca="1">IF($C185-M$1&lt;År1,0,L184*(1-VLOOKUP($A185,[1]Hugst!$R$5:$W$9,MATCH(ROUNDUP((M$1)/10,0)*10,[1]Hugst!$R$4:$W$4,0))))</f>
        <v>69.859219724599853</v>
      </c>
      <c r="N185">
        <f ca="1">IF($C185-N$1&lt;År1,0,M184*(1-VLOOKUP($A185,[1]Hugst!$R$5:$W$9,MATCH(ROUNDUP((N$1)/10,0)*10,[1]Hugst!$R$4:$W$4,0))))</f>
        <v>70.003217292543724</v>
      </c>
      <c r="O185">
        <f ca="1">IF($C185-O$1&lt;År1,0,N184*(1-VLOOKUP($A185,[1]Hugst!$R$5:$W$9,MATCH(ROUNDUP((O$1)/10,0)*10,[1]Hugst!$R$4:$W$4,0))))</f>
        <v>70.147938466356578</v>
      </c>
      <c r="P185">
        <f ca="1">IF($C185-P$1&lt;År1,0,O184*(1-VLOOKUP($A185,[1]Hugst!$R$5:$W$9,MATCH(ROUNDUP((P$1)/10,0)*10,[1]Hugst!$R$4:$W$4,0))))</f>
        <v>70.293386882250417</v>
      </c>
      <c r="Q185">
        <f ca="1">IF($C185-Q$1&lt;År1,0,P184*(1-VLOOKUP($A185,[1]Hugst!$R$5:$W$9,MATCH(ROUNDUP((Q$1)/10,0)*10,[1]Hugst!$R$4:$W$4,0))))</f>
        <v>70.439566194704895</v>
      </c>
      <c r="R185">
        <f ca="1">IF($C185-R$1&lt;År1,0,Q184*(1-VLOOKUP($A185,[1]Hugst!$R$5:$W$9,MATCH(ROUNDUP((R$1)/10,0)*10,[1]Hugst!$R$4:$W$4,0))))</f>
        <v>70.586480076568961</v>
      </c>
      <c r="S185">
        <f ca="1">IF($C185-S$1&lt;År1,0,R184*(1-VLOOKUP($A185,[1]Hugst!$R$5:$W$9,MATCH(ROUNDUP((S$1)/10,0)*10,[1]Hugst!$R$4:$W$4,0))))</f>
        <v>70.734132219146801</v>
      </c>
      <c r="T185">
        <f ca="1">IF($C185-T$1&lt;År1,0,S184*(1-VLOOKUP($A185,[1]Hugst!$R$5:$W$9,MATCH(ROUNDUP((T$1)/10,0)*10,[1]Hugst!$R$4:$W$4,0))))</f>
        <v>70.882526332289189</v>
      </c>
      <c r="U185">
        <f ca="1">IF($C185-U$1&lt;År1,0,T184*(1-VLOOKUP($A185,[1]Hugst!$R$5:$W$9,MATCH(ROUNDUP((U$1)/10,0)*10,[1]Hugst!$R$4:$W$4,0))))</f>
        <v>71.031666144492959</v>
      </c>
      <c r="V185">
        <f ca="1">IF($C185-V$1&lt;År1,0,U184*(1-VLOOKUP($A185,[1]Hugst!$R$5:$W$9,MATCH(ROUNDUP((V$1)/10,0)*10,[1]Hugst!$R$4:$W$4,0))))</f>
        <v>71.181555402989858</v>
      </c>
      <c r="W185">
        <f ca="1">IF($C185-W$1&lt;År1,0,V184*(1-VLOOKUP($A185,[1]Hugst!$R$5:$W$9,MATCH(ROUNDUP((W$1)/10,0)*10,[1]Hugst!$R$4:$W$4,0))))</f>
        <v>71.332197873839419</v>
      </c>
      <c r="X185">
        <f ca="1">IF($C185-X$1&lt;År1,0,W184*(1-VLOOKUP($A185,[1]Hugst!$R$5:$W$9,MATCH(ROUNDUP((X$1)/10,0)*10,[1]Hugst!$R$4:$W$4,0))))</f>
        <v>105.19571855415381</v>
      </c>
      <c r="Y185">
        <f ca="1">IF($C185-Y$1&lt;År1,0,X184*(1-VLOOKUP($A185,[1]Hugst!$R$5:$W$9,MATCH(ROUNDUP((Y$1)/10,0)*10,[1]Hugst!$R$4:$W$4,0))))</f>
        <v>105.34787882369238</v>
      </c>
      <c r="Z185">
        <f ca="1">IF($C185-Z$1&lt;År1,0,Y184*(1-VLOOKUP($A185,[1]Hugst!$R$5:$W$9,MATCH(ROUNDUP((Z$1)/10,0)*10,[1]Hugst!$R$4:$W$4,0))))</f>
        <v>105.50080371770207</v>
      </c>
      <c r="AA185">
        <f ca="1">IF($C185-AA$1&lt;År1,0,Z184*(1-VLOOKUP($A185,[1]Hugst!$R$5:$W$9,MATCH(ROUNDUP((AA$1)/10,0)*10,[1]Hugst!$R$4:$W$4,0))))</f>
        <v>105.65449707851479</v>
      </c>
      <c r="AB185">
        <f ca="1">IF($C185-AB$1&lt;År1,0,AA184*(1-VLOOKUP($A185,[1]Hugst!$R$5:$W$9,MATCH(ROUNDUP((AB$1)/10,0)*10,[1]Hugst!$R$4:$W$4,0))))</f>
        <v>105.80896276777605</v>
      </c>
      <c r="AC185">
        <f ca="1">IF($C185-AC$1&lt;År1,0,AB184*(1-VLOOKUP($A185,[1]Hugst!$R$5:$W$9,MATCH(ROUNDUP((AC$1)/10,0)*10,[1]Hugst!$R$4:$W$4,0))))</f>
        <v>105.96420466652819</v>
      </c>
      <c r="AD185">
        <f ca="1">IF($C185-AD$1&lt;År1,0,AC184*(1-VLOOKUP($A185,[1]Hugst!$R$5:$W$9,MATCH(ROUNDUP((AD$1)/10,0)*10,[1]Hugst!$R$4:$W$4,0))))</f>
        <v>106.12022667532625</v>
      </c>
      <c r="AE185">
        <f ca="1">IF($C185-AE$1&lt;År1,0,AD184*(1-VLOOKUP($A185,[1]Hugst!$R$5:$W$9,MATCH(ROUNDUP((AE$1)/10,0)*10,[1]Hugst!$R$4:$W$4,0))))</f>
        <v>106.27703271431785</v>
      </c>
      <c r="AF185">
        <f ca="1">IF($C185-AF$1&lt;År1,0,AE184*(1-VLOOKUP($A185,[1]Hugst!$R$5:$W$9,MATCH(ROUNDUP((AF$1)/10,0)*10,[1]Hugst!$R$4:$W$4,0))))</f>
        <v>106.4346267233563</v>
      </c>
      <c r="AG185">
        <f ca="1">IF($C185-AG$1&lt;År1,0,AF184*(1-VLOOKUP($A185,[1]Hugst!$R$5:$W$9,MATCH(ROUNDUP((AG$1)/10,0)*10,[1]Hugst!$R$4:$W$4,0))))</f>
        <v>106.59301266208753</v>
      </c>
      <c r="AH185">
        <f ca="1">IF($C185-AH$1&lt;År1,0,AG184*(1-VLOOKUP($A185,[1]Hugst!$R$5:$W$9,MATCH(ROUNDUP((AH$1)/10,0)*10,[1]Hugst!$R$4:$W$4,0))))</f>
        <v>106.75219451005873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25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27.529154901339666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68.73285860504339</v>
      </c>
      <c r="G186">
        <f ca="1">IF($C186-G$1&lt;År1,0,F185*(1-VLOOKUP($A186,[1]Hugst!$R$5:$W$9,MATCH(ROUNDUP((G$1)/10,0)*10,[1]Hugst!$R$4:$W$4,0))))</f>
        <v>68.871196066858175</v>
      </c>
      <c r="H186">
        <f ca="1">IF($C186-H$1&lt;År1,0,G185*(1-VLOOKUP($A186,[1]Hugst!$R$5:$W$9,MATCH(ROUNDUP((H$1)/10,0)*10,[1]Hugst!$R$4:$W$4,0))))</f>
        <v>69.010228691797948</v>
      </c>
      <c r="I186">
        <f ca="1">IF($C186-I$1&lt;År1,0,H185*(1-VLOOKUP($A186,[1]Hugst!$R$5:$W$9,MATCH(ROUNDUP((I$1)/10,0)*10,[1]Hugst!$R$4:$W$4,0))))</f>
        <v>69.149959973147048</v>
      </c>
      <c r="J186">
        <f ca="1">IF($C186-J$1&lt;År1,0,I185*(1-VLOOKUP($A186,[1]Hugst!$R$5:$W$9,MATCH(ROUNDUP((J$1)/10,0)*10,[1]Hugst!$R$4:$W$4,0))))</f>
        <v>69.290393421736468</v>
      </c>
      <c r="K186">
        <f ca="1">IF($C186-K$1&lt;År1,0,J185*(1-VLOOKUP($A186,[1]Hugst!$R$5:$W$9,MATCH(ROUNDUP((K$1)/10,0)*10,[1]Hugst!$R$4:$W$4,0))))</f>
        <v>69.431532566047878</v>
      </c>
      <c r="L186">
        <f ca="1">IF($C186-L$1&lt;År1,0,K185*(1-VLOOKUP($A186,[1]Hugst!$R$5:$W$9,MATCH(ROUNDUP((L$1)/10,0)*10,[1]Hugst!$R$4:$W$4,0))))</f>
        <v>69.573380952291387</v>
      </c>
      <c r="M186">
        <f ca="1">IF($C186-M$1&lt;År1,0,L185*(1-VLOOKUP($A186,[1]Hugst!$R$5:$W$9,MATCH(ROUNDUP((M$1)/10,0)*10,[1]Hugst!$R$4:$W$4,0))))</f>
        <v>69.715942144495131</v>
      </c>
      <c r="N186">
        <f ca="1">IF($C186-N$1&lt;År1,0,M185*(1-VLOOKUP($A186,[1]Hugst!$R$5:$W$9,MATCH(ROUNDUP((N$1)/10,0)*10,[1]Hugst!$R$4:$W$4,0))))</f>
        <v>69.859219724599853</v>
      </c>
      <c r="O186">
        <f ca="1">IF($C186-O$1&lt;År1,0,N185*(1-VLOOKUP($A186,[1]Hugst!$R$5:$W$9,MATCH(ROUNDUP((O$1)/10,0)*10,[1]Hugst!$R$4:$W$4,0))))</f>
        <v>70.003217292543724</v>
      </c>
      <c r="P186">
        <f ca="1">IF($C186-P$1&lt;År1,0,O185*(1-VLOOKUP($A186,[1]Hugst!$R$5:$W$9,MATCH(ROUNDUP((P$1)/10,0)*10,[1]Hugst!$R$4:$W$4,0))))</f>
        <v>70.147938466356578</v>
      </c>
      <c r="Q186">
        <f ca="1">IF($C186-Q$1&lt;År1,0,P185*(1-VLOOKUP($A186,[1]Hugst!$R$5:$W$9,MATCH(ROUNDUP((Q$1)/10,0)*10,[1]Hugst!$R$4:$W$4,0))))</f>
        <v>70.293386882250417</v>
      </c>
      <c r="R186">
        <f ca="1">IF($C186-R$1&lt;År1,0,Q185*(1-VLOOKUP($A186,[1]Hugst!$R$5:$W$9,MATCH(ROUNDUP((R$1)/10,0)*10,[1]Hugst!$R$4:$W$4,0))))</f>
        <v>70.439566194704895</v>
      </c>
      <c r="S186">
        <f ca="1">IF($C186-S$1&lt;År1,0,R185*(1-VLOOKUP($A186,[1]Hugst!$R$5:$W$9,MATCH(ROUNDUP((S$1)/10,0)*10,[1]Hugst!$R$4:$W$4,0))))</f>
        <v>70.586480076568961</v>
      </c>
      <c r="T186">
        <f ca="1">IF($C186-T$1&lt;År1,0,S185*(1-VLOOKUP($A186,[1]Hugst!$R$5:$W$9,MATCH(ROUNDUP((T$1)/10,0)*10,[1]Hugst!$R$4:$W$4,0))))</f>
        <v>70.734132219146801</v>
      </c>
      <c r="U186">
        <f ca="1">IF($C186-U$1&lt;År1,0,T185*(1-VLOOKUP($A186,[1]Hugst!$R$5:$W$9,MATCH(ROUNDUP((U$1)/10,0)*10,[1]Hugst!$R$4:$W$4,0))))</f>
        <v>70.882526332289189</v>
      </c>
      <c r="V186">
        <f ca="1">IF($C186-V$1&lt;År1,0,U185*(1-VLOOKUP($A186,[1]Hugst!$R$5:$W$9,MATCH(ROUNDUP((V$1)/10,0)*10,[1]Hugst!$R$4:$W$4,0))))</f>
        <v>71.031666144492959</v>
      </c>
      <c r="W186">
        <f ca="1">IF($C186-W$1&lt;År1,0,V185*(1-VLOOKUP($A186,[1]Hugst!$R$5:$W$9,MATCH(ROUNDUP((W$1)/10,0)*10,[1]Hugst!$R$4:$W$4,0))))</f>
        <v>71.181555402989858</v>
      </c>
      <c r="X186">
        <f ca="1">IF($C186-X$1&lt;År1,0,W185*(1-VLOOKUP($A186,[1]Hugst!$R$5:$W$9,MATCH(ROUNDUP((X$1)/10,0)*10,[1]Hugst!$R$4:$W$4,0))))</f>
        <v>71.332197873839419</v>
      </c>
      <c r="Y186">
        <f ca="1">IF($C186-Y$1&lt;År1,0,X185*(1-VLOOKUP($A186,[1]Hugst!$R$5:$W$9,MATCH(ROUNDUP((Y$1)/10,0)*10,[1]Hugst!$R$4:$W$4,0))))</f>
        <v>105.19571855415381</v>
      </c>
      <c r="Z186">
        <f ca="1">IF($C186-Z$1&lt;År1,0,Y185*(1-VLOOKUP($A186,[1]Hugst!$R$5:$W$9,MATCH(ROUNDUP((Z$1)/10,0)*10,[1]Hugst!$R$4:$W$4,0))))</f>
        <v>105.34787882369238</v>
      </c>
      <c r="AA186">
        <f ca="1">IF($C186-AA$1&lt;År1,0,Z185*(1-VLOOKUP($A186,[1]Hugst!$R$5:$W$9,MATCH(ROUNDUP((AA$1)/10,0)*10,[1]Hugst!$R$4:$W$4,0))))</f>
        <v>105.50080371770207</v>
      </c>
      <c r="AB186">
        <f ca="1">IF($C186-AB$1&lt;År1,0,AA185*(1-VLOOKUP($A186,[1]Hugst!$R$5:$W$9,MATCH(ROUNDUP((AB$1)/10,0)*10,[1]Hugst!$R$4:$W$4,0))))</f>
        <v>105.65449707851479</v>
      </c>
      <c r="AC186">
        <f ca="1">IF($C186-AC$1&lt;År1,0,AB185*(1-VLOOKUP($A186,[1]Hugst!$R$5:$W$9,MATCH(ROUNDUP((AC$1)/10,0)*10,[1]Hugst!$R$4:$W$4,0))))</f>
        <v>105.80896276777605</v>
      </c>
      <c r="AD186">
        <f ca="1">IF($C186-AD$1&lt;År1,0,AC185*(1-VLOOKUP($A186,[1]Hugst!$R$5:$W$9,MATCH(ROUNDUP((AD$1)/10,0)*10,[1]Hugst!$R$4:$W$4,0))))</f>
        <v>105.96420466652819</v>
      </c>
      <c r="AE186">
        <f ca="1">IF($C186-AE$1&lt;År1,0,AD185*(1-VLOOKUP($A186,[1]Hugst!$R$5:$W$9,MATCH(ROUNDUP((AE$1)/10,0)*10,[1]Hugst!$R$4:$W$4,0))))</f>
        <v>106.12022667532625</v>
      </c>
      <c r="AF186">
        <f ca="1">IF($C186-AF$1&lt;År1,0,AE185*(1-VLOOKUP($A186,[1]Hugst!$R$5:$W$9,MATCH(ROUNDUP((AF$1)/10,0)*10,[1]Hugst!$R$4:$W$4,0))))</f>
        <v>106.27703271431785</v>
      </c>
      <c r="AG186">
        <f ca="1">IF($C186-AG$1&lt;År1,0,AF185*(1-VLOOKUP($A186,[1]Hugst!$R$5:$W$9,MATCH(ROUNDUP((AG$1)/10,0)*10,[1]Hugst!$R$4:$W$4,0))))</f>
        <v>106.4346267233563</v>
      </c>
      <c r="AH186">
        <f ca="1">IF($C186-AH$1&lt;År1,0,AG185*(1-VLOOKUP($A186,[1]Hugst!$R$5:$W$9,MATCH(ROUNDUP((AH$1)/10,0)*10,[1]Hugst!$R$4:$W$4,0))))</f>
        <v>106.59301266208753</v>
      </c>
      <c r="AI186">
        <f ca="1">IF($C186-AI$1&lt;År1,0,AH185*(1-VLOOKUP($A186,[1]Hugst!$R$5:$W$9,MATCH(ROUNDUP((AI$1)/10,0)*10,[1]Hugst!$R$4:$W$4,0))))</f>
        <v>106.75219451005873</v>
      </c>
      <c r="AJ186">
        <f>IF($C186-AJ$1&lt;År1,0,AI185*(1-VLOOKUP($A186,[1]Hugst!$R$5:$W$9,MATCH(ROUNDUP((AJ$1)/10,0)*10,[1]Hugst!$R$4:$W$4,0))))</f>
        <v>0</v>
      </c>
    </row>
    <row r="187" spans="1:36" x14ac:dyDescent="0.25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27.391509126832602</v>
      </c>
      <c r="E187">
        <f t="shared" ca="1" si="3"/>
        <v>0.1940948991091318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68.789307729645458</v>
      </c>
      <c r="G187">
        <f ca="1">IF($C187-G$1&lt;År1,0,F186*(1-VLOOKUP($A187,[1]Hugst!$R$5:$W$9,MATCH(ROUNDUP((G$1)/10,0)*10,[1]Hugst!$R$4:$W$4,0))))</f>
        <v>68.73285860504339</v>
      </c>
      <c r="H187">
        <f ca="1">IF($C187-H$1&lt;År1,0,G186*(1-VLOOKUP($A187,[1]Hugst!$R$5:$W$9,MATCH(ROUNDUP((H$1)/10,0)*10,[1]Hugst!$R$4:$W$4,0))))</f>
        <v>68.871196066858175</v>
      </c>
      <c r="I187">
        <f ca="1">IF($C187-I$1&lt;År1,0,H186*(1-VLOOKUP($A187,[1]Hugst!$R$5:$W$9,MATCH(ROUNDUP((I$1)/10,0)*10,[1]Hugst!$R$4:$W$4,0))))</f>
        <v>69.010228691797948</v>
      </c>
      <c r="J187">
        <f ca="1">IF($C187-J$1&lt;År1,0,I186*(1-VLOOKUP($A187,[1]Hugst!$R$5:$W$9,MATCH(ROUNDUP((J$1)/10,0)*10,[1]Hugst!$R$4:$W$4,0))))</f>
        <v>69.149959973147048</v>
      </c>
      <c r="K187">
        <f ca="1">IF($C187-K$1&lt;År1,0,J186*(1-VLOOKUP($A187,[1]Hugst!$R$5:$W$9,MATCH(ROUNDUP((K$1)/10,0)*10,[1]Hugst!$R$4:$W$4,0))))</f>
        <v>69.290393421736468</v>
      </c>
      <c r="L187">
        <f ca="1">IF($C187-L$1&lt;År1,0,K186*(1-VLOOKUP($A187,[1]Hugst!$R$5:$W$9,MATCH(ROUNDUP((L$1)/10,0)*10,[1]Hugst!$R$4:$W$4,0))))</f>
        <v>69.431532566047878</v>
      </c>
      <c r="M187">
        <f ca="1">IF($C187-M$1&lt;År1,0,L186*(1-VLOOKUP($A187,[1]Hugst!$R$5:$W$9,MATCH(ROUNDUP((M$1)/10,0)*10,[1]Hugst!$R$4:$W$4,0))))</f>
        <v>69.573380952291387</v>
      </c>
      <c r="N187">
        <f ca="1">IF($C187-N$1&lt;År1,0,M186*(1-VLOOKUP($A187,[1]Hugst!$R$5:$W$9,MATCH(ROUNDUP((N$1)/10,0)*10,[1]Hugst!$R$4:$W$4,0))))</f>
        <v>69.715942144495131</v>
      </c>
      <c r="O187">
        <f ca="1">IF($C187-O$1&lt;År1,0,N186*(1-VLOOKUP($A187,[1]Hugst!$R$5:$W$9,MATCH(ROUNDUP((O$1)/10,0)*10,[1]Hugst!$R$4:$W$4,0))))</f>
        <v>69.859219724599853</v>
      </c>
      <c r="P187">
        <f ca="1">IF($C187-P$1&lt;År1,0,O186*(1-VLOOKUP($A187,[1]Hugst!$R$5:$W$9,MATCH(ROUNDUP((P$1)/10,0)*10,[1]Hugst!$R$4:$W$4,0))))</f>
        <v>70.003217292543724</v>
      </c>
      <c r="Q187">
        <f ca="1">IF($C187-Q$1&lt;År1,0,P186*(1-VLOOKUP($A187,[1]Hugst!$R$5:$W$9,MATCH(ROUNDUP((Q$1)/10,0)*10,[1]Hugst!$R$4:$W$4,0))))</f>
        <v>70.147938466356578</v>
      </c>
      <c r="R187">
        <f ca="1">IF($C187-R$1&lt;År1,0,Q186*(1-VLOOKUP($A187,[1]Hugst!$R$5:$W$9,MATCH(ROUNDUP((R$1)/10,0)*10,[1]Hugst!$R$4:$W$4,0))))</f>
        <v>70.293386882250417</v>
      </c>
      <c r="S187">
        <f ca="1">IF($C187-S$1&lt;År1,0,R186*(1-VLOOKUP($A187,[1]Hugst!$R$5:$W$9,MATCH(ROUNDUP((S$1)/10,0)*10,[1]Hugst!$R$4:$W$4,0))))</f>
        <v>70.439566194704895</v>
      </c>
      <c r="T187">
        <f ca="1">IF($C187-T$1&lt;År1,0,S186*(1-VLOOKUP($A187,[1]Hugst!$R$5:$W$9,MATCH(ROUNDUP((T$1)/10,0)*10,[1]Hugst!$R$4:$W$4,0))))</f>
        <v>70.586480076568961</v>
      </c>
      <c r="U187">
        <f ca="1">IF($C187-U$1&lt;År1,0,T186*(1-VLOOKUP($A187,[1]Hugst!$R$5:$W$9,MATCH(ROUNDUP((U$1)/10,0)*10,[1]Hugst!$R$4:$W$4,0))))</f>
        <v>70.734132219146801</v>
      </c>
      <c r="V187">
        <f ca="1">IF($C187-V$1&lt;År1,0,U186*(1-VLOOKUP($A187,[1]Hugst!$R$5:$W$9,MATCH(ROUNDUP((V$1)/10,0)*10,[1]Hugst!$R$4:$W$4,0))))</f>
        <v>70.882526332289189</v>
      </c>
      <c r="W187">
        <f ca="1">IF($C187-W$1&lt;År1,0,V186*(1-VLOOKUP($A187,[1]Hugst!$R$5:$W$9,MATCH(ROUNDUP((W$1)/10,0)*10,[1]Hugst!$R$4:$W$4,0))))</f>
        <v>71.031666144492959</v>
      </c>
      <c r="X187">
        <f ca="1">IF($C187-X$1&lt;År1,0,W186*(1-VLOOKUP($A187,[1]Hugst!$R$5:$W$9,MATCH(ROUNDUP((X$1)/10,0)*10,[1]Hugst!$R$4:$W$4,0))))</f>
        <v>71.181555402989858</v>
      </c>
      <c r="Y187">
        <f ca="1">IF($C187-Y$1&lt;År1,0,X186*(1-VLOOKUP($A187,[1]Hugst!$R$5:$W$9,MATCH(ROUNDUP((Y$1)/10,0)*10,[1]Hugst!$R$4:$W$4,0))))</f>
        <v>71.332197873839419</v>
      </c>
      <c r="Z187">
        <f ca="1">IF($C187-Z$1&lt;År1,0,Y186*(1-VLOOKUP($A187,[1]Hugst!$R$5:$W$9,MATCH(ROUNDUP((Z$1)/10,0)*10,[1]Hugst!$R$4:$W$4,0))))</f>
        <v>105.19571855415381</v>
      </c>
      <c r="AA187">
        <f ca="1">IF($C187-AA$1&lt;År1,0,Z186*(1-VLOOKUP($A187,[1]Hugst!$R$5:$W$9,MATCH(ROUNDUP((AA$1)/10,0)*10,[1]Hugst!$R$4:$W$4,0))))</f>
        <v>105.34787882369238</v>
      </c>
      <c r="AB187">
        <f ca="1">IF($C187-AB$1&lt;År1,0,AA186*(1-VLOOKUP($A187,[1]Hugst!$R$5:$W$9,MATCH(ROUNDUP((AB$1)/10,0)*10,[1]Hugst!$R$4:$W$4,0))))</f>
        <v>105.50080371770207</v>
      </c>
      <c r="AC187">
        <f ca="1">IF($C187-AC$1&lt;År1,0,AB186*(1-VLOOKUP($A187,[1]Hugst!$R$5:$W$9,MATCH(ROUNDUP((AC$1)/10,0)*10,[1]Hugst!$R$4:$W$4,0))))</f>
        <v>105.65449707851479</v>
      </c>
      <c r="AD187">
        <f ca="1">IF($C187-AD$1&lt;År1,0,AC186*(1-VLOOKUP($A187,[1]Hugst!$R$5:$W$9,MATCH(ROUNDUP((AD$1)/10,0)*10,[1]Hugst!$R$4:$W$4,0))))</f>
        <v>105.80896276777605</v>
      </c>
      <c r="AE187">
        <f ca="1">IF($C187-AE$1&lt;År1,0,AD186*(1-VLOOKUP($A187,[1]Hugst!$R$5:$W$9,MATCH(ROUNDUP((AE$1)/10,0)*10,[1]Hugst!$R$4:$W$4,0))))</f>
        <v>105.96420466652819</v>
      </c>
      <c r="AF187">
        <f ca="1">IF($C187-AF$1&lt;År1,0,AE186*(1-VLOOKUP($A187,[1]Hugst!$R$5:$W$9,MATCH(ROUNDUP((AF$1)/10,0)*10,[1]Hugst!$R$4:$W$4,0))))</f>
        <v>106.12022667532625</v>
      </c>
      <c r="AG187">
        <f ca="1">IF($C187-AG$1&lt;År1,0,AF186*(1-VLOOKUP($A187,[1]Hugst!$R$5:$W$9,MATCH(ROUNDUP((AG$1)/10,0)*10,[1]Hugst!$R$4:$W$4,0))))</f>
        <v>106.27703271431785</v>
      </c>
      <c r="AH187">
        <f ca="1">IF($C187-AH$1&lt;År1,0,AG186*(1-VLOOKUP($A187,[1]Hugst!$R$5:$W$9,MATCH(ROUNDUP((AH$1)/10,0)*10,[1]Hugst!$R$4:$W$4,0))))</f>
        <v>106.4346267233563</v>
      </c>
      <c r="AI187">
        <f ca="1">IF($C187-AI$1&lt;År1,0,AH186*(1-VLOOKUP($A187,[1]Hugst!$R$5:$W$9,MATCH(ROUNDUP((AI$1)/10,0)*10,[1]Hugst!$R$4:$W$4,0))))</f>
        <v>106.59301266208753</v>
      </c>
      <c r="AJ187">
        <f ca="1">IF($C187-AJ$1&lt;År1,0,AI186*(1-VLOOKUP($A187,[1]Hugst!$R$5:$W$9,MATCH(ROUNDUP((AJ$1)/10,0)*10,[1]Hugst!$R$4:$W$4,0))))</f>
        <v>106.55809961094953</v>
      </c>
    </row>
    <row r="188" spans="1:36" x14ac:dyDescent="0.25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978.89517365189681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5418.2891130458347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25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974.00069778361353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5413.3946371775519</v>
      </c>
      <c r="G189">
        <f ca="1">IF($C189-G$1&lt;År1,0,F188*(1-VLOOKUP($A189,[1]Hugst!$R$5:$W$9,MATCH(ROUNDUP((G$1)/10,0)*10,[1]Hugst!$R$4:$W$4,0))))</f>
        <v>5418.2891130458347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25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969.13069429472398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5408.5246336886621</v>
      </c>
      <c r="G190">
        <f ca="1">IF($C190-G$1&lt;År1,0,F189*(1-VLOOKUP($A190,[1]Hugst!$R$5:$W$9,MATCH(ROUNDUP((G$1)/10,0)*10,[1]Hugst!$R$4:$W$4,0))))</f>
        <v>5413.3946371775519</v>
      </c>
      <c r="H190">
        <f ca="1">IF($C190-H$1&lt;År1,0,G189*(1-VLOOKUP($A190,[1]Hugst!$R$5:$W$9,MATCH(ROUNDUP((H$1)/10,0)*10,[1]Hugst!$R$4:$W$4,0))))</f>
        <v>5418.2891130458347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25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964.2850408232448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5403.6789802171825</v>
      </c>
      <c r="G191">
        <f ca="1">IF($C191-G$1&lt;År1,0,F190*(1-VLOOKUP($A191,[1]Hugst!$R$5:$W$9,MATCH(ROUNDUP((G$1)/10,0)*10,[1]Hugst!$R$4:$W$4,0))))</f>
        <v>5408.5246336886621</v>
      </c>
      <c r="H191">
        <f ca="1">IF($C191-H$1&lt;År1,0,G190*(1-VLOOKUP($A191,[1]Hugst!$R$5:$W$9,MATCH(ROUNDUP((H$1)/10,0)*10,[1]Hugst!$R$4:$W$4,0))))</f>
        <v>5413.3946371775519</v>
      </c>
      <c r="I191">
        <f ca="1">IF($C191-I$1&lt;År1,0,H190*(1-VLOOKUP($A191,[1]Hugst!$R$5:$W$9,MATCH(ROUNDUP((I$1)/10,0)*10,[1]Hugst!$R$4:$W$4,0))))</f>
        <v>5418.2891130458347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25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959.46361561912681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5398.8575550130645</v>
      </c>
      <c r="G192">
        <f ca="1">IF($C192-G$1&lt;År1,0,F191*(1-VLOOKUP($A192,[1]Hugst!$R$5:$W$9,MATCH(ROUNDUP((G$1)/10,0)*10,[1]Hugst!$R$4:$W$4,0))))</f>
        <v>5403.6789802171825</v>
      </c>
      <c r="H192">
        <f ca="1">IF($C192-H$1&lt;År1,0,G191*(1-VLOOKUP($A192,[1]Hugst!$R$5:$W$9,MATCH(ROUNDUP((H$1)/10,0)*10,[1]Hugst!$R$4:$W$4,0))))</f>
        <v>5408.5246336886621</v>
      </c>
      <c r="I192">
        <f ca="1">IF($C192-I$1&lt;År1,0,H191*(1-VLOOKUP($A192,[1]Hugst!$R$5:$W$9,MATCH(ROUNDUP((I$1)/10,0)*10,[1]Hugst!$R$4:$W$4,0))))</f>
        <v>5413.3946371775519</v>
      </c>
      <c r="J192">
        <f ca="1">IF($C192-J$1&lt;År1,0,I191*(1-VLOOKUP($A192,[1]Hugst!$R$5:$W$9,MATCH(ROUNDUP((J$1)/10,0)*10,[1]Hugst!$R$4:$W$4,0))))</f>
        <v>5418.2891130458347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25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954.66629754102632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5394.0602369349645</v>
      </c>
      <c r="G193">
        <f ca="1">IF($C193-G$1&lt;År1,0,F192*(1-VLOOKUP($A193,[1]Hugst!$R$5:$W$9,MATCH(ROUNDUP((G$1)/10,0)*10,[1]Hugst!$R$4:$W$4,0))))</f>
        <v>5398.8575550130645</v>
      </c>
      <c r="H193">
        <f ca="1">IF($C193-H$1&lt;År1,0,G192*(1-VLOOKUP($A193,[1]Hugst!$R$5:$W$9,MATCH(ROUNDUP((H$1)/10,0)*10,[1]Hugst!$R$4:$W$4,0))))</f>
        <v>5403.6789802171825</v>
      </c>
      <c r="I193">
        <f ca="1">IF($C193-I$1&lt;År1,0,H192*(1-VLOOKUP($A193,[1]Hugst!$R$5:$W$9,MATCH(ROUNDUP((I$1)/10,0)*10,[1]Hugst!$R$4:$W$4,0))))</f>
        <v>5408.5246336886621</v>
      </c>
      <c r="J193">
        <f ca="1">IF($C193-J$1&lt;År1,0,I192*(1-VLOOKUP($A193,[1]Hugst!$R$5:$W$9,MATCH(ROUNDUP((J$1)/10,0)*10,[1]Hugst!$R$4:$W$4,0))))</f>
        <v>5413.3946371775519</v>
      </c>
      <c r="K193">
        <f ca="1">IF($C193-K$1&lt;År1,0,J192*(1-VLOOKUP($A193,[1]Hugst!$R$5:$W$9,MATCH(ROUNDUP((K$1)/10,0)*10,[1]Hugst!$R$4:$W$4,0))))</f>
        <v>5418.2891130458347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25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949.89296605332584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5389.286905447264</v>
      </c>
      <c r="G194">
        <f ca="1">IF($C194-G$1&lt;År1,0,F193*(1-VLOOKUP($A194,[1]Hugst!$R$5:$W$9,MATCH(ROUNDUP((G$1)/10,0)*10,[1]Hugst!$R$4:$W$4,0))))</f>
        <v>5394.0602369349645</v>
      </c>
      <c r="H194">
        <f ca="1">IF($C194-H$1&lt;År1,0,G193*(1-VLOOKUP($A194,[1]Hugst!$R$5:$W$9,MATCH(ROUNDUP((H$1)/10,0)*10,[1]Hugst!$R$4:$W$4,0))))</f>
        <v>5398.8575550130645</v>
      </c>
      <c r="I194">
        <f ca="1">IF($C194-I$1&lt;År1,0,H193*(1-VLOOKUP($A194,[1]Hugst!$R$5:$W$9,MATCH(ROUNDUP((I$1)/10,0)*10,[1]Hugst!$R$4:$W$4,0))))</f>
        <v>5403.6789802171825</v>
      </c>
      <c r="J194">
        <f ca="1">IF($C194-J$1&lt;År1,0,I193*(1-VLOOKUP($A194,[1]Hugst!$R$5:$W$9,MATCH(ROUNDUP((J$1)/10,0)*10,[1]Hugst!$R$4:$W$4,0))))</f>
        <v>5408.5246336886621</v>
      </c>
      <c r="K194">
        <f ca="1">IF($C194-K$1&lt;År1,0,J193*(1-VLOOKUP($A194,[1]Hugst!$R$5:$W$9,MATCH(ROUNDUP((K$1)/10,0)*10,[1]Hugst!$R$4:$W$4,0))))</f>
        <v>5413.3946371775519</v>
      </c>
      <c r="L194">
        <f ca="1">IF($C194-L$1&lt;År1,0,K193*(1-VLOOKUP($A194,[1]Hugst!$R$5:$W$9,MATCH(ROUNDUP((L$1)/10,0)*10,[1]Hugst!$R$4:$W$4,0))))</f>
        <v>5418.2891130458347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25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945.14350122306769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5384.5374406170058</v>
      </c>
      <c r="G195">
        <f ca="1">IF($C195-G$1&lt;År1,0,F194*(1-VLOOKUP($A195,[1]Hugst!$R$5:$W$9,MATCH(ROUNDUP((G$1)/10,0)*10,[1]Hugst!$R$4:$W$4,0))))</f>
        <v>5389.286905447264</v>
      </c>
      <c r="H195">
        <f ca="1">IF($C195-H$1&lt;År1,0,G194*(1-VLOOKUP($A195,[1]Hugst!$R$5:$W$9,MATCH(ROUNDUP((H$1)/10,0)*10,[1]Hugst!$R$4:$W$4,0))))</f>
        <v>5394.0602369349645</v>
      </c>
      <c r="I195">
        <f ca="1">IF($C195-I$1&lt;År1,0,H194*(1-VLOOKUP($A195,[1]Hugst!$R$5:$W$9,MATCH(ROUNDUP((I$1)/10,0)*10,[1]Hugst!$R$4:$W$4,0))))</f>
        <v>5398.8575550130645</v>
      </c>
      <c r="J195">
        <f ca="1">IF($C195-J$1&lt;År1,0,I194*(1-VLOOKUP($A195,[1]Hugst!$R$5:$W$9,MATCH(ROUNDUP((J$1)/10,0)*10,[1]Hugst!$R$4:$W$4,0))))</f>
        <v>5403.6789802171825</v>
      </c>
      <c r="K195">
        <f ca="1">IF($C195-K$1&lt;År1,0,J194*(1-VLOOKUP($A195,[1]Hugst!$R$5:$W$9,MATCH(ROUNDUP((K$1)/10,0)*10,[1]Hugst!$R$4:$W$4,0))))</f>
        <v>5408.5246336886621</v>
      </c>
      <c r="L195">
        <f ca="1">IF($C195-L$1&lt;År1,0,K194*(1-VLOOKUP($A195,[1]Hugst!$R$5:$W$9,MATCH(ROUNDUP((L$1)/10,0)*10,[1]Hugst!$R$4:$W$4,0))))</f>
        <v>5413.3946371775519</v>
      </c>
      <c r="M195">
        <f ca="1">IF($C195-M$1&lt;År1,0,L194*(1-VLOOKUP($A195,[1]Hugst!$R$5:$W$9,MATCH(ROUNDUP((M$1)/10,0)*10,[1]Hugst!$R$4:$W$4,0))))</f>
        <v>5418.2891130458347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25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940.41778371696546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5379.8117231109036</v>
      </c>
      <c r="G196">
        <f ca="1">IF($C196-G$1&lt;År1,0,F195*(1-VLOOKUP($A196,[1]Hugst!$R$5:$W$9,MATCH(ROUNDUP((G$1)/10,0)*10,[1]Hugst!$R$4:$W$4,0))))</f>
        <v>5384.5374406170058</v>
      </c>
      <c r="H196">
        <f ca="1">IF($C196-H$1&lt;År1,0,G195*(1-VLOOKUP($A196,[1]Hugst!$R$5:$W$9,MATCH(ROUNDUP((H$1)/10,0)*10,[1]Hugst!$R$4:$W$4,0))))</f>
        <v>5389.286905447264</v>
      </c>
      <c r="I196">
        <f ca="1">IF($C196-I$1&lt;År1,0,H195*(1-VLOOKUP($A196,[1]Hugst!$R$5:$W$9,MATCH(ROUNDUP((I$1)/10,0)*10,[1]Hugst!$R$4:$W$4,0))))</f>
        <v>5394.0602369349645</v>
      </c>
      <c r="J196">
        <f ca="1">IF($C196-J$1&lt;År1,0,I195*(1-VLOOKUP($A196,[1]Hugst!$R$5:$W$9,MATCH(ROUNDUP((J$1)/10,0)*10,[1]Hugst!$R$4:$W$4,0))))</f>
        <v>5398.8575550130645</v>
      </c>
      <c r="K196">
        <f ca="1">IF($C196-K$1&lt;År1,0,J195*(1-VLOOKUP($A196,[1]Hugst!$R$5:$W$9,MATCH(ROUNDUP((K$1)/10,0)*10,[1]Hugst!$R$4:$W$4,0))))</f>
        <v>5403.6789802171825</v>
      </c>
      <c r="L196">
        <f ca="1">IF($C196-L$1&lt;År1,0,K195*(1-VLOOKUP($A196,[1]Hugst!$R$5:$W$9,MATCH(ROUNDUP((L$1)/10,0)*10,[1]Hugst!$R$4:$W$4,0))))</f>
        <v>5408.5246336886621</v>
      </c>
      <c r="M196">
        <f ca="1">IF($C196-M$1&lt;År1,0,L195*(1-VLOOKUP($A196,[1]Hugst!$R$5:$W$9,MATCH(ROUNDUP((M$1)/10,0)*10,[1]Hugst!$R$4:$W$4,0))))</f>
        <v>5413.3946371775519</v>
      </c>
      <c r="N196">
        <f ca="1">IF($C196-N$1&lt;År1,0,M195*(1-VLOOKUP($A196,[1]Hugst!$R$5:$W$9,MATCH(ROUNDUP((N$1)/10,0)*10,[1]Hugst!$R$4:$W$4,0))))</f>
        <v>5418.2891130458347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25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935.7156947983367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5375.1096341922748</v>
      </c>
      <c r="G197">
        <f ca="1">IF($C197-G$1&lt;År1,0,F196*(1-VLOOKUP($A197,[1]Hugst!$R$5:$W$9,MATCH(ROUNDUP((G$1)/10,0)*10,[1]Hugst!$R$4:$W$4,0))))</f>
        <v>5379.8117231109036</v>
      </c>
      <c r="H197">
        <f ca="1">IF($C197-H$1&lt;År1,0,G196*(1-VLOOKUP($A197,[1]Hugst!$R$5:$W$9,MATCH(ROUNDUP((H$1)/10,0)*10,[1]Hugst!$R$4:$W$4,0))))</f>
        <v>5384.5374406170058</v>
      </c>
      <c r="I197">
        <f ca="1">IF($C197-I$1&lt;År1,0,H196*(1-VLOOKUP($A197,[1]Hugst!$R$5:$W$9,MATCH(ROUNDUP((I$1)/10,0)*10,[1]Hugst!$R$4:$W$4,0))))</f>
        <v>5389.286905447264</v>
      </c>
      <c r="J197">
        <f ca="1">IF($C197-J$1&lt;År1,0,I196*(1-VLOOKUP($A197,[1]Hugst!$R$5:$W$9,MATCH(ROUNDUP((J$1)/10,0)*10,[1]Hugst!$R$4:$W$4,0))))</f>
        <v>5394.0602369349645</v>
      </c>
      <c r="K197">
        <f ca="1">IF($C197-K$1&lt;År1,0,J196*(1-VLOOKUP($A197,[1]Hugst!$R$5:$W$9,MATCH(ROUNDUP((K$1)/10,0)*10,[1]Hugst!$R$4:$W$4,0))))</f>
        <v>5398.8575550130645</v>
      </c>
      <c r="L197">
        <f ca="1">IF($C197-L$1&lt;År1,0,K196*(1-VLOOKUP($A197,[1]Hugst!$R$5:$W$9,MATCH(ROUNDUP((L$1)/10,0)*10,[1]Hugst!$R$4:$W$4,0))))</f>
        <v>5403.6789802171825</v>
      </c>
      <c r="M197">
        <f ca="1">IF($C197-M$1&lt;År1,0,L196*(1-VLOOKUP($A197,[1]Hugst!$R$5:$W$9,MATCH(ROUNDUP((M$1)/10,0)*10,[1]Hugst!$R$4:$W$4,0))))</f>
        <v>5408.5246336886621</v>
      </c>
      <c r="N197">
        <f ca="1">IF($C197-N$1&lt;År1,0,M196*(1-VLOOKUP($A197,[1]Hugst!$R$5:$W$9,MATCH(ROUNDUP((N$1)/10,0)*10,[1]Hugst!$R$4:$W$4,0))))</f>
        <v>5413.3946371775519</v>
      </c>
      <c r="O197">
        <f ca="1">IF($C197-O$1&lt;År1,0,N196*(1-VLOOKUP($A197,[1]Hugst!$R$5:$W$9,MATCH(ROUNDUP((O$1)/10,0)*10,[1]Hugst!$R$4:$W$4,0))))</f>
        <v>5418.2891130458347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25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931.03711632439263</v>
      </c>
      <c r="E198">
        <f t="shared" ca="1" si="4"/>
        <v>11.893805370105838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5382.3248610884366</v>
      </c>
      <c r="G198">
        <f ca="1">IF($C198-G$1&lt;År1,0,F197*(1-VLOOKUP($A198,[1]Hugst!$R$5:$W$9,MATCH(ROUNDUP((G$1)/10,0)*10,[1]Hugst!$R$4:$W$4,0))))</f>
        <v>5375.1096341922748</v>
      </c>
      <c r="H198">
        <f ca="1">IF($C198-H$1&lt;År1,0,G197*(1-VLOOKUP($A198,[1]Hugst!$R$5:$W$9,MATCH(ROUNDUP((H$1)/10,0)*10,[1]Hugst!$R$4:$W$4,0))))</f>
        <v>5379.8117231109036</v>
      </c>
      <c r="I198">
        <f ca="1">IF($C198-I$1&lt;År1,0,H197*(1-VLOOKUP($A198,[1]Hugst!$R$5:$W$9,MATCH(ROUNDUP((I$1)/10,0)*10,[1]Hugst!$R$4:$W$4,0))))</f>
        <v>5384.5374406170058</v>
      </c>
      <c r="J198">
        <f ca="1">IF($C198-J$1&lt;År1,0,I197*(1-VLOOKUP($A198,[1]Hugst!$R$5:$W$9,MATCH(ROUNDUP((J$1)/10,0)*10,[1]Hugst!$R$4:$W$4,0))))</f>
        <v>5389.286905447264</v>
      </c>
      <c r="K198">
        <f ca="1">IF($C198-K$1&lt;År1,0,J197*(1-VLOOKUP($A198,[1]Hugst!$R$5:$W$9,MATCH(ROUNDUP((K$1)/10,0)*10,[1]Hugst!$R$4:$W$4,0))))</f>
        <v>5394.0602369349645</v>
      </c>
      <c r="L198">
        <f ca="1">IF($C198-L$1&lt;År1,0,K197*(1-VLOOKUP($A198,[1]Hugst!$R$5:$W$9,MATCH(ROUNDUP((L$1)/10,0)*10,[1]Hugst!$R$4:$W$4,0))))</f>
        <v>5398.8575550130645</v>
      </c>
      <c r="M198">
        <f ca="1">IF($C198-M$1&lt;År1,0,L197*(1-VLOOKUP($A198,[1]Hugst!$R$5:$W$9,MATCH(ROUNDUP((M$1)/10,0)*10,[1]Hugst!$R$4:$W$4,0))))</f>
        <v>5403.6789802171825</v>
      </c>
      <c r="N198">
        <f ca="1">IF($C198-N$1&lt;År1,0,M197*(1-VLOOKUP($A198,[1]Hugst!$R$5:$W$9,MATCH(ROUNDUP((N$1)/10,0)*10,[1]Hugst!$R$4:$W$4,0))))</f>
        <v>5408.5246336886621</v>
      </c>
      <c r="O198">
        <f ca="1">IF($C198-O$1&lt;År1,0,N197*(1-VLOOKUP($A198,[1]Hugst!$R$5:$W$9,MATCH(ROUNDUP((O$1)/10,0)*10,[1]Hugst!$R$4:$W$4,0))))</f>
        <v>5413.3946371775519</v>
      </c>
      <c r="P198">
        <f ca="1">IF($C198-P$1&lt;År1,0,O197*(1-VLOOKUP($A198,[1]Hugst!$R$5:$W$9,MATCH(ROUNDUP((P$1)/10,0)*10,[1]Hugst!$R$4:$W$4,0))))</f>
        <v>5406.3953076757343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25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926.3819307427093</v>
      </c>
      <c r="E199">
        <f t="shared" ca="1" si="4"/>
        <v>23.750758415531891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3391.7993558249086</v>
      </c>
      <c r="G199">
        <f ca="1">IF($C199-G$1&lt;År1,0,F198*(1-VLOOKUP($A199,[1]Hugst!$R$5:$W$9,MATCH(ROUNDUP((G$1)/10,0)*10,[1]Hugst!$R$4:$W$4,0))))</f>
        <v>5382.3248610884366</v>
      </c>
      <c r="H199">
        <f ca="1">IF($C199-H$1&lt;År1,0,G198*(1-VLOOKUP($A199,[1]Hugst!$R$5:$W$9,MATCH(ROUNDUP((H$1)/10,0)*10,[1]Hugst!$R$4:$W$4,0))))</f>
        <v>5375.1096341922748</v>
      </c>
      <c r="I199">
        <f ca="1">IF($C199-I$1&lt;År1,0,H198*(1-VLOOKUP($A199,[1]Hugst!$R$5:$W$9,MATCH(ROUNDUP((I$1)/10,0)*10,[1]Hugst!$R$4:$W$4,0))))</f>
        <v>5379.8117231109036</v>
      </c>
      <c r="J199">
        <f ca="1">IF($C199-J$1&lt;År1,0,I198*(1-VLOOKUP($A199,[1]Hugst!$R$5:$W$9,MATCH(ROUNDUP((J$1)/10,0)*10,[1]Hugst!$R$4:$W$4,0))))</f>
        <v>5384.5374406170058</v>
      </c>
      <c r="K199">
        <f ca="1">IF($C199-K$1&lt;År1,0,J198*(1-VLOOKUP($A199,[1]Hugst!$R$5:$W$9,MATCH(ROUNDUP((K$1)/10,0)*10,[1]Hugst!$R$4:$W$4,0))))</f>
        <v>5389.286905447264</v>
      </c>
      <c r="L199">
        <f ca="1">IF($C199-L$1&lt;År1,0,K198*(1-VLOOKUP($A199,[1]Hugst!$R$5:$W$9,MATCH(ROUNDUP((L$1)/10,0)*10,[1]Hugst!$R$4:$W$4,0))))</f>
        <v>5394.0602369349645</v>
      </c>
      <c r="M199">
        <f ca="1">IF($C199-M$1&lt;År1,0,L198*(1-VLOOKUP($A199,[1]Hugst!$R$5:$W$9,MATCH(ROUNDUP((M$1)/10,0)*10,[1]Hugst!$R$4:$W$4,0))))</f>
        <v>5398.8575550130645</v>
      </c>
      <c r="N199">
        <f ca="1">IF($C199-N$1&lt;År1,0,M198*(1-VLOOKUP($A199,[1]Hugst!$R$5:$W$9,MATCH(ROUNDUP((N$1)/10,0)*10,[1]Hugst!$R$4:$W$4,0))))</f>
        <v>5403.6789802171825</v>
      </c>
      <c r="O199">
        <f ca="1">IF($C199-O$1&lt;År1,0,N198*(1-VLOOKUP($A199,[1]Hugst!$R$5:$W$9,MATCH(ROUNDUP((O$1)/10,0)*10,[1]Hugst!$R$4:$W$4,0))))</f>
        <v>5408.5246336886621</v>
      </c>
      <c r="P199">
        <f ca="1">IF($C199-P$1&lt;År1,0,O198*(1-VLOOKUP($A199,[1]Hugst!$R$5:$W$9,MATCH(ROUNDUP((P$1)/10,0)*10,[1]Hugst!$R$4:$W$4,0))))</f>
        <v>5401.5115757788699</v>
      </c>
      <c r="Q199">
        <f ca="1">IF($C199-Q$1&lt;År1,0,P198*(1-VLOOKUP($A199,[1]Hugst!$R$5:$W$9,MATCH(ROUNDUP((Q$1)/10,0)*10,[1]Hugst!$R$4:$W$4,0))))</f>
        <v>5394.5276106588854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25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921.750021089043</v>
      </c>
      <c r="E200">
        <f t="shared" ca="1" si="4"/>
        <v>35.570993751498463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3398.9876815072089</v>
      </c>
      <c r="G200">
        <f ca="1">IF($C200-G$1&lt;År1,0,F199*(1-VLOOKUP($A200,[1]Hugst!$R$5:$W$9,MATCH(ROUNDUP((G$1)/10,0)*10,[1]Hugst!$R$4:$W$4,0))))</f>
        <v>3391.7993558249086</v>
      </c>
      <c r="H200">
        <f ca="1">IF($C200-H$1&lt;År1,0,G199*(1-VLOOKUP($A200,[1]Hugst!$R$5:$W$9,MATCH(ROUNDUP((H$1)/10,0)*10,[1]Hugst!$R$4:$W$4,0))))</f>
        <v>5382.3248610884366</v>
      </c>
      <c r="I200">
        <f ca="1">IF($C200-I$1&lt;År1,0,H199*(1-VLOOKUP($A200,[1]Hugst!$R$5:$W$9,MATCH(ROUNDUP((I$1)/10,0)*10,[1]Hugst!$R$4:$W$4,0))))</f>
        <v>5375.1096341922748</v>
      </c>
      <c r="J200">
        <f ca="1">IF($C200-J$1&lt;År1,0,I199*(1-VLOOKUP($A200,[1]Hugst!$R$5:$W$9,MATCH(ROUNDUP((J$1)/10,0)*10,[1]Hugst!$R$4:$W$4,0))))</f>
        <v>5379.8117231109036</v>
      </c>
      <c r="K200">
        <f ca="1">IF($C200-K$1&lt;År1,0,J199*(1-VLOOKUP($A200,[1]Hugst!$R$5:$W$9,MATCH(ROUNDUP((K$1)/10,0)*10,[1]Hugst!$R$4:$W$4,0))))</f>
        <v>5384.5374406170058</v>
      </c>
      <c r="L200">
        <f ca="1">IF($C200-L$1&lt;År1,0,K199*(1-VLOOKUP($A200,[1]Hugst!$R$5:$W$9,MATCH(ROUNDUP((L$1)/10,0)*10,[1]Hugst!$R$4:$W$4,0))))</f>
        <v>5389.286905447264</v>
      </c>
      <c r="M200">
        <f ca="1">IF($C200-M$1&lt;År1,0,L199*(1-VLOOKUP($A200,[1]Hugst!$R$5:$W$9,MATCH(ROUNDUP((M$1)/10,0)*10,[1]Hugst!$R$4:$W$4,0))))</f>
        <v>5394.0602369349645</v>
      </c>
      <c r="N200">
        <f ca="1">IF($C200-N$1&lt;År1,0,M199*(1-VLOOKUP($A200,[1]Hugst!$R$5:$W$9,MATCH(ROUNDUP((N$1)/10,0)*10,[1]Hugst!$R$4:$W$4,0))))</f>
        <v>5398.8575550130645</v>
      </c>
      <c r="O200">
        <f ca="1">IF($C200-O$1&lt;År1,0,N199*(1-VLOOKUP($A200,[1]Hugst!$R$5:$W$9,MATCH(ROUNDUP((O$1)/10,0)*10,[1]Hugst!$R$4:$W$4,0))))</f>
        <v>5403.6789802171825</v>
      </c>
      <c r="P200">
        <f ca="1">IF($C200-P$1&lt;År1,0,O199*(1-VLOOKUP($A200,[1]Hugst!$R$5:$W$9,MATCH(ROUNDUP((P$1)/10,0)*10,[1]Hugst!$R$4:$W$4,0))))</f>
        <v>5396.6522625415409</v>
      </c>
      <c r="Q200">
        <f ca="1">IF($C200-Q$1&lt;År1,0,P199*(1-VLOOKUP($A200,[1]Hugst!$R$5:$W$9,MATCH(ROUNDUP((Q$1)/10,0)*10,[1]Hugst!$R$4:$W$4,0))))</f>
        <v>5389.6545991491112</v>
      </c>
      <c r="R200">
        <f ca="1">IF($C200-R$1&lt;År1,0,Q199*(1-VLOOKUP($A200,[1]Hugst!$R$5:$W$9,MATCH(ROUNDUP((R$1)/10,0)*10,[1]Hugst!$R$4:$W$4,0))))</f>
        <v>5382.6859646842686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25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917.14127098357312</v>
      </c>
      <c r="E201">
        <f t="shared" ca="1" si="4"/>
        <v>47.354645429106313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3406.1625830793469</v>
      </c>
      <c r="G201">
        <f ca="1">IF($C201-G$1&lt;År1,0,F200*(1-VLOOKUP($A201,[1]Hugst!$R$5:$W$9,MATCH(ROUNDUP((G$1)/10,0)*10,[1]Hugst!$R$4:$W$4,0))))</f>
        <v>3398.9876815072089</v>
      </c>
      <c r="H201">
        <f ca="1">IF($C201-H$1&lt;År1,0,G200*(1-VLOOKUP($A201,[1]Hugst!$R$5:$W$9,MATCH(ROUNDUP((H$1)/10,0)*10,[1]Hugst!$R$4:$W$4,0))))</f>
        <v>3391.7993558249086</v>
      </c>
      <c r="I201">
        <f ca="1">IF($C201-I$1&lt;År1,0,H200*(1-VLOOKUP($A201,[1]Hugst!$R$5:$W$9,MATCH(ROUNDUP((I$1)/10,0)*10,[1]Hugst!$R$4:$W$4,0))))</f>
        <v>5382.3248610884366</v>
      </c>
      <c r="J201">
        <f ca="1">IF($C201-J$1&lt;År1,0,I200*(1-VLOOKUP($A201,[1]Hugst!$R$5:$W$9,MATCH(ROUNDUP((J$1)/10,0)*10,[1]Hugst!$R$4:$W$4,0))))</f>
        <v>5375.1096341922748</v>
      </c>
      <c r="K201">
        <f ca="1">IF($C201-K$1&lt;År1,0,J200*(1-VLOOKUP($A201,[1]Hugst!$R$5:$W$9,MATCH(ROUNDUP((K$1)/10,0)*10,[1]Hugst!$R$4:$W$4,0))))</f>
        <v>5379.8117231109036</v>
      </c>
      <c r="L201">
        <f ca="1">IF($C201-L$1&lt;År1,0,K200*(1-VLOOKUP($A201,[1]Hugst!$R$5:$W$9,MATCH(ROUNDUP((L$1)/10,0)*10,[1]Hugst!$R$4:$W$4,0))))</f>
        <v>5384.5374406170058</v>
      </c>
      <c r="M201">
        <f ca="1">IF($C201-M$1&lt;År1,0,L200*(1-VLOOKUP($A201,[1]Hugst!$R$5:$W$9,MATCH(ROUNDUP((M$1)/10,0)*10,[1]Hugst!$R$4:$W$4,0))))</f>
        <v>5389.286905447264</v>
      </c>
      <c r="N201">
        <f ca="1">IF($C201-N$1&lt;År1,0,M200*(1-VLOOKUP($A201,[1]Hugst!$R$5:$W$9,MATCH(ROUNDUP((N$1)/10,0)*10,[1]Hugst!$R$4:$W$4,0))))</f>
        <v>5394.0602369349645</v>
      </c>
      <c r="O201">
        <f ca="1">IF($C201-O$1&lt;År1,0,N200*(1-VLOOKUP($A201,[1]Hugst!$R$5:$W$9,MATCH(ROUNDUP((O$1)/10,0)*10,[1]Hugst!$R$4:$W$4,0))))</f>
        <v>5398.8575550130645</v>
      </c>
      <c r="P201">
        <f ca="1">IF($C201-P$1&lt;År1,0,O200*(1-VLOOKUP($A201,[1]Hugst!$R$5:$W$9,MATCH(ROUNDUP((P$1)/10,0)*10,[1]Hugst!$R$4:$W$4,0))))</f>
        <v>5391.8172458703639</v>
      </c>
      <c r="Q201">
        <f ca="1">IF($C201-Q$1&lt;År1,0,P200*(1-VLOOKUP($A201,[1]Hugst!$R$5:$W$9,MATCH(ROUNDUP((Q$1)/10,0)*10,[1]Hugst!$R$4:$W$4,0))))</f>
        <v>5384.8059526969373</v>
      </c>
      <c r="R201">
        <f ca="1">IF($C201-R$1&lt;År1,0,Q200*(1-VLOOKUP($A201,[1]Hugst!$R$5:$W$9,MATCH(ROUNDUP((R$1)/10,0)*10,[1]Hugst!$R$4:$W$4,0))))</f>
        <v>5377.8236500290277</v>
      </c>
      <c r="S201">
        <f ca="1">IF($C201-S$1&lt;År1,0,R200*(1-VLOOKUP($A201,[1]Hugst!$R$5:$W$9,MATCH(ROUNDUP((S$1)/10,0)*10,[1]Hugst!$R$4:$W$4,0))))</f>
        <v>5370.8703125666689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25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912.55556462866116</v>
      </c>
      <c r="E202">
        <f t="shared" ca="1" si="4"/>
        <v>59.101846937948721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3413.3240782332773</v>
      </c>
      <c r="G202">
        <f ca="1">IF($C202-G$1&lt;År1,0,F201*(1-VLOOKUP($A202,[1]Hugst!$R$5:$W$9,MATCH(ROUNDUP((G$1)/10,0)*10,[1]Hugst!$R$4:$W$4,0))))</f>
        <v>3406.1625830793469</v>
      </c>
      <c r="H202">
        <f ca="1">IF($C202-H$1&lt;År1,0,G201*(1-VLOOKUP($A202,[1]Hugst!$R$5:$W$9,MATCH(ROUNDUP((H$1)/10,0)*10,[1]Hugst!$R$4:$W$4,0))))</f>
        <v>3398.9876815072089</v>
      </c>
      <c r="I202">
        <f ca="1">IF($C202-I$1&lt;År1,0,H201*(1-VLOOKUP($A202,[1]Hugst!$R$5:$W$9,MATCH(ROUNDUP((I$1)/10,0)*10,[1]Hugst!$R$4:$W$4,0))))</f>
        <v>3391.7993558249086</v>
      </c>
      <c r="J202">
        <f ca="1">IF($C202-J$1&lt;År1,0,I201*(1-VLOOKUP($A202,[1]Hugst!$R$5:$W$9,MATCH(ROUNDUP((J$1)/10,0)*10,[1]Hugst!$R$4:$W$4,0))))</f>
        <v>5382.3248610884366</v>
      </c>
      <c r="K202">
        <f ca="1">IF($C202-K$1&lt;År1,0,J201*(1-VLOOKUP($A202,[1]Hugst!$R$5:$W$9,MATCH(ROUNDUP((K$1)/10,0)*10,[1]Hugst!$R$4:$W$4,0))))</f>
        <v>5375.1096341922748</v>
      </c>
      <c r="L202">
        <f ca="1">IF($C202-L$1&lt;År1,0,K201*(1-VLOOKUP($A202,[1]Hugst!$R$5:$W$9,MATCH(ROUNDUP((L$1)/10,0)*10,[1]Hugst!$R$4:$W$4,0))))</f>
        <v>5379.8117231109036</v>
      </c>
      <c r="M202">
        <f ca="1">IF($C202-M$1&lt;År1,0,L201*(1-VLOOKUP($A202,[1]Hugst!$R$5:$W$9,MATCH(ROUNDUP((M$1)/10,0)*10,[1]Hugst!$R$4:$W$4,0))))</f>
        <v>5384.5374406170058</v>
      </c>
      <c r="N202">
        <f ca="1">IF($C202-N$1&lt;År1,0,M201*(1-VLOOKUP($A202,[1]Hugst!$R$5:$W$9,MATCH(ROUNDUP((N$1)/10,0)*10,[1]Hugst!$R$4:$W$4,0))))</f>
        <v>5389.286905447264</v>
      </c>
      <c r="O202">
        <f ca="1">IF($C202-O$1&lt;År1,0,N201*(1-VLOOKUP($A202,[1]Hugst!$R$5:$W$9,MATCH(ROUNDUP((O$1)/10,0)*10,[1]Hugst!$R$4:$W$4,0))))</f>
        <v>5394.0602369349645</v>
      </c>
      <c r="P202">
        <f ca="1">IF($C202-P$1&lt;År1,0,O201*(1-VLOOKUP($A202,[1]Hugst!$R$5:$W$9,MATCH(ROUNDUP((P$1)/10,0)*10,[1]Hugst!$R$4:$W$4,0))))</f>
        <v>5387.0064042825479</v>
      </c>
      <c r="Q202">
        <f ca="1">IF($C202-Q$1&lt;År1,0,P201*(1-VLOOKUP($A202,[1]Hugst!$R$5:$W$9,MATCH(ROUNDUP((Q$1)/10,0)*10,[1]Hugst!$R$4:$W$4,0))))</f>
        <v>5379.98154947699</v>
      </c>
      <c r="R202">
        <f ca="1">IF($C202-R$1&lt;År1,0,Q201*(1-VLOOKUP($A202,[1]Hugst!$R$5:$W$9,MATCH(ROUNDUP((R$1)/10,0)*10,[1]Hugst!$R$4:$W$4,0))))</f>
        <v>5372.9856469471151</v>
      </c>
      <c r="S202">
        <f ca="1">IF($C202-S$1&lt;År1,0,R201*(1-VLOOKUP($A202,[1]Hugst!$R$5:$W$9,MATCH(ROUNDUP((S$1)/10,0)*10,[1]Hugst!$R$4:$W$4,0))))</f>
        <v>5366.0186712850618</v>
      </c>
      <c r="T202">
        <f ca="1">IF($C202-T$1&lt;År1,0,S201*(1-VLOOKUP($A202,[1]Hugst!$R$5:$W$9,MATCH(ROUNDUP((T$1)/10,0)*10,[1]Hugst!$R$4:$W$4,0))))</f>
        <v>5359.0805972464004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25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907.99278680553653</v>
      </c>
      <c r="E203">
        <f t="shared" ca="1" si="4"/>
        <v>70.812731208672631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3420.4721846808766</v>
      </c>
      <c r="G203">
        <f ca="1">IF($C203-G$1&lt;År1,0,F202*(1-VLOOKUP($A203,[1]Hugst!$R$5:$W$9,MATCH(ROUNDUP((G$1)/10,0)*10,[1]Hugst!$R$4:$W$4,0))))</f>
        <v>3413.3240782332773</v>
      </c>
      <c r="H203">
        <f ca="1">IF($C203-H$1&lt;År1,0,G202*(1-VLOOKUP($A203,[1]Hugst!$R$5:$W$9,MATCH(ROUNDUP((H$1)/10,0)*10,[1]Hugst!$R$4:$W$4,0))))</f>
        <v>3406.1625830793469</v>
      </c>
      <c r="I203">
        <f ca="1">IF($C203-I$1&lt;År1,0,H202*(1-VLOOKUP($A203,[1]Hugst!$R$5:$W$9,MATCH(ROUNDUP((I$1)/10,0)*10,[1]Hugst!$R$4:$W$4,0))))</f>
        <v>3398.9876815072089</v>
      </c>
      <c r="J203">
        <f ca="1">IF($C203-J$1&lt;År1,0,I202*(1-VLOOKUP($A203,[1]Hugst!$R$5:$W$9,MATCH(ROUNDUP((J$1)/10,0)*10,[1]Hugst!$R$4:$W$4,0))))</f>
        <v>3391.7993558249086</v>
      </c>
      <c r="K203">
        <f ca="1">IF($C203-K$1&lt;År1,0,J202*(1-VLOOKUP($A203,[1]Hugst!$R$5:$W$9,MATCH(ROUNDUP((K$1)/10,0)*10,[1]Hugst!$R$4:$W$4,0))))</f>
        <v>5382.3248610884366</v>
      </c>
      <c r="L203">
        <f ca="1">IF($C203-L$1&lt;År1,0,K202*(1-VLOOKUP($A203,[1]Hugst!$R$5:$W$9,MATCH(ROUNDUP((L$1)/10,0)*10,[1]Hugst!$R$4:$W$4,0))))</f>
        <v>5375.1096341922748</v>
      </c>
      <c r="M203">
        <f ca="1">IF($C203-M$1&lt;År1,0,L202*(1-VLOOKUP($A203,[1]Hugst!$R$5:$W$9,MATCH(ROUNDUP((M$1)/10,0)*10,[1]Hugst!$R$4:$W$4,0))))</f>
        <v>5379.8117231109036</v>
      </c>
      <c r="N203">
        <f ca="1">IF($C203-N$1&lt;År1,0,M202*(1-VLOOKUP($A203,[1]Hugst!$R$5:$W$9,MATCH(ROUNDUP((N$1)/10,0)*10,[1]Hugst!$R$4:$W$4,0))))</f>
        <v>5384.5374406170058</v>
      </c>
      <c r="O203">
        <f ca="1">IF($C203-O$1&lt;År1,0,N202*(1-VLOOKUP($A203,[1]Hugst!$R$5:$W$9,MATCH(ROUNDUP((O$1)/10,0)*10,[1]Hugst!$R$4:$W$4,0))))</f>
        <v>5389.286905447264</v>
      </c>
      <c r="P203">
        <f ca="1">IF($C203-P$1&lt;År1,0,O202*(1-VLOOKUP($A203,[1]Hugst!$R$5:$W$9,MATCH(ROUNDUP((P$1)/10,0)*10,[1]Hugst!$R$4:$W$4,0))))</f>
        <v>5382.2196169026683</v>
      </c>
      <c r="Q203">
        <f ca="1">IF($C203-Q$1&lt;År1,0,P202*(1-VLOOKUP($A203,[1]Hugst!$R$5:$W$9,MATCH(ROUNDUP((Q$1)/10,0)*10,[1]Hugst!$R$4:$W$4,0))))</f>
        <v>5375.181268273147</v>
      </c>
      <c r="R203">
        <f ca="1">IF($C203-R$1&lt;År1,0,Q202*(1-VLOOKUP($A203,[1]Hugst!$R$5:$W$9,MATCH(ROUNDUP((R$1)/10,0)*10,[1]Hugst!$R$4:$W$4,0))))</f>
        <v>5368.1718338805767</v>
      </c>
      <c r="S203">
        <f ca="1">IF($C203-S$1&lt;År1,0,R202*(1-VLOOKUP($A203,[1]Hugst!$R$5:$W$9,MATCH(ROUNDUP((S$1)/10,0)*10,[1]Hugst!$R$4:$W$4,0))))</f>
        <v>5361.1912882099141</v>
      </c>
      <c r="T203">
        <f ca="1">IF($C203-T$1&lt;År1,0,S202*(1-VLOOKUP($A203,[1]Hugst!$R$5:$W$9,MATCH(ROUNDUP((T$1)/10,0)*10,[1]Hugst!$R$4:$W$4,0))))</f>
        <v>5354.2396059090706</v>
      </c>
      <c r="U203">
        <f ca="1">IF($C203-U$1&lt;År1,0,T202*(1-VLOOKUP($A203,[1]Hugst!$R$5:$W$9,MATCH(ROUNDUP((U$1)/10,0)*10,[1]Hugst!$R$4:$W$4,0))))</f>
        <v>5347.3167617890304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25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903.45282287150258</v>
      </c>
      <c r="E204">
        <f t="shared" ca="1" si="4"/>
        <v>82.487430615525227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3427.6069201536952</v>
      </c>
      <c r="G204">
        <f ca="1">IF($C204-G$1&lt;År1,0,F203*(1-VLOOKUP($A204,[1]Hugst!$R$5:$W$9,MATCH(ROUNDUP((G$1)/10,0)*10,[1]Hugst!$R$4:$W$4,0))))</f>
        <v>3420.4721846808766</v>
      </c>
      <c r="H204">
        <f ca="1">IF($C204-H$1&lt;År1,0,G203*(1-VLOOKUP($A204,[1]Hugst!$R$5:$W$9,MATCH(ROUNDUP((H$1)/10,0)*10,[1]Hugst!$R$4:$W$4,0))))</f>
        <v>3413.3240782332773</v>
      </c>
      <c r="I204">
        <f ca="1">IF($C204-I$1&lt;År1,0,H203*(1-VLOOKUP($A204,[1]Hugst!$R$5:$W$9,MATCH(ROUNDUP((I$1)/10,0)*10,[1]Hugst!$R$4:$W$4,0))))</f>
        <v>3406.1625830793469</v>
      </c>
      <c r="J204">
        <f ca="1">IF($C204-J$1&lt;År1,0,I203*(1-VLOOKUP($A204,[1]Hugst!$R$5:$W$9,MATCH(ROUNDUP((J$1)/10,0)*10,[1]Hugst!$R$4:$W$4,0))))</f>
        <v>3398.9876815072089</v>
      </c>
      <c r="K204">
        <f ca="1">IF($C204-K$1&lt;År1,0,J203*(1-VLOOKUP($A204,[1]Hugst!$R$5:$W$9,MATCH(ROUNDUP((K$1)/10,0)*10,[1]Hugst!$R$4:$W$4,0))))</f>
        <v>3391.7993558249086</v>
      </c>
      <c r="L204">
        <f ca="1">IF($C204-L$1&lt;År1,0,K203*(1-VLOOKUP($A204,[1]Hugst!$R$5:$W$9,MATCH(ROUNDUP((L$1)/10,0)*10,[1]Hugst!$R$4:$W$4,0))))</f>
        <v>5382.3248610884366</v>
      </c>
      <c r="M204">
        <f ca="1">IF($C204-M$1&lt;År1,0,L203*(1-VLOOKUP($A204,[1]Hugst!$R$5:$W$9,MATCH(ROUNDUP((M$1)/10,0)*10,[1]Hugst!$R$4:$W$4,0))))</f>
        <v>5375.1096341922748</v>
      </c>
      <c r="N204">
        <f ca="1">IF($C204-N$1&lt;År1,0,M203*(1-VLOOKUP($A204,[1]Hugst!$R$5:$W$9,MATCH(ROUNDUP((N$1)/10,0)*10,[1]Hugst!$R$4:$W$4,0))))</f>
        <v>5379.8117231109036</v>
      </c>
      <c r="O204">
        <f ca="1">IF($C204-O$1&lt;År1,0,N203*(1-VLOOKUP($A204,[1]Hugst!$R$5:$W$9,MATCH(ROUNDUP((O$1)/10,0)*10,[1]Hugst!$R$4:$W$4,0))))</f>
        <v>5384.5374406170058</v>
      </c>
      <c r="P204">
        <f ca="1">IF($C204-P$1&lt;År1,0,O203*(1-VLOOKUP($A204,[1]Hugst!$R$5:$W$9,MATCH(ROUNDUP((P$1)/10,0)*10,[1]Hugst!$R$4:$W$4,0))))</f>
        <v>5377.456763459697</v>
      </c>
      <c r="Q204">
        <f ca="1">IF($C204-Q$1&lt;År1,0,P203*(1-VLOOKUP($A204,[1]Hugst!$R$5:$W$9,MATCH(ROUNDUP((Q$1)/10,0)*10,[1]Hugst!$R$4:$W$4,0))))</f>
        <v>5370.4049884753213</v>
      </c>
      <c r="R204">
        <f ca="1">IF($C204-R$1&lt;År1,0,Q203*(1-VLOOKUP($A204,[1]Hugst!$R$5:$W$9,MATCH(ROUNDUP((R$1)/10,0)*10,[1]Hugst!$R$4:$W$4,0))))</f>
        <v>5363.3820898793765</v>
      </c>
      <c r="S204">
        <f ca="1">IF($C204-S$1&lt;År1,0,R203*(1-VLOOKUP($A204,[1]Hugst!$R$5:$W$9,MATCH(ROUNDUP((S$1)/10,0)*10,[1]Hugst!$R$4:$W$4,0))))</f>
        <v>5356.3880420501073</v>
      </c>
      <c r="T204">
        <f ca="1">IF($C204-T$1&lt;År1,0,S203*(1-VLOOKUP($A204,[1]Hugst!$R$5:$W$9,MATCH(ROUNDUP((T$1)/10,0)*10,[1]Hugst!$R$4:$W$4,0))))</f>
        <v>5349.4228195284777</v>
      </c>
      <c r="U204">
        <f ca="1">IF($C204-U$1&lt;År1,0,T203*(1-VLOOKUP($A204,[1]Hugst!$R$5:$W$9,MATCH(ROUNDUP((U$1)/10,0)*10,[1]Hugst!$R$4:$W$4,0))))</f>
        <v>5342.4863970180504</v>
      </c>
      <c r="V204">
        <f ca="1">IF($C204-V$1&lt;År1,0,U203*(1-VLOOKUP($A204,[1]Hugst!$R$5:$W$9,MATCH(ROUNDUP((V$1)/10,0)*10,[1]Hugst!$R$4:$W$4,0))))</f>
        <v>5335.578749385103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25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898.93555875713901</v>
      </c>
      <c r="E205">
        <f t="shared" ca="1" si="4"/>
        <v>94.12607697895146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3434.7283024027579</v>
      </c>
      <c r="G205">
        <f ca="1">IF($C205-G$1&lt;År1,0,F204*(1-VLOOKUP($A205,[1]Hugst!$R$5:$W$9,MATCH(ROUNDUP((G$1)/10,0)*10,[1]Hugst!$R$4:$W$4,0))))</f>
        <v>3427.6069201536952</v>
      </c>
      <c r="H205">
        <f ca="1">IF($C205-H$1&lt;År1,0,G204*(1-VLOOKUP($A205,[1]Hugst!$R$5:$W$9,MATCH(ROUNDUP((H$1)/10,0)*10,[1]Hugst!$R$4:$W$4,0))))</f>
        <v>3420.4721846808766</v>
      </c>
      <c r="I205">
        <f ca="1">IF($C205-I$1&lt;År1,0,H204*(1-VLOOKUP($A205,[1]Hugst!$R$5:$W$9,MATCH(ROUNDUP((I$1)/10,0)*10,[1]Hugst!$R$4:$W$4,0))))</f>
        <v>3413.3240782332773</v>
      </c>
      <c r="J205">
        <f ca="1">IF($C205-J$1&lt;År1,0,I204*(1-VLOOKUP($A205,[1]Hugst!$R$5:$W$9,MATCH(ROUNDUP((J$1)/10,0)*10,[1]Hugst!$R$4:$W$4,0))))</f>
        <v>3406.1625830793469</v>
      </c>
      <c r="K205">
        <f ca="1">IF($C205-K$1&lt;År1,0,J204*(1-VLOOKUP($A205,[1]Hugst!$R$5:$W$9,MATCH(ROUNDUP((K$1)/10,0)*10,[1]Hugst!$R$4:$W$4,0))))</f>
        <v>3398.9876815072089</v>
      </c>
      <c r="L205">
        <f ca="1">IF($C205-L$1&lt;År1,0,K204*(1-VLOOKUP($A205,[1]Hugst!$R$5:$W$9,MATCH(ROUNDUP((L$1)/10,0)*10,[1]Hugst!$R$4:$W$4,0))))</f>
        <v>3391.7993558249086</v>
      </c>
      <c r="M205">
        <f ca="1">IF($C205-M$1&lt;År1,0,L204*(1-VLOOKUP($A205,[1]Hugst!$R$5:$W$9,MATCH(ROUNDUP((M$1)/10,0)*10,[1]Hugst!$R$4:$W$4,0))))</f>
        <v>5382.3248610884366</v>
      </c>
      <c r="N205">
        <f ca="1">IF($C205-N$1&lt;År1,0,M204*(1-VLOOKUP($A205,[1]Hugst!$R$5:$W$9,MATCH(ROUNDUP((N$1)/10,0)*10,[1]Hugst!$R$4:$W$4,0))))</f>
        <v>5375.1096341922748</v>
      </c>
      <c r="O205">
        <f ca="1">IF($C205-O$1&lt;År1,0,N204*(1-VLOOKUP($A205,[1]Hugst!$R$5:$W$9,MATCH(ROUNDUP((O$1)/10,0)*10,[1]Hugst!$R$4:$W$4,0))))</f>
        <v>5379.8117231109036</v>
      </c>
      <c r="P205">
        <f ca="1">IF($C205-P$1&lt;År1,0,O204*(1-VLOOKUP($A205,[1]Hugst!$R$5:$W$9,MATCH(ROUNDUP((P$1)/10,0)*10,[1]Hugst!$R$4:$W$4,0))))</f>
        <v>5372.7177242839443</v>
      </c>
      <c r="Q205">
        <f ca="1">IF($C205-Q$1&lt;År1,0,P204*(1-VLOOKUP($A205,[1]Hugst!$R$5:$W$9,MATCH(ROUNDUP((Q$1)/10,0)*10,[1]Hugst!$R$4:$W$4,0))))</f>
        <v>5365.6525900764927</v>
      </c>
      <c r="R205">
        <f ca="1">IF($C205-R$1&lt;År1,0,Q204*(1-VLOOKUP($A205,[1]Hugst!$R$5:$W$9,MATCH(ROUNDUP((R$1)/10,0)*10,[1]Hugst!$R$4:$W$4,0))))</f>
        <v>5358.6162945981805</v>
      </c>
      <c r="S205">
        <f ca="1">IF($C205-S$1&lt;År1,0,R204*(1-VLOOKUP($A205,[1]Hugst!$R$5:$W$9,MATCH(ROUNDUP((S$1)/10,0)*10,[1]Hugst!$R$4:$W$4,0))))</f>
        <v>5351.6088121211051</v>
      </c>
      <c r="T205">
        <f ca="1">IF($C205-T$1&lt;År1,0,S204*(1-VLOOKUP($A205,[1]Hugst!$R$5:$W$9,MATCH(ROUNDUP((T$1)/10,0)*10,[1]Hugst!$R$4:$W$4,0))))</f>
        <v>5344.6301170797533</v>
      </c>
      <c r="U205">
        <f ca="1">IF($C205-U$1&lt;År1,0,T204*(1-VLOOKUP($A205,[1]Hugst!$R$5:$W$9,MATCH(ROUNDUP((U$1)/10,0)*10,[1]Hugst!$R$4:$W$4,0))))</f>
        <v>5337.6801840709759</v>
      </c>
      <c r="V205">
        <f ca="1">IF($C205-V$1&lt;År1,0,U204*(1-VLOOKUP($A205,[1]Hugst!$R$5:$W$9,MATCH(ROUNDUP((V$1)/10,0)*10,[1]Hugst!$R$4:$W$4,0))))</f>
        <v>5330.7589878538647</v>
      </c>
      <c r="W205">
        <f ca="1">IF($C205-W$1&lt;År1,0,V204*(1-VLOOKUP($A205,[1]Hugst!$R$5:$W$9,MATCH(ROUNDUP((W$1)/10,0)*10,[1]Hugst!$R$4:$W$4,0))))</f>
        <v>5323.8665033498673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25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894.44088096338237</v>
      </c>
      <c r="E206">
        <f t="shared" ca="1" si="4"/>
        <v>105.72880156803876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3441.8363491980886</v>
      </c>
      <c r="G206">
        <f ca="1">IF($C206-G$1&lt;År1,0,F205*(1-VLOOKUP($A206,[1]Hugst!$R$5:$W$9,MATCH(ROUNDUP((G$1)/10,0)*10,[1]Hugst!$R$4:$W$4,0))))</f>
        <v>3434.7283024027579</v>
      </c>
      <c r="H206">
        <f ca="1">IF($C206-H$1&lt;År1,0,G205*(1-VLOOKUP($A206,[1]Hugst!$R$5:$W$9,MATCH(ROUNDUP((H$1)/10,0)*10,[1]Hugst!$R$4:$W$4,0))))</f>
        <v>3427.6069201536952</v>
      </c>
      <c r="I206">
        <f ca="1">IF($C206-I$1&lt;År1,0,H205*(1-VLOOKUP($A206,[1]Hugst!$R$5:$W$9,MATCH(ROUNDUP((I$1)/10,0)*10,[1]Hugst!$R$4:$W$4,0))))</f>
        <v>3420.4721846808766</v>
      </c>
      <c r="J206">
        <f ca="1">IF($C206-J$1&lt;År1,0,I205*(1-VLOOKUP($A206,[1]Hugst!$R$5:$W$9,MATCH(ROUNDUP((J$1)/10,0)*10,[1]Hugst!$R$4:$W$4,0))))</f>
        <v>3413.3240782332773</v>
      </c>
      <c r="K206">
        <f ca="1">IF($C206-K$1&lt;År1,0,J205*(1-VLOOKUP($A206,[1]Hugst!$R$5:$W$9,MATCH(ROUNDUP((K$1)/10,0)*10,[1]Hugst!$R$4:$W$4,0))))</f>
        <v>3406.1625830793469</v>
      </c>
      <c r="L206">
        <f ca="1">IF($C206-L$1&lt;År1,0,K205*(1-VLOOKUP($A206,[1]Hugst!$R$5:$W$9,MATCH(ROUNDUP((L$1)/10,0)*10,[1]Hugst!$R$4:$W$4,0))))</f>
        <v>3398.9876815072089</v>
      </c>
      <c r="M206">
        <f ca="1">IF($C206-M$1&lt;År1,0,L205*(1-VLOOKUP($A206,[1]Hugst!$R$5:$W$9,MATCH(ROUNDUP((M$1)/10,0)*10,[1]Hugst!$R$4:$W$4,0))))</f>
        <v>3391.7993558249086</v>
      </c>
      <c r="N206">
        <f ca="1">IF($C206-N$1&lt;År1,0,M205*(1-VLOOKUP($A206,[1]Hugst!$R$5:$W$9,MATCH(ROUNDUP((N$1)/10,0)*10,[1]Hugst!$R$4:$W$4,0))))</f>
        <v>5382.3248610884366</v>
      </c>
      <c r="O206">
        <f ca="1">IF($C206-O$1&lt;År1,0,N205*(1-VLOOKUP($A206,[1]Hugst!$R$5:$W$9,MATCH(ROUNDUP((O$1)/10,0)*10,[1]Hugst!$R$4:$W$4,0))))</f>
        <v>5375.1096341922748</v>
      </c>
      <c r="P206">
        <f ca="1">IF($C206-P$1&lt;År1,0,O205*(1-VLOOKUP($A206,[1]Hugst!$R$5:$W$9,MATCH(ROUNDUP((P$1)/10,0)*10,[1]Hugst!$R$4:$W$4,0))))</f>
        <v>5368.0023803040749</v>
      </c>
      <c r="Q206">
        <f ca="1">IF($C206-Q$1&lt;År1,0,P205*(1-VLOOKUP($A206,[1]Hugst!$R$5:$W$9,MATCH(ROUNDUP((Q$1)/10,0)*10,[1]Hugst!$R$4:$W$4,0))))</f>
        <v>5360.9239536696623</v>
      </c>
      <c r="R206">
        <f ca="1">IF($C206-R$1&lt;År1,0,Q205*(1-VLOOKUP($A206,[1]Hugst!$R$5:$W$9,MATCH(ROUNDUP((R$1)/10,0)*10,[1]Hugst!$R$4:$W$4,0))))</f>
        <v>5353.8743282933983</v>
      </c>
      <c r="S206">
        <f ca="1">IF($C206-S$1&lt;År1,0,R205*(1-VLOOKUP($A206,[1]Hugst!$R$5:$W$9,MATCH(ROUNDUP((S$1)/10,0)*10,[1]Hugst!$R$4:$W$4,0))))</f>
        <v>5346.8534783417454</v>
      </c>
      <c r="T206">
        <f ca="1">IF($C206-T$1&lt;År1,0,S205*(1-VLOOKUP($A206,[1]Hugst!$R$5:$W$9,MATCH(ROUNDUP((T$1)/10,0)*10,[1]Hugst!$R$4:$W$4,0))))</f>
        <v>5339.8613781432787</v>
      </c>
      <c r="U206">
        <f ca="1">IF($C206-U$1&lt;År1,0,T205*(1-VLOOKUP($A206,[1]Hugst!$R$5:$W$9,MATCH(ROUNDUP((U$1)/10,0)*10,[1]Hugst!$R$4:$W$4,0))))</f>
        <v>5332.8980021886027</v>
      </c>
      <c r="V206">
        <f ca="1">IF($C206-V$1&lt;År1,0,U205*(1-VLOOKUP($A206,[1]Hugst!$R$5:$W$9,MATCH(ROUNDUP((V$1)/10,0)*10,[1]Hugst!$R$4:$W$4,0))))</f>
        <v>5325.9633251303321</v>
      </c>
      <c r="W206">
        <f ca="1">IF($C206-W$1&lt;År1,0,V205*(1-VLOOKUP($A206,[1]Hugst!$R$5:$W$9,MATCH(ROUNDUP((W$1)/10,0)*10,[1]Hugst!$R$4:$W$4,0))))</f>
        <v>5319.057321782966</v>
      </c>
      <c r="X206">
        <f ca="1">IF($C206-X$1&lt;År1,0,W205*(1-VLOOKUP($A206,[1]Hugst!$R$5:$W$9,MATCH(ROUNDUP((X$1)/10,0)*10,[1]Hugst!$R$4:$W$4,0))))</f>
        <v>5312.1799671230019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25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889.96867655851383</v>
      </c>
      <c r="E207">
        <f t="shared" ca="1" si="4"/>
        <v>117.29573510304908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3448.9310783282303</v>
      </c>
      <c r="G207">
        <f ca="1">IF($C207-G$1&lt;År1,0,F206*(1-VLOOKUP($A207,[1]Hugst!$R$5:$W$9,MATCH(ROUNDUP((G$1)/10,0)*10,[1]Hugst!$R$4:$W$4,0))))</f>
        <v>3441.8363491980886</v>
      </c>
      <c r="H207">
        <f ca="1">IF($C207-H$1&lt;År1,0,G206*(1-VLOOKUP($A207,[1]Hugst!$R$5:$W$9,MATCH(ROUNDUP((H$1)/10,0)*10,[1]Hugst!$R$4:$W$4,0))))</f>
        <v>3434.7283024027579</v>
      </c>
      <c r="I207">
        <f ca="1">IF($C207-I$1&lt;År1,0,H206*(1-VLOOKUP($A207,[1]Hugst!$R$5:$W$9,MATCH(ROUNDUP((I$1)/10,0)*10,[1]Hugst!$R$4:$W$4,0))))</f>
        <v>3427.6069201536952</v>
      </c>
      <c r="J207">
        <f ca="1">IF($C207-J$1&lt;År1,0,I206*(1-VLOOKUP($A207,[1]Hugst!$R$5:$W$9,MATCH(ROUNDUP((J$1)/10,0)*10,[1]Hugst!$R$4:$W$4,0))))</f>
        <v>3420.4721846808766</v>
      </c>
      <c r="K207">
        <f ca="1">IF($C207-K$1&lt;År1,0,J206*(1-VLOOKUP($A207,[1]Hugst!$R$5:$W$9,MATCH(ROUNDUP((K$1)/10,0)*10,[1]Hugst!$R$4:$W$4,0))))</f>
        <v>3413.3240782332773</v>
      </c>
      <c r="L207">
        <f ca="1">IF($C207-L$1&lt;År1,0,K206*(1-VLOOKUP($A207,[1]Hugst!$R$5:$W$9,MATCH(ROUNDUP((L$1)/10,0)*10,[1]Hugst!$R$4:$W$4,0))))</f>
        <v>3406.1625830793469</v>
      </c>
      <c r="M207">
        <f ca="1">IF($C207-M$1&lt;År1,0,L206*(1-VLOOKUP($A207,[1]Hugst!$R$5:$W$9,MATCH(ROUNDUP((M$1)/10,0)*10,[1]Hugst!$R$4:$W$4,0))))</f>
        <v>3398.9876815072089</v>
      </c>
      <c r="N207">
        <f ca="1">IF($C207-N$1&lt;År1,0,M206*(1-VLOOKUP($A207,[1]Hugst!$R$5:$W$9,MATCH(ROUNDUP((N$1)/10,0)*10,[1]Hugst!$R$4:$W$4,0))))</f>
        <v>3391.7993558249086</v>
      </c>
      <c r="O207">
        <f ca="1">IF($C207-O$1&lt;År1,0,N206*(1-VLOOKUP($A207,[1]Hugst!$R$5:$W$9,MATCH(ROUNDUP((O$1)/10,0)*10,[1]Hugst!$R$4:$W$4,0))))</f>
        <v>5382.3248610884366</v>
      </c>
      <c r="P207">
        <f ca="1">IF($C207-P$1&lt;År1,0,O206*(1-VLOOKUP($A207,[1]Hugst!$R$5:$W$9,MATCH(ROUNDUP((P$1)/10,0)*10,[1]Hugst!$R$4:$W$4,0))))</f>
        <v>5363.3106130440483</v>
      </c>
      <c r="Q207">
        <f ca="1">IF($C207-Q$1&lt;År1,0,P206*(1-VLOOKUP($A207,[1]Hugst!$R$5:$W$9,MATCH(ROUNDUP((Q$1)/10,0)*10,[1]Hugst!$R$4:$W$4,0))))</f>
        <v>5356.2189604448704</v>
      </c>
      <c r="R207">
        <f ca="1">IF($C207-R$1&lt;År1,0,Q206*(1-VLOOKUP($A207,[1]Hugst!$R$5:$W$9,MATCH(ROUNDUP((R$1)/10,0)*10,[1]Hugst!$R$4:$W$4,0))))</f>
        <v>5349.1560718201436</v>
      </c>
      <c r="S207">
        <f ca="1">IF($C207-S$1&lt;År1,0,R206*(1-VLOOKUP($A207,[1]Hugst!$R$5:$W$9,MATCH(ROUNDUP((S$1)/10,0)*10,[1]Hugst!$R$4:$W$4,0))))</f>
        <v>5342.1219212312908</v>
      </c>
      <c r="T207">
        <f ca="1">IF($C207-T$1&lt;År1,0,S206*(1-VLOOKUP($A207,[1]Hugst!$R$5:$W$9,MATCH(ROUNDUP((T$1)/10,0)*10,[1]Hugst!$R$4:$W$4,0))))</f>
        <v>5335.1164829014833</v>
      </c>
      <c r="U207">
        <f ca="1">IF($C207-U$1&lt;År1,0,T206*(1-VLOOKUP($A207,[1]Hugst!$R$5:$W$9,MATCH(ROUNDUP((U$1)/10,0)*10,[1]Hugst!$R$4:$W$4,0))))</f>
        <v>5328.1397312156469</v>
      </c>
      <c r="V207">
        <f ca="1">IF($C207-V$1&lt;År1,0,U206*(1-VLOOKUP($A207,[1]Hugst!$R$5:$W$9,MATCH(ROUNDUP((V$1)/10,0)*10,[1]Hugst!$R$4:$W$4,0))))</f>
        <v>5321.1916407203835</v>
      </c>
      <c r="W207">
        <f ca="1">IF($C207-W$1&lt;År1,0,V206*(1-VLOOKUP($A207,[1]Hugst!$R$5:$W$9,MATCH(ROUNDUP((W$1)/10,0)*10,[1]Hugst!$R$4:$W$4,0))))</f>
        <v>5314.2721861239488</v>
      </c>
      <c r="X207">
        <f ca="1">IF($C207-X$1&lt;År1,0,W206*(1-VLOOKUP($A207,[1]Hugst!$R$5:$W$9,MATCH(ROUNDUP((X$1)/10,0)*10,[1]Hugst!$R$4:$W$4,0))))</f>
        <v>5307.3813422961257</v>
      </c>
      <c r="Y207">
        <f ca="1">IF($C207-Y$1&lt;År1,0,X206*(1-VLOOKUP($A207,[1]Hugst!$R$5:$W$9,MATCH(ROUNDUP((Y$1)/10,0)*10,[1]Hugst!$R$4:$W$4,0))))</f>
        <v>5300.5190842683414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25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885.51883317574539</v>
      </c>
      <c r="E208">
        <f t="shared" ca="1" si="4"/>
        <v>123.68187798032886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3450.8673778227417</v>
      </c>
      <c r="G208">
        <f ca="1">IF($C208-G$1&lt;År1,0,F207*(1-VLOOKUP($A208,[1]Hugst!$R$5:$W$9,MATCH(ROUNDUP((G$1)/10,0)*10,[1]Hugst!$R$4:$W$4,0))))</f>
        <v>3448.9310783282303</v>
      </c>
      <c r="H208">
        <f ca="1">IF($C208-H$1&lt;År1,0,G207*(1-VLOOKUP($A208,[1]Hugst!$R$5:$W$9,MATCH(ROUNDUP((H$1)/10,0)*10,[1]Hugst!$R$4:$W$4,0))))</f>
        <v>3441.8363491980886</v>
      </c>
      <c r="I208">
        <f ca="1">IF($C208-I$1&lt;År1,0,H207*(1-VLOOKUP($A208,[1]Hugst!$R$5:$W$9,MATCH(ROUNDUP((I$1)/10,0)*10,[1]Hugst!$R$4:$W$4,0))))</f>
        <v>3434.7283024027579</v>
      </c>
      <c r="J208">
        <f ca="1">IF($C208-J$1&lt;År1,0,I207*(1-VLOOKUP($A208,[1]Hugst!$R$5:$W$9,MATCH(ROUNDUP((J$1)/10,0)*10,[1]Hugst!$R$4:$W$4,0))))</f>
        <v>3427.6069201536952</v>
      </c>
      <c r="K208">
        <f ca="1">IF($C208-K$1&lt;År1,0,J207*(1-VLOOKUP($A208,[1]Hugst!$R$5:$W$9,MATCH(ROUNDUP((K$1)/10,0)*10,[1]Hugst!$R$4:$W$4,0))))</f>
        <v>3420.4721846808766</v>
      </c>
      <c r="L208">
        <f ca="1">IF($C208-L$1&lt;År1,0,K207*(1-VLOOKUP($A208,[1]Hugst!$R$5:$W$9,MATCH(ROUNDUP((L$1)/10,0)*10,[1]Hugst!$R$4:$W$4,0))))</f>
        <v>3413.3240782332773</v>
      </c>
      <c r="M208">
        <f ca="1">IF($C208-M$1&lt;År1,0,L207*(1-VLOOKUP($A208,[1]Hugst!$R$5:$W$9,MATCH(ROUNDUP((M$1)/10,0)*10,[1]Hugst!$R$4:$W$4,0))))</f>
        <v>3406.1625830793469</v>
      </c>
      <c r="N208">
        <f ca="1">IF($C208-N$1&lt;År1,0,M207*(1-VLOOKUP($A208,[1]Hugst!$R$5:$W$9,MATCH(ROUNDUP((N$1)/10,0)*10,[1]Hugst!$R$4:$W$4,0))))</f>
        <v>3398.9876815072089</v>
      </c>
      <c r="O208">
        <f ca="1">IF($C208-O$1&lt;År1,0,N207*(1-VLOOKUP($A208,[1]Hugst!$R$5:$W$9,MATCH(ROUNDUP((O$1)/10,0)*10,[1]Hugst!$R$4:$W$4,0))))</f>
        <v>3391.7993558249086</v>
      </c>
      <c r="P208">
        <f ca="1">IF($C208-P$1&lt;År1,0,O207*(1-VLOOKUP($A208,[1]Hugst!$R$5:$W$9,MATCH(ROUNDUP((P$1)/10,0)*10,[1]Hugst!$R$4:$W$4,0))))</f>
        <v>5370.5100016372671</v>
      </c>
      <c r="Q208">
        <f ca="1">IF($C208-Q$1&lt;År1,0,P207*(1-VLOOKUP($A208,[1]Hugst!$R$5:$W$9,MATCH(ROUNDUP((Q$1)/10,0)*10,[1]Hugst!$R$4:$W$4,0))))</f>
        <v>5351.5374921861467</v>
      </c>
      <c r="R208">
        <f ca="1">IF($C208-R$1&lt;År1,0,Q207*(1-VLOOKUP($A208,[1]Hugst!$R$5:$W$9,MATCH(ROUNDUP((R$1)/10,0)*10,[1]Hugst!$R$4:$W$4,0))))</f>
        <v>5344.4614066292597</v>
      </c>
      <c r="S208">
        <f ca="1">IF($C208-S$1&lt;År1,0,R207*(1-VLOOKUP($A208,[1]Hugst!$R$5:$W$9,MATCH(ROUNDUP((S$1)/10,0)*10,[1]Hugst!$R$4:$W$4,0))))</f>
        <v>5337.414021906392</v>
      </c>
      <c r="T208">
        <f ca="1">IF($C208-T$1&lt;År1,0,S207*(1-VLOOKUP($A208,[1]Hugst!$R$5:$W$9,MATCH(ROUNDUP((T$1)/10,0)*10,[1]Hugst!$R$4:$W$4,0))))</f>
        <v>5330.3953121359054</v>
      </c>
      <c r="U208">
        <f ca="1">IF($C208-U$1&lt;År1,0,T207*(1-VLOOKUP($A208,[1]Hugst!$R$5:$W$9,MATCH(ROUNDUP((U$1)/10,0)*10,[1]Hugst!$R$4:$W$4,0))))</f>
        <v>5323.4052515975536</v>
      </c>
      <c r="V208">
        <f ca="1">IF($C208-V$1&lt;År1,0,U207*(1-VLOOKUP($A208,[1]Hugst!$R$5:$W$9,MATCH(ROUNDUP((V$1)/10,0)*10,[1]Hugst!$R$4:$W$4,0))))</f>
        <v>5316.4438147324909</v>
      </c>
      <c r="W208">
        <f ca="1">IF($C208-W$1&lt;År1,0,V207*(1-VLOOKUP($A208,[1]Hugst!$R$5:$W$9,MATCH(ROUNDUP((W$1)/10,0)*10,[1]Hugst!$R$4:$W$4,0))))</f>
        <v>5309.5109761431922</v>
      </c>
      <c r="X208">
        <f ca="1">IF($C208-X$1&lt;År1,0,W207*(1-VLOOKUP($A208,[1]Hugst!$R$5:$W$9,MATCH(ROUNDUP((X$1)/10,0)*10,[1]Hugst!$R$4:$W$4,0))))</f>
        <v>5302.6067105934326</v>
      </c>
      <c r="Y208">
        <f ca="1">IF($C208-Y$1&lt;År1,0,X207*(1-VLOOKUP($A208,[1]Hugst!$R$5:$W$9,MATCH(ROUNDUP((Y$1)/10,0)*10,[1]Hugst!$R$4:$W$4,0))))</f>
        <v>5295.7309930081583</v>
      </c>
      <c r="Z208">
        <f ca="1">IF($C208-Z$1&lt;År1,0,Y207*(1-VLOOKUP($A208,[1]Hugst!$R$5:$W$9,MATCH(ROUNDUP((Z$1)/10,0)*10,[1]Hugst!$R$4:$W$4,0))))</f>
        <v>5294.0550366046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25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881.09123900988197</v>
      </c>
      <c r="E209">
        <f t="shared" ca="1" si="4"/>
        <v>125.69553396063566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3448.4534396371851</v>
      </c>
      <c r="G209">
        <f ca="1">IF($C209-G$1&lt;År1,0,F208*(1-VLOOKUP($A209,[1]Hugst!$R$5:$W$9,MATCH(ROUNDUP((G$1)/10,0)*10,[1]Hugst!$R$4:$W$4,0))))</f>
        <v>3450.8673778227417</v>
      </c>
      <c r="H209">
        <f ca="1">IF($C209-H$1&lt;År1,0,G208*(1-VLOOKUP($A209,[1]Hugst!$R$5:$W$9,MATCH(ROUNDUP((H$1)/10,0)*10,[1]Hugst!$R$4:$W$4,0))))</f>
        <v>3448.9310783282303</v>
      </c>
      <c r="I209">
        <f ca="1">IF($C209-I$1&lt;År1,0,H208*(1-VLOOKUP($A209,[1]Hugst!$R$5:$W$9,MATCH(ROUNDUP((I$1)/10,0)*10,[1]Hugst!$R$4:$W$4,0))))</f>
        <v>3441.8363491980886</v>
      </c>
      <c r="J209">
        <f ca="1">IF($C209-J$1&lt;År1,0,I208*(1-VLOOKUP($A209,[1]Hugst!$R$5:$W$9,MATCH(ROUNDUP((J$1)/10,0)*10,[1]Hugst!$R$4:$W$4,0))))</f>
        <v>3434.7283024027579</v>
      </c>
      <c r="K209">
        <f ca="1">IF($C209-K$1&lt;År1,0,J208*(1-VLOOKUP($A209,[1]Hugst!$R$5:$W$9,MATCH(ROUNDUP((K$1)/10,0)*10,[1]Hugst!$R$4:$W$4,0))))</f>
        <v>3427.6069201536952</v>
      </c>
      <c r="L209">
        <f ca="1">IF($C209-L$1&lt;År1,0,K208*(1-VLOOKUP($A209,[1]Hugst!$R$5:$W$9,MATCH(ROUNDUP((L$1)/10,0)*10,[1]Hugst!$R$4:$W$4,0))))</f>
        <v>3420.4721846808766</v>
      </c>
      <c r="M209">
        <f ca="1">IF($C209-M$1&lt;År1,0,L208*(1-VLOOKUP($A209,[1]Hugst!$R$5:$W$9,MATCH(ROUNDUP((M$1)/10,0)*10,[1]Hugst!$R$4:$W$4,0))))</f>
        <v>3413.3240782332773</v>
      </c>
      <c r="N209">
        <f ca="1">IF($C209-N$1&lt;År1,0,M208*(1-VLOOKUP($A209,[1]Hugst!$R$5:$W$9,MATCH(ROUNDUP((N$1)/10,0)*10,[1]Hugst!$R$4:$W$4,0))))</f>
        <v>3406.1625830793469</v>
      </c>
      <c r="O209">
        <f ca="1">IF($C209-O$1&lt;År1,0,N208*(1-VLOOKUP($A209,[1]Hugst!$R$5:$W$9,MATCH(ROUNDUP((O$1)/10,0)*10,[1]Hugst!$R$4:$W$4,0))))</f>
        <v>3398.9876815072089</v>
      </c>
      <c r="P209">
        <f ca="1">IF($C209-P$1&lt;År1,0,O208*(1-VLOOKUP($A209,[1]Hugst!$R$5:$W$9,MATCH(ROUNDUP((P$1)/10,0)*10,[1]Hugst!$R$4:$W$4,0))))</f>
        <v>3384.3539426048051</v>
      </c>
      <c r="Q209">
        <f ca="1">IF($C209-Q$1&lt;År1,0,P208*(1-VLOOKUP($A209,[1]Hugst!$R$5:$W$9,MATCH(ROUNDUP((Q$1)/10,0)*10,[1]Hugst!$R$4:$W$4,0))))</f>
        <v>5358.7210772434291</v>
      </c>
      <c r="R209">
        <f ca="1">IF($C209-R$1&lt;År1,0,Q208*(1-VLOOKUP($A209,[1]Hugst!$R$5:$W$9,MATCH(ROUNDUP((R$1)/10,0)*10,[1]Hugst!$R$4:$W$4,0))))</f>
        <v>5339.7902147642744</v>
      </c>
      <c r="S209">
        <f ca="1">IF($C209-S$1&lt;År1,0,R208*(1-VLOOKUP($A209,[1]Hugst!$R$5:$W$9,MATCH(ROUNDUP((S$1)/10,0)*10,[1]Hugst!$R$4:$W$4,0))))</f>
        <v>5332.7296620781226</v>
      </c>
      <c r="T209">
        <f ca="1">IF($C209-T$1&lt;År1,0,S208*(1-VLOOKUP($A209,[1]Hugst!$R$5:$W$9,MATCH(ROUNDUP((T$1)/10,0)*10,[1]Hugst!$R$4:$W$4,0))))</f>
        <v>5325.6977472241588</v>
      </c>
      <c r="U209">
        <f ca="1">IF($C209-U$1&lt;År1,0,T208*(1-VLOOKUP($A209,[1]Hugst!$R$5:$W$9,MATCH(ROUNDUP((U$1)/10,0)*10,[1]Hugst!$R$4:$W$4,0))))</f>
        <v>5318.6944443775583</v>
      </c>
      <c r="V209">
        <f ca="1">IF($C209-V$1&lt;År1,0,U208*(1-VLOOKUP($A209,[1]Hugst!$R$5:$W$9,MATCH(ROUNDUP((V$1)/10,0)*10,[1]Hugst!$R$4:$W$4,0))))</f>
        <v>5311.7197278745343</v>
      </c>
      <c r="W209">
        <f ca="1">IF($C209-W$1&lt;År1,0,V208*(1-VLOOKUP($A209,[1]Hugst!$R$5:$W$9,MATCH(ROUNDUP((W$1)/10,0)*10,[1]Hugst!$R$4:$W$4,0))))</f>
        <v>5304.7735722123462</v>
      </c>
      <c r="X209">
        <f ca="1">IF($C209-X$1&lt;År1,0,W208*(1-VLOOKUP($A209,[1]Hugst!$R$5:$W$9,MATCH(ROUNDUP((X$1)/10,0)*10,[1]Hugst!$R$4:$W$4,0))))</f>
        <v>5297.855952049219</v>
      </c>
      <c r="Y209">
        <f ca="1">IF($C209-Y$1&lt;År1,0,X208*(1-VLOOKUP($A209,[1]Hugst!$R$5:$W$9,MATCH(ROUNDUP((Y$1)/10,0)*10,[1]Hugst!$R$4:$W$4,0))))</f>
        <v>5290.9668422043251</v>
      </c>
      <c r="Z209">
        <f ca="1">IF($C209-Z$1&lt;År1,0,Y208*(1-VLOOKUP($A209,[1]Hugst!$R$5:$W$9,MATCH(ROUNDUP((Z$1)/10,0)*10,[1]Hugst!$R$4:$W$4,0))))</f>
        <v>5289.2727844800993</v>
      </c>
      <c r="AA209">
        <f ca="1">IF($C209-AA$1&lt;År1,0,Z208*(1-VLOOKUP($A209,[1]Hugst!$R$5:$W$9,MATCH(ROUNDUP((AA$1)/10,0)*10,[1]Hugst!$R$4:$W$4,0))))</f>
        <v>5287.5988719258139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25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876.68578281481678</v>
      </c>
      <c r="E210">
        <f t="shared" ca="1" si="4"/>
        <v>127.73148992448114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3446.0839394059653</v>
      </c>
      <c r="G210">
        <f ca="1">IF($C210-G$1&lt;År1,0,F209*(1-VLOOKUP($A210,[1]Hugst!$R$5:$W$9,MATCH(ROUNDUP((G$1)/10,0)*10,[1]Hugst!$R$4:$W$4,0))))</f>
        <v>3448.4534396371851</v>
      </c>
      <c r="H210">
        <f ca="1">IF($C210-H$1&lt;År1,0,G209*(1-VLOOKUP($A210,[1]Hugst!$R$5:$W$9,MATCH(ROUNDUP((H$1)/10,0)*10,[1]Hugst!$R$4:$W$4,0))))</f>
        <v>3450.8673778227417</v>
      </c>
      <c r="I210">
        <f ca="1">IF($C210-I$1&lt;År1,0,H209*(1-VLOOKUP($A210,[1]Hugst!$R$5:$W$9,MATCH(ROUNDUP((I$1)/10,0)*10,[1]Hugst!$R$4:$W$4,0))))</f>
        <v>3448.9310783282303</v>
      </c>
      <c r="J210">
        <f ca="1">IF($C210-J$1&lt;År1,0,I209*(1-VLOOKUP($A210,[1]Hugst!$R$5:$W$9,MATCH(ROUNDUP((J$1)/10,0)*10,[1]Hugst!$R$4:$W$4,0))))</f>
        <v>3441.8363491980886</v>
      </c>
      <c r="K210">
        <f ca="1">IF($C210-K$1&lt;År1,0,J209*(1-VLOOKUP($A210,[1]Hugst!$R$5:$W$9,MATCH(ROUNDUP((K$1)/10,0)*10,[1]Hugst!$R$4:$W$4,0))))</f>
        <v>3434.7283024027579</v>
      </c>
      <c r="L210">
        <f ca="1">IF($C210-L$1&lt;År1,0,K209*(1-VLOOKUP($A210,[1]Hugst!$R$5:$W$9,MATCH(ROUNDUP((L$1)/10,0)*10,[1]Hugst!$R$4:$W$4,0))))</f>
        <v>3427.6069201536952</v>
      </c>
      <c r="M210">
        <f ca="1">IF($C210-M$1&lt;År1,0,L209*(1-VLOOKUP($A210,[1]Hugst!$R$5:$W$9,MATCH(ROUNDUP((M$1)/10,0)*10,[1]Hugst!$R$4:$W$4,0))))</f>
        <v>3420.4721846808766</v>
      </c>
      <c r="N210">
        <f ca="1">IF($C210-N$1&lt;År1,0,M209*(1-VLOOKUP($A210,[1]Hugst!$R$5:$W$9,MATCH(ROUNDUP((N$1)/10,0)*10,[1]Hugst!$R$4:$W$4,0))))</f>
        <v>3413.3240782332773</v>
      </c>
      <c r="O210">
        <f ca="1">IF($C210-O$1&lt;År1,0,N209*(1-VLOOKUP($A210,[1]Hugst!$R$5:$W$9,MATCH(ROUNDUP((O$1)/10,0)*10,[1]Hugst!$R$4:$W$4,0))))</f>
        <v>3406.1625830793469</v>
      </c>
      <c r="P210">
        <f ca="1">IF($C210-P$1&lt;År1,0,O209*(1-VLOOKUP($A210,[1]Hugst!$R$5:$W$9,MATCH(ROUNDUP((P$1)/10,0)*10,[1]Hugst!$R$4:$W$4,0))))</f>
        <v>3391.5264890356075</v>
      </c>
      <c r="Q210">
        <f ca="1">IF($C210-Q$1&lt;År1,0,P209*(1-VLOOKUP($A210,[1]Hugst!$R$5:$W$9,MATCH(ROUNDUP((Q$1)/10,0)*10,[1]Hugst!$R$4:$W$4,0))))</f>
        <v>3376.9248729746969</v>
      </c>
      <c r="R210">
        <f ca="1">IF($C210-R$1&lt;År1,0,Q209*(1-VLOOKUP($A210,[1]Hugst!$R$5:$W$9,MATCH(ROUNDUP((R$1)/10,0)*10,[1]Hugst!$R$4:$W$4,0))))</f>
        <v>5346.9580309763096</v>
      </c>
      <c r="S210">
        <f ca="1">IF($C210-S$1&lt;År1,0,R209*(1-VLOOKUP($A210,[1]Hugst!$R$5:$W$9,MATCH(ROUNDUP((S$1)/10,0)*10,[1]Hugst!$R$4:$W$4,0))))</f>
        <v>5328.0687240489378</v>
      </c>
      <c r="T210">
        <f ca="1">IF($C210-T$1&lt;År1,0,S209*(1-VLOOKUP($A210,[1]Hugst!$R$5:$W$9,MATCH(ROUNDUP((T$1)/10,0)*10,[1]Hugst!$R$4:$W$4,0))))</f>
        <v>5321.0236701369759</v>
      </c>
      <c r="U210">
        <f ca="1">IF($C210-U$1&lt;År1,0,T209*(1-VLOOKUP($A210,[1]Hugst!$R$5:$W$9,MATCH(ROUNDUP((U$1)/10,0)*10,[1]Hugst!$R$4:$W$4,0))))</f>
        <v>5314.0071911936666</v>
      </c>
      <c r="V210">
        <f ca="1">IF($C210-V$1&lt;År1,0,U209*(1-VLOOKUP($A210,[1]Hugst!$R$5:$W$9,MATCH(ROUNDUP((V$1)/10,0)*10,[1]Hugst!$R$4:$W$4,0))))</f>
        <v>5307.019261450876</v>
      </c>
      <c r="W210">
        <f ca="1">IF($C210-W$1&lt;År1,0,V209*(1-VLOOKUP($A210,[1]Hugst!$R$5:$W$9,MATCH(ROUNDUP((W$1)/10,0)*10,[1]Hugst!$R$4:$W$4,0))))</f>
        <v>5300.0598553011514</v>
      </c>
      <c r="X210">
        <f ca="1">IF($C210-X$1&lt;År1,0,W209*(1-VLOOKUP($A210,[1]Hugst!$R$5:$W$9,MATCH(ROUNDUP((X$1)/10,0)*10,[1]Hugst!$R$4:$W$4,0))))</f>
        <v>5293.1289472977332</v>
      </c>
      <c r="Y210">
        <f ca="1">IF($C210-Y$1&lt;År1,0,X209*(1-VLOOKUP($A210,[1]Hugst!$R$5:$W$9,MATCH(ROUNDUP((Y$1)/10,0)*10,[1]Hugst!$R$4:$W$4,0))))</f>
        <v>5286.2265121544769</v>
      </c>
      <c r="Z210">
        <f ca="1">IF($C210-Z$1&lt;År1,0,Y209*(1-VLOOKUP($A210,[1]Hugst!$R$5:$W$9,MATCH(ROUNDUP((Z$1)/10,0)*10,[1]Hugst!$R$4:$W$4,0))))</f>
        <v>5284.5144436162709</v>
      </c>
      <c r="AA210">
        <f ca="1">IF($C210-AA$1&lt;År1,0,Z209*(1-VLOOKUP($A210,[1]Hugst!$R$5:$W$9,MATCH(ROUNDUP((AA$1)/10,0)*10,[1]Hugst!$R$4:$W$4,0))))</f>
        <v>5282.8224518160996</v>
      </c>
      <c r="AB210">
        <f ca="1">IF($C210-AB$1&lt;År1,0,AA209*(1-VLOOKUP($A210,[1]Hugst!$R$5:$W$9,MATCH(ROUNDUP((AB$1)/10,0)*10,[1]Hugst!$R$4:$W$4,0))))</f>
        <v>5281.1505806185869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25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872.30235390073358</v>
      </c>
      <c r="E211">
        <f t="shared" ca="1" si="4"/>
        <v>129.78963087084412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3443.7586514382451</v>
      </c>
      <c r="G211">
        <f ca="1">IF($C211-G$1&lt;År1,0,F210*(1-VLOOKUP($A211,[1]Hugst!$R$5:$W$9,MATCH(ROUNDUP((G$1)/10,0)*10,[1]Hugst!$R$4:$W$4,0))))</f>
        <v>3446.0839394059653</v>
      </c>
      <c r="H211">
        <f ca="1">IF($C211-H$1&lt;År1,0,G210*(1-VLOOKUP($A211,[1]Hugst!$R$5:$W$9,MATCH(ROUNDUP((H$1)/10,0)*10,[1]Hugst!$R$4:$W$4,0))))</f>
        <v>3448.4534396371851</v>
      </c>
      <c r="I211">
        <f ca="1">IF($C211-I$1&lt;År1,0,H210*(1-VLOOKUP($A211,[1]Hugst!$R$5:$W$9,MATCH(ROUNDUP((I$1)/10,0)*10,[1]Hugst!$R$4:$W$4,0))))</f>
        <v>3450.8673778227417</v>
      </c>
      <c r="J211">
        <f ca="1">IF($C211-J$1&lt;År1,0,I210*(1-VLOOKUP($A211,[1]Hugst!$R$5:$W$9,MATCH(ROUNDUP((J$1)/10,0)*10,[1]Hugst!$R$4:$W$4,0))))</f>
        <v>3448.9310783282303</v>
      </c>
      <c r="K211">
        <f ca="1">IF($C211-K$1&lt;År1,0,J210*(1-VLOOKUP($A211,[1]Hugst!$R$5:$W$9,MATCH(ROUNDUP((K$1)/10,0)*10,[1]Hugst!$R$4:$W$4,0))))</f>
        <v>3441.8363491980886</v>
      </c>
      <c r="L211">
        <f ca="1">IF($C211-L$1&lt;År1,0,K210*(1-VLOOKUP($A211,[1]Hugst!$R$5:$W$9,MATCH(ROUNDUP((L$1)/10,0)*10,[1]Hugst!$R$4:$W$4,0))))</f>
        <v>3434.7283024027579</v>
      </c>
      <c r="M211">
        <f ca="1">IF($C211-M$1&lt;År1,0,L210*(1-VLOOKUP($A211,[1]Hugst!$R$5:$W$9,MATCH(ROUNDUP((M$1)/10,0)*10,[1]Hugst!$R$4:$W$4,0))))</f>
        <v>3427.6069201536952</v>
      </c>
      <c r="N211">
        <f ca="1">IF($C211-N$1&lt;År1,0,M210*(1-VLOOKUP($A211,[1]Hugst!$R$5:$W$9,MATCH(ROUNDUP((N$1)/10,0)*10,[1]Hugst!$R$4:$W$4,0))))</f>
        <v>3420.4721846808766</v>
      </c>
      <c r="O211">
        <f ca="1">IF($C211-O$1&lt;År1,0,N210*(1-VLOOKUP($A211,[1]Hugst!$R$5:$W$9,MATCH(ROUNDUP((O$1)/10,0)*10,[1]Hugst!$R$4:$W$4,0))))</f>
        <v>3413.3240782332773</v>
      </c>
      <c r="P211">
        <f ca="1">IF($C211-P$1&lt;År1,0,O210*(1-VLOOKUP($A211,[1]Hugst!$R$5:$W$9,MATCH(ROUNDUP((P$1)/10,0)*10,[1]Hugst!$R$4:$W$4,0))))</f>
        <v>3398.6856408238068</v>
      </c>
      <c r="Q211">
        <f ca="1">IF($C211-Q$1&lt;År1,0,P210*(1-VLOOKUP($A211,[1]Hugst!$R$5:$W$9,MATCH(ROUNDUP((Q$1)/10,0)*10,[1]Hugst!$R$4:$W$4,0))))</f>
        <v>3384.0816747913832</v>
      </c>
      <c r="R211">
        <f ca="1">IF($C211-R$1&lt;År1,0,Q210*(1-VLOOKUP($A211,[1]Hugst!$R$5:$W$9,MATCH(ROUNDUP((R$1)/10,0)*10,[1]Hugst!$R$4:$W$4,0))))</f>
        <v>3369.5121110584109</v>
      </c>
      <c r="S211">
        <f ca="1">IF($C211-S$1&lt;År1,0,R210*(1-VLOOKUP($A211,[1]Hugst!$R$5:$W$9,MATCH(ROUNDUP((S$1)/10,0)*10,[1]Hugst!$R$4:$W$4,0))))</f>
        <v>5335.2208060302637</v>
      </c>
      <c r="T211">
        <f ca="1">IF($C211-T$1&lt;År1,0,S210*(1-VLOOKUP($A211,[1]Hugst!$R$5:$W$9,MATCH(ROUNDUP((T$1)/10,0)*10,[1]Hugst!$R$4:$W$4,0))))</f>
        <v>5316.3729634351721</v>
      </c>
      <c r="U211">
        <f ca="1">IF($C211-U$1&lt;År1,0,T210*(1-VLOOKUP($A211,[1]Hugst!$R$5:$W$9,MATCH(ROUNDUP((U$1)/10,0)*10,[1]Hugst!$R$4:$W$4,0))))</f>
        <v>5309.3433742756997</v>
      </c>
      <c r="V211">
        <f ca="1">IF($C211-V$1&lt;År1,0,U210*(1-VLOOKUP($A211,[1]Hugst!$R$5:$W$9,MATCH(ROUNDUP((V$1)/10,0)*10,[1]Hugst!$R$4:$W$4,0))))</f>
        <v>5302.3422973593388</v>
      </c>
      <c r="W211">
        <f ca="1">IF($C211-W$1&lt;År1,0,V210*(1-VLOOKUP($A211,[1]Hugst!$R$5:$W$9,MATCH(ROUNDUP((W$1)/10,0)*10,[1]Hugst!$R$4:$W$4,0))))</f>
        <v>5295.3697069745203</v>
      </c>
      <c r="X211">
        <f ca="1">IF($C211-X$1&lt;År1,0,W210*(1-VLOOKUP($A211,[1]Hugst!$R$5:$W$9,MATCH(ROUNDUP((X$1)/10,0)*10,[1]Hugst!$R$4:$W$4,0))))</f>
        <v>5288.4255775700021</v>
      </c>
      <c r="Y211">
        <f ca="1">IF($C211-Y$1&lt;År1,0,X210*(1-VLOOKUP($A211,[1]Hugst!$R$5:$W$9,MATCH(ROUNDUP((Y$1)/10,0)*10,[1]Hugst!$R$4:$W$4,0))))</f>
        <v>5281.5098837548849</v>
      </c>
      <c r="Z211">
        <f ca="1">IF($C211-Z$1&lt;År1,0,Y210*(1-VLOOKUP($A211,[1]Hugst!$R$5:$W$9,MATCH(ROUNDUP((Z$1)/10,0)*10,[1]Hugst!$R$4:$W$4,0))))</f>
        <v>5279.7798944567276</v>
      </c>
      <c r="AA211">
        <f ca="1">IF($C211-AA$1&lt;År1,0,Z210*(1-VLOOKUP($A211,[1]Hugst!$R$5:$W$9,MATCH(ROUNDUP((AA$1)/10,0)*10,[1]Hugst!$R$4:$W$4,0))))</f>
        <v>5278.0699138069831</v>
      </c>
      <c r="AB211">
        <f ca="1">IF($C211-AB$1&lt;År1,0,AA210*(1-VLOOKUP($A211,[1]Hugst!$R$5:$W$9,MATCH(ROUNDUP((AB$1)/10,0)*10,[1]Hugst!$R$4:$W$4,0))))</f>
        <v>5276.3799854114459</v>
      </c>
      <c r="AC211">
        <f ca="1">IF($C211-AC$1&lt;År1,0,AB210*(1-VLOOKUP($A211,[1]Hugst!$R$5:$W$9,MATCH(ROUNDUP((AC$1)/10,0)*10,[1]Hugst!$R$4:$W$4,0))))</f>
        <v>5274.710153081247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25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867.94084213123642</v>
      </c>
      <c r="E212">
        <f t="shared" ca="1" si="4"/>
        <v>131.8698422506277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3441.4773510485315</v>
      </c>
      <c r="G212">
        <f ca="1">IF($C212-G$1&lt;År1,0,F211*(1-VLOOKUP($A212,[1]Hugst!$R$5:$W$9,MATCH(ROUNDUP((G$1)/10,0)*10,[1]Hugst!$R$4:$W$4,0))))</f>
        <v>3443.7586514382451</v>
      </c>
      <c r="H212">
        <f ca="1">IF($C212-H$1&lt;År1,0,G211*(1-VLOOKUP($A212,[1]Hugst!$R$5:$W$9,MATCH(ROUNDUP((H$1)/10,0)*10,[1]Hugst!$R$4:$W$4,0))))</f>
        <v>3446.0839394059653</v>
      </c>
      <c r="I212">
        <f ca="1">IF($C212-I$1&lt;År1,0,H211*(1-VLOOKUP($A212,[1]Hugst!$R$5:$W$9,MATCH(ROUNDUP((I$1)/10,0)*10,[1]Hugst!$R$4:$W$4,0))))</f>
        <v>3448.4534396371851</v>
      </c>
      <c r="J212">
        <f ca="1">IF($C212-J$1&lt;År1,0,I211*(1-VLOOKUP($A212,[1]Hugst!$R$5:$W$9,MATCH(ROUNDUP((J$1)/10,0)*10,[1]Hugst!$R$4:$W$4,0))))</f>
        <v>3450.8673778227417</v>
      </c>
      <c r="K212">
        <f ca="1">IF($C212-K$1&lt;År1,0,J211*(1-VLOOKUP($A212,[1]Hugst!$R$5:$W$9,MATCH(ROUNDUP((K$1)/10,0)*10,[1]Hugst!$R$4:$W$4,0))))</f>
        <v>3448.9310783282303</v>
      </c>
      <c r="L212">
        <f ca="1">IF($C212-L$1&lt;År1,0,K211*(1-VLOOKUP($A212,[1]Hugst!$R$5:$W$9,MATCH(ROUNDUP((L$1)/10,0)*10,[1]Hugst!$R$4:$W$4,0))))</f>
        <v>3441.8363491980886</v>
      </c>
      <c r="M212">
        <f ca="1">IF($C212-M$1&lt;År1,0,L211*(1-VLOOKUP($A212,[1]Hugst!$R$5:$W$9,MATCH(ROUNDUP((M$1)/10,0)*10,[1]Hugst!$R$4:$W$4,0))))</f>
        <v>3434.7283024027579</v>
      </c>
      <c r="N212">
        <f ca="1">IF($C212-N$1&lt;År1,0,M211*(1-VLOOKUP($A212,[1]Hugst!$R$5:$W$9,MATCH(ROUNDUP((N$1)/10,0)*10,[1]Hugst!$R$4:$W$4,0))))</f>
        <v>3427.6069201536952</v>
      </c>
      <c r="O212">
        <f ca="1">IF($C212-O$1&lt;År1,0,N211*(1-VLOOKUP($A212,[1]Hugst!$R$5:$W$9,MATCH(ROUNDUP((O$1)/10,0)*10,[1]Hugst!$R$4:$W$4,0))))</f>
        <v>3420.4721846808766</v>
      </c>
      <c r="P212">
        <f ca="1">IF($C212-P$1&lt;År1,0,O211*(1-VLOOKUP($A212,[1]Hugst!$R$5:$W$9,MATCH(ROUNDUP((P$1)/10,0)*10,[1]Hugst!$R$4:$W$4,0))))</f>
        <v>3405.8314156225215</v>
      </c>
      <c r="Q212">
        <f ca="1">IF($C212-Q$1&lt;År1,0,P211*(1-VLOOKUP($A212,[1]Hugst!$R$5:$W$9,MATCH(ROUNDUP((Q$1)/10,0)*10,[1]Hugst!$R$4:$W$4,0))))</f>
        <v>3391.2251113683401</v>
      </c>
      <c r="R212">
        <f ca="1">IF($C212-R$1&lt;År1,0,Q211*(1-VLOOKUP($A212,[1]Hugst!$R$5:$W$9,MATCH(ROUNDUP((R$1)/10,0)*10,[1]Hugst!$R$4:$W$4,0))))</f>
        <v>3376.6532028223291</v>
      </c>
      <c r="S212">
        <f ca="1">IF($C212-S$1&lt;År1,0,R211*(1-VLOOKUP($A212,[1]Hugst!$R$5:$W$9,MATCH(ROUNDUP((S$1)/10,0)*10,[1]Hugst!$R$4:$W$4,0))))</f>
        <v>3362.1156210585268</v>
      </c>
      <c r="T212">
        <f ca="1">IF($C212-T$1&lt;År1,0,S211*(1-VLOOKUP($A212,[1]Hugst!$R$5:$W$9,MATCH(ROUNDUP((T$1)/10,0)*10,[1]Hugst!$R$4:$W$4,0))))</f>
        <v>5323.5093457243438</v>
      </c>
      <c r="U212">
        <f ca="1">IF($C212-U$1&lt;År1,0,T211*(1-VLOOKUP($A212,[1]Hugst!$R$5:$W$9,MATCH(ROUNDUP((U$1)/10,0)*10,[1]Hugst!$R$4:$W$4,0))))</f>
        <v>5304.7028764422657</v>
      </c>
      <c r="V212">
        <f ca="1">IF($C212-V$1&lt;År1,0,U211*(1-VLOOKUP($A212,[1]Hugst!$R$5:$W$9,MATCH(ROUNDUP((V$1)/10,0)*10,[1]Hugst!$R$4:$W$4,0))))</f>
        <v>5297.688718088265</v>
      </c>
      <c r="W212">
        <f ca="1">IF($C212-W$1&lt;År1,0,V211*(1-VLOOKUP($A212,[1]Hugst!$R$5:$W$9,MATCH(ROUNDUP((W$1)/10,0)*10,[1]Hugst!$R$4:$W$4,0))))</f>
        <v>5290.7030093895255</v>
      </c>
      <c r="X212">
        <f ca="1">IF($C212-X$1&lt;År1,0,W211*(1-VLOOKUP($A212,[1]Hugst!$R$5:$W$9,MATCH(ROUNDUP((X$1)/10,0)*10,[1]Hugst!$R$4:$W$4,0))))</f>
        <v>5283.745724690918</v>
      </c>
      <c r="Y212">
        <f ca="1">IF($C212-Y$1&lt;År1,0,X211*(1-VLOOKUP($A212,[1]Hugst!$R$5:$W$9,MATCH(ROUNDUP((Y$1)/10,0)*10,[1]Hugst!$R$4:$W$4,0))))</f>
        <v>5276.8168384972878</v>
      </c>
      <c r="Z212">
        <f ca="1">IF($C212-Z$1&lt;År1,0,Y211*(1-VLOOKUP($A212,[1]Hugst!$R$5:$W$9,MATCH(ROUNDUP((Z$1)/10,0)*10,[1]Hugst!$R$4:$W$4,0))))</f>
        <v>5275.0690180429883</v>
      </c>
      <c r="AA212">
        <f ca="1">IF($C212-AA$1&lt;År1,0,Z211*(1-VLOOKUP($A212,[1]Hugst!$R$5:$W$9,MATCH(ROUNDUP((AA$1)/10,0)*10,[1]Hugst!$R$4:$W$4,0))))</f>
        <v>5273.3411384878782</v>
      </c>
      <c r="AB212">
        <f ca="1">IF($C212-AB$1&lt;År1,0,AA211*(1-VLOOKUP($A212,[1]Hugst!$R$5:$W$9,MATCH(ROUNDUP((AB$1)/10,0)*10,[1]Hugst!$R$4:$W$4,0))))</f>
        <v>5271.6332431803894</v>
      </c>
      <c r="AC212">
        <f ca="1">IF($C212-AC$1&lt;År1,0,AB211*(1-VLOOKUP($A212,[1]Hugst!$R$5:$W$9,MATCH(ROUNDUP((AC$1)/10,0)*10,[1]Hugst!$R$4:$W$4,0))))</f>
        <v>5269.9453756731391</v>
      </c>
      <c r="AD212">
        <f ca="1">IF($C212-AD$1&lt;År1,0,AC211*(1-VLOOKUP($A212,[1]Hugst!$R$5:$W$9,MATCH(ROUNDUP((AD$1)/10,0)*10,[1]Hugst!$R$4:$W$4,0))))</f>
        <v>5268.277579723831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25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863.60113792057746</v>
      </c>
      <c r="E213">
        <f t="shared" ca="1" si="4"/>
        <v>133.97200996510219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3439.2398145523471</v>
      </c>
      <c r="G213">
        <f ca="1">IF($C213-G$1&lt;År1,0,F212*(1-VLOOKUP($A213,[1]Hugst!$R$5:$W$9,MATCH(ROUNDUP((G$1)/10,0)*10,[1]Hugst!$R$4:$W$4,0))))</f>
        <v>3441.4773510485315</v>
      </c>
      <c r="H213">
        <f ca="1">IF($C213-H$1&lt;År1,0,G212*(1-VLOOKUP($A213,[1]Hugst!$R$5:$W$9,MATCH(ROUNDUP((H$1)/10,0)*10,[1]Hugst!$R$4:$W$4,0))))</f>
        <v>3443.7586514382451</v>
      </c>
      <c r="I213">
        <f ca="1">IF($C213-I$1&lt;År1,0,H212*(1-VLOOKUP($A213,[1]Hugst!$R$5:$W$9,MATCH(ROUNDUP((I$1)/10,0)*10,[1]Hugst!$R$4:$W$4,0))))</f>
        <v>3446.0839394059653</v>
      </c>
      <c r="J213">
        <f ca="1">IF($C213-J$1&lt;År1,0,I212*(1-VLOOKUP($A213,[1]Hugst!$R$5:$W$9,MATCH(ROUNDUP((J$1)/10,0)*10,[1]Hugst!$R$4:$W$4,0))))</f>
        <v>3448.4534396371851</v>
      </c>
      <c r="K213">
        <f ca="1">IF($C213-K$1&lt;År1,0,J212*(1-VLOOKUP($A213,[1]Hugst!$R$5:$W$9,MATCH(ROUNDUP((K$1)/10,0)*10,[1]Hugst!$R$4:$W$4,0))))</f>
        <v>3450.8673778227417</v>
      </c>
      <c r="L213">
        <f ca="1">IF($C213-L$1&lt;År1,0,K212*(1-VLOOKUP($A213,[1]Hugst!$R$5:$W$9,MATCH(ROUNDUP((L$1)/10,0)*10,[1]Hugst!$R$4:$W$4,0))))</f>
        <v>3448.9310783282303</v>
      </c>
      <c r="M213">
        <f ca="1">IF($C213-M$1&lt;År1,0,L212*(1-VLOOKUP($A213,[1]Hugst!$R$5:$W$9,MATCH(ROUNDUP((M$1)/10,0)*10,[1]Hugst!$R$4:$W$4,0))))</f>
        <v>3441.8363491980886</v>
      </c>
      <c r="N213">
        <f ca="1">IF($C213-N$1&lt;År1,0,M212*(1-VLOOKUP($A213,[1]Hugst!$R$5:$W$9,MATCH(ROUNDUP((N$1)/10,0)*10,[1]Hugst!$R$4:$W$4,0))))</f>
        <v>3434.7283024027579</v>
      </c>
      <c r="O213">
        <f ca="1">IF($C213-O$1&lt;År1,0,N212*(1-VLOOKUP($A213,[1]Hugst!$R$5:$W$9,MATCH(ROUNDUP((O$1)/10,0)*10,[1]Hugst!$R$4:$W$4,0))))</f>
        <v>3427.6069201536952</v>
      </c>
      <c r="P213">
        <f ca="1">IF($C213-P$1&lt;År1,0,O212*(1-VLOOKUP($A213,[1]Hugst!$R$5:$W$9,MATCH(ROUNDUP((P$1)/10,0)*10,[1]Hugst!$R$4:$W$4,0))))</f>
        <v>3412.9638311047479</v>
      </c>
      <c r="Q213">
        <f ca="1">IF($C213-Q$1&lt;År1,0,P212*(1-VLOOKUP($A213,[1]Hugst!$R$5:$W$9,MATCH(ROUNDUP((Q$1)/10,0)*10,[1]Hugst!$R$4:$W$4,0))))</f>
        <v>3398.3552003199356</v>
      </c>
      <c r="R213">
        <f ca="1">IF($C213-R$1&lt;År1,0,Q212*(1-VLOOKUP($A213,[1]Hugst!$R$5:$W$9,MATCH(ROUNDUP((R$1)/10,0)*10,[1]Hugst!$R$4:$W$4,0))))</f>
        <v>3383.7809586848484</v>
      </c>
      <c r="S213">
        <f ca="1">IF($C213-S$1&lt;År1,0,R212*(1-VLOOKUP($A213,[1]Hugst!$R$5:$W$9,MATCH(ROUNDUP((S$1)/10,0)*10,[1]Hugst!$R$4:$W$4,0))))</f>
        <v>3369.2410372551581</v>
      </c>
      <c r="T213">
        <f ca="1">IF($C213-T$1&lt;År1,0,S212*(1-VLOOKUP($A213,[1]Hugst!$R$5:$W$9,MATCH(ROUNDUP((T$1)/10,0)*10,[1]Hugst!$R$4:$W$4,0))))</f>
        <v>3354.7353672562031</v>
      </c>
      <c r="U213">
        <f ca="1">IF($C213-U$1&lt;År1,0,T212*(1-VLOOKUP($A213,[1]Hugst!$R$5:$W$9,MATCH(ROUNDUP((U$1)/10,0)*10,[1]Hugst!$R$4:$W$4,0))))</f>
        <v>5311.823593502022</v>
      </c>
      <c r="V213">
        <f ca="1">IF($C213-V$1&lt;År1,0,U212*(1-VLOOKUP($A213,[1]Hugst!$R$5:$W$9,MATCH(ROUNDUP((V$1)/10,0)*10,[1]Hugst!$R$4:$W$4,0))))</f>
        <v>5293.0584067134896</v>
      </c>
      <c r="W213">
        <f ca="1">IF($C213-W$1&lt;År1,0,V212*(1-VLOOKUP($A213,[1]Hugst!$R$5:$W$9,MATCH(ROUNDUP((W$1)/10,0)*10,[1]Hugst!$R$4:$W$4,0))))</f>
        <v>5286.059645292461</v>
      </c>
      <c r="X213">
        <f ca="1">IF($C213-X$1&lt;År1,0,W212*(1-VLOOKUP($A213,[1]Hugst!$R$5:$W$9,MATCH(ROUNDUP((X$1)/10,0)*10,[1]Hugst!$R$4:$W$4,0))))</f>
        <v>5279.0892710762319</v>
      </c>
      <c r="Y213">
        <f ca="1">IF($C213-Y$1&lt;År1,0,X212*(1-VLOOKUP($A213,[1]Hugst!$R$5:$W$9,MATCH(ROUNDUP((Y$1)/10,0)*10,[1]Hugst!$R$4:$W$4,0))))</f>
        <v>5272.1472584659869</v>
      </c>
      <c r="Z213">
        <f ca="1">IF($C213-Z$1&lt;År1,0,Y212*(1-VLOOKUP($A213,[1]Hugst!$R$5:$W$9,MATCH(ROUNDUP((Z$1)/10,0)*10,[1]Hugst!$R$4:$W$4,0))))</f>
        <v>5270.3816960113154</v>
      </c>
      <c r="AA213">
        <f ca="1">IF($C213-AA$1&lt;År1,0,Z212*(1-VLOOKUP($A213,[1]Hugst!$R$5:$W$9,MATCH(ROUNDUP((AA$1)/10,0)*10,[1]Hugst!$R$4:$W$4,0))))</f>
        <v>5268.6360070453748</v>
      </c>
      <c r="AB213">
        <f ca="1">IF($C213-AB$1&lt;År1,0,AA212*(1-VLOOKUP($A213,[1]Hugst!$R$5:$W$9,MATCH(ROUNDUP((AB$1)/10,0)*10,[1]Hugst!$R$4:$W$4,0))))</f>
        <v>5266.9102346604541</v>
      </c>
      <c r="AC213">
        <f ca="1">IF($C213-AC$1&lt;År1,0,AB212*(1-VLOOKUP($A213,[1]Hugst!$R$5:$W$9,MATCH(ROUNDUP((AC$1)/10,0)*10,[1]Hugst!$R$4:$W$4,0))))</f>
        <v>5265.204422152121</v>
      </c>
      <c r="AD213">
        <f ca="1">IF($C213-AD$1&lt;År1,0,AC212*(1-VLOOKUP($A213,[1]Hugst!$R$5:$W$9,MATCH(ROUNDUP((AD$1)/10,0)*10,[1]Hugst!$R$4:$W$4,0))))</f>
        <v>5263.518613019879</v>
      </c>
      <c r="AE213">
        <f ca="1">IF($C213-AE$1&lt;År1,0,AD212*(1-VLOOKUP($A213,[1]Hugst!$R$5:$W$9,MATCH(ROUNDUP((AE$1)/10,0)*10,[1]Hugst!$R$4:$W$4,0))))</f>
        <v>5261.85285096807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25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859.28313223100486</v>
      </c>
      <c r="E214">
        <f t="shared" ca="1" si="4"/>
        <v>136.09602036437718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3437.0458192620495</v>
      </c>
      <c r="G214">
        <f ca="1">IF($C214-G$1&lt;År1,0,F213*(1-VLOOKUP($A214,[1]Hugst!$R$5:$W$9,MATCH(ROUNDUP((G$1)/10,0)*10,[1]Hugst!$R$4:$W$4,0))))</f>
        <v>3439.2398145523471</v>
      </c>
      <c r="H214">
        <f ca="1">IF($C214-H$1&lt;År1,0,G213*(1-VLOOKUP($A214,[1]Hugst!$R$5:$W$9,MATCH(ROUNDUP((H$1)/10,0)*10,[1]Hugst!$R$4:$W$4,0))))</f>
        <v>3441.4773510485315</v>
      </c>
      <c r="I214">
        <f ca="1">IF($C214-I$1&lt;År1,0,H213*(1-VLOOKUP($A214,[1]Hugst!$R$5:$W$9,MATCH(ROUNDUP((I$1)/10,0)*10,[1]Hugst!$R$4:$W$4,0))))</f>
        <v>3443.7586514382451</v>
      </c>
      <c r="J214">
        <f ca="1">IF($C214-J$1&lt;År1,0,I213*(1-VLOOKUP($A214,[1]Hugst!$R$5:$W$9,MATCH(ROUNDUP((J$1)/10,0)*10,[1]Hugst!$R$4:$W$4,0))))</f>
        <v>3446.0839394059653</v>
      </c>
      <c r="K214">
        <f ca="1">IF($C214-K$1&lt;År1,0,J213*(1-VLOOKUP($A214,[1]Hugst!$R$5:$W$9,MATCH(ROUNDUP((K$1)/10,0)*10,[1]Hugst!$R$4:$W$4,0))))</f>
        <v>3448.4534396371851</v>
      </c>
      <c r="L214">
        <f ca="1">IF($C214-L$1&lt;År1,0,K213*(1-VLOOKUP($A214,[1]Hugst!$R$5:$W$9,MATCH(ROUNDUP((L$1)/10,0)*10,[1]Hugst!$R$4:$W$4,0))))</f>
        <v>3450.8673778227417</v>
      </c>
      <c r="M214">
        <f ca="1">IF($C214-M$1&lt;År1,0,L213*(1-VLOOKUP($A214,[1]Hugst!$R$5:$W$9,MATCH(ROUNDUP((M$1)/10,0)*10,[1]Hugst!$R$4:$W$4,0))))</f>
        <v>3448.9310783282303</v>
      </c>
      <c r="N214">
        <f ca="1">IF($C214-N$1&lt;År1,0,M213*(1-VLOOKUP($A214,[1]Hugst!$R$5:$W$9,MATCH(ROUNDUP((N$1)/10,0)*10,[1]Hugst!$R$4:$W$4,0))))</f>
        <v>3441.8363491980886</v>
      </c>
      <c r="O214">
        <f ca="1">IF($C214-O$1&lt;År1,0,N213*(1-VLOOKUP($A214,[1]Hugst!$R$5:$W$9,MATCH(ROUNDUP((O$1)/10,0)*10,[1]Hugst!$R$4:$W$4,0))))</f>
        <v>3434.7283024027579</v>
      </c>
      <c r="P214">
        <f ca="1">IF($C214-P$1&lt;År1,0,O213*(1-VLOOKUP($A214,[1]Hugst!$R$5:$W$9,MATCH(ROUNDUP((P$1)/10,0)*10,[1]Hugst!$R$4:$W$4,0))))</f>
        <v>3420.0829049631138</v>
      </c>
      <c r="Q214">
        <f ca="1">IF($C214-Q$1&lt;År1,0,P213*(1-VLOOKUP($A214,[1]Hugst!$R$5:$W$9,MATCH(ROUNDUP((Q$1)/10,0)*10,[1]Hugst!$R$4:$W$4,0))))</f>
        <v>3405.4719592803717</v>
      </c>
      <c r="R214">
        <f ca="1">IF($C214-R$1&lt;År1,0,Q213*(1-VLOOKUP($A214,[1]Hugst!$R$5:$W$9,MATCH(ROUNDUP((R$1)/10,0)*10,[1]Hugst!$R$4:$W$4,0))))</f>
        <v>3390.8953962216724</v>
      </c>
      <c r="S214">
        <f ca="1">IF($C214-S$1&lt;År1,0,R213*(1-VLOOKUP($A214,[1]Hugst!$R$5:$W$9,MATCH(ROUNDUP((S$1)/10,0)*10,[1]Hugst!$R$4:$W$4,0))))</f>
        <v>3376.3531468243209</v>
      </c>
      <c r="T214">
        <f ca="1">IF($C214-T$1&lt;År1,0,S213*(1-VLOOKUP($A214,[1]Hugst!$R$5:$W$9,MATCH(ROUNDUP((T$1)/10,0)*10,[1]Hugst!$R$4:$W$4,0))))</f>
        <v>3361.8451422953299</v>
      </c>
      <c r="U214">
        <f ca="1">IF($C214-U$1&lt;År1,0,T213*(1-VLOOKUP($A214,[1]Hugst!$R$5:$W$9,MATCH(ROUNDUP((U$1)/10,0)*10,[1]Hugst!$R$4:$W$4,0))))</f>
        <v>3347.3713140110067</v>
      </c>
      <c r="V214">
        <f ca="1">IF($C214-V$1&lt;År1,0,U213*(1-VLOOKUP($A214,[1]Hugst!$R$5:$W$9,MATCH(ROUNDUP((V$1)/10,0)*10,[1]Hugst!$R$4:$W$4,0))))</f>
        <v>5300.1634929309203</v>
      </c>
      <c r="W214">
        <f ca="1">IF($C214-W$1&lt;År1,0,V213*(1-VLOOKUP($A214,[1]Hugst!$R$5:$W$9,MATCH(ROUNDUP((W$1)/10,0)*10,[1]Hugst!$R$4:$W$4,0))))</f>
        <v>5281.4394980158258</v>
      </c>
      <c r="X214">
        <f ca="1">IF($C214-X$1&lt;År1,0,W213*(1-VLOOKUP($A214,[1]Hugst!$R$5:$W$9,MATCH(ROUNDUP((X$1)/10,0)*10,[1]Hugst!$R$4:$W$4,0))))</f>
        <v>5274.4560997296239</v>
      </c>
      <c r="Y214">
        <f ca="1">IF($C214-Y$1&lt;År1,0,X213*(1-VLOOKUP($A214,[1]Hugst!$R$5:$W$9,MATCH(ROUNDUP((Y$1)/10,0)*10,[1]Hugst!$R$4:$W$4,0))))</f>
        <v>5267.5010263348449</v>
      </c>
      <c r="Z214">
        <f ca="1">IF($C214-Z$1&lt;År1,0,Y213*(1-VLOOKUP($A214,[1]Hugst!$R$5:$W$9,MATCH(ROUNDUP((Z$1)/10,0)*10,[1]Hugst!$R$4:$W$4,0))))</f>
        <v>5265.7178105898092</v>
      </c>
      <c r="AA214">
        <f ca="1">IF($C214-AA$1&lt;År1,0,Z213*(1-VLOOKUP($A214,[1]Hugst!$R$5:$W$9,MATCH(ROUNDUP((AA$1)/10,0)*10,[1]Hugst!$R$4:$W$4,0))))</f>
        <v>5263.9544012600818</v>
      </c>
      <c r="AB214">
        <f ca="1">IF($C214-AB$1&lt;År1,0,AA213*(1-VLOOKUP($A214,[1]Hugst!$R$5:$W$9,MATCH(ROUNDUP((AB$1)/10,0)*10,[1]Hugst!$R$4:$W$4,0))))</f>
        <v>5262.2108411831241</v>
      </c>
      <c r="AC214">
        <f ca="1">IF($C214-AC$1&lt;År1,0,AB213*(1-VLOOKUP($A214,[1]Hugst!$R$5:$W$9,MATCH(ROUNDUP((AC$1)/10,0)*10,[1]Hugst!$R$4:$W$4,0))))</f>
        <v>5260.4871733986729</v>
      </c>
      <c r="AD214">
        <f ca="1">IF($C214-AD$1&lt;År1,0,AC213*(1-VLOOKUP($A214,[1]Hugst!$R$5:$W$9,MATCH(ROUNDUP((AD$1)/10,0)*10,[1]Hugst!$R$4:$W$4,0))))</f>
        <v>5258.7834411494969</v>
      </c>
      <c r="AE214">
        <f ca="1">IF($C214-AE$1&lt;År1,0,AD213*(1-VLOOKUP($A214,[1]Hugst!$R$5:$W$9,MATCH(ROUNDUP((AE$1)/10,0)*10,[1]Hugst!$R$4:$W$4,0))))</f>
        <v>5257.0996878820497</v>
      </c>
      <c r="AF214">
        <f ca="1">IF($C214-AF$1&lt;År1,0,AE213*(1-VLOOKUP($A214,[1]Hugst!$R$5:$W$9,MATCH(ROUNDUP((AF$1)/10,0)*10,[1]Hugst!$R$4:$W$4,0))))</f>
        <v>5255.4359572473768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25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854.98671656979423</v>
      </c>
      <c r="E215">
        <f t="shared" ca="1" si="4"/>
        <v>138.24176024523331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3434.895143481695</v>
      </c>
      <c r="G215">
        <f ca="1">IF($C215-G$1&lt;År1,0,F214*(1-VLOOKUP($A215,[1]Hugst!$R$5:$W$9,MATCH(ROUNDUP((G$1)/10,0)*10,[1]Hugst!$R$4:$W$4,0))))</f>
        <v>3437.0458192620495</v>
      </c>
      <c r="H215">
        <f ca="1">IF($C215-H$1&lt;År1,0,G214*(1-VLOOKUP($A215,[1]Hugst!$R$5:$W$9,MATCH(ROUNDUP((H$1)/10,0)*10,[1]Hugst!$R$4:$W$4,0))))</f>
        <v>3439.2398145523471</v>
      </c>
      <c r="I215">
        <f ca="1">IF($C215-I$1&lt;År1,0,H214*(1-VLOOKUP($A215,[1]Hugst!$R$5:$W$9,MATCH(ROUNDUP((I$1)/10,0)*10,[1]Hugst!$R$4:$W$4,0))))</f>
        <v>3441.4773510485315</v>
      </c>
      <c r="J215">
        <f ca="1">IF($C215-J$1&lt;År1,0,I214*(1-VLOOKUP($A215,[1]Hugst!$R$5:$W$9,MATCH(ROUNDUP((J$1)/10,0)*10,[1]Hugst!$R$4:$W$4,0))))</f>
        <v>3443.7586514382451</v>
      </c>
      <c r="K215">
        <f ca="1">IF($C215-K$1&lt;År1,0,J214*(1-VLOOKUP($A215,[1]Hugst!$R$5:$W$9,MATCH(ROUNDUP((K$1)/10,0)*10,[1]Hugst!$R$4:$W$4,0))))</f>
        <v>3446.0839394059653</v>
      </c>
      <c r="L215">
        <f ca="1">IF($C215-L$1&lt;År1,0,K214*(1-VLOOKUP($A215,[1]Hugst!$R$5:$W$9,MATCH(ROUNDUP((L$1)/10,0)*10,[1]Hugst!$R$4:$W$4,0))))</f>
        <v>3448.4534396371851</v>
      </c>
      <c r="M215">
        <f ca="1">IF($C215-M$1&lt;År1,0,L214*(1-VLOOKUP($A215,[1]Hugst!$R$5:$W$9,MATCH(ROUNDUP((M$1)/10,0)*10,[1]Hugst!$R$4:$W$4,0))))</f>
        <v>3450.8673778227417</v>
      </c>
      <c r="N215">
        <f ca="1">IF($C215-N$1&lt;År1,0,M214*(1-VLOOKUP($A215,[1]Hugst!$R$5:$W$9,MATCH(ROUNDUP((N$1)/10,0)*10,[1]Hugst!$R$4:$W$4,0))))</f>
        <v>3448.9310783282303</v>
      </c>
      <c r="O215">
        <f ca="1">IF($C215-O$1&lt;År1,0,N214*(1-VLOOKUP($A215,[1]Hugst!$R$5:$W$9,MATCH(ROUNDUP((O$1)/10,0)*10,[1]Hugst!$R$4:$W$4,0))))</f>
        <v>3441.8363491980886</v>
      </c>
      <c r="P215">
        <f ca="1">IF($C215-P$1&lt;År1,0,O214*(1-VLOOKUP($A215,[1]Hugst!$R$5:$W$9,MATCH(ROUNDUP((P$1)/10,0)*10,[1]Hugst!$R$4:$W$4,0))))</f>
        <v>3427.1886549096785</v>
      </c>
      <c r="Q215">
        <f ca="1">IF($C215-Q$1&lt;År1,0,P214*(1-VLOOKUP($A215,[1]Hugst!$R$5:$W$9,MATCH(ROUNDUP((Q$1)/10,0)*10,[1]Hugst!$R$4:$W$4,0))))</f>
        <v>3412.5754059034389</v>
      </c>
      <c r="R215">
        <f ca="1">IF($C215-R$1&lt;År1,0,Q214*(1-VLOOKUP($A215,[1]Hugst!$R$5:$W$9,MATCH(ROUNDUP((R$1)/10,0)*10,[1]Hugst!$R$4:$W$4,0))))</f>
        <v>3397.996533028293</v>
      </c>
      <c r="S215">
        <f ca="1">IF($C215-S$1&lt;År1,0,R214*(1-VLOOKUP($A215,[1]Hugst!$R$5:$W$9,MATCH(ROUNDUP((S$1)/10,0)*10,[1]Hugst!$R$4:$W$4,0))))</f>
        <v>3383.4519673031368</v>
      </c>
      <c r="T215">
        <f ca="1">IF($C215-T$1&lt;År1,0,S214*(1-VLOOKUP($A215,[1]Hugst!$R$5:$W$9,MATCH(ROUNDUP((T$1)/10,0)*10,[1]Hugst!$R$4:$W$4,0))))</f>
        <v>3368.9416399166576</v>
      </c>
      <c r="U215">
        <f ca="1">IF($C215-U$1&lt;År1,0,T214*(1-VLOOKUP($A215,[1]Hugst!$R$5:$W$9,MATCH(ROUNDUP((U$1)/10,0)*10,[1]Hugst!$R$4:$W$4,0))))</f>
        <v>3354.4654822268767</v>
      </c>
      <c r="V215">
        <f ca="1">IF($C215-V$1&lt;År1,0,U214*(1-VLOOKUP($A215,[1]Hugst!$R$5:$W$9,MATCH(ROUNDUP((V$1)/10,0)*10,[1]Hugst!$R$4:$W$4,0))))</f>
        <v>3340.0234257607385</v>
      </c>
      <c r="W215">
        <f ca="1">IF($C215-W$1&lt;År1,0,V214*(1-VLOOKUP($A215,[1]Hugst!$R$5:$W$9,MATCH(ROUNDUP((W$1)/10,0)*10,[1]Hugst!$R$4:$W$4,0))))</f>
        <v>5288.5289877025352</v>
      </c>
      <c r="X215">
        <f ca="1">IF($C215-X$1&lt;År1,0,W214*(1-VLOOKUP($A215,[1]Hugst!$R$5:$W$9,MATCH(ROUNDUP((X$1)/10,0)*10,[1]Hugst!$R$4:$W$4,0))))</f>
        <v>5269.8460942396932</v>
      </c>
      <c r="Y215">
        <f ca="1">IF($C215-Y$1&lt;År1,0,X214*(1-VLOOKUP($A215,[1]Hugst!$R$5:$W$9,MATCH(ROUNDUP((Y$1)/10,0)*10,[1]Hugst!$R$4:$W$4,0))))</f>
        <v>5262.8780253643636</v>
      </c>
      <c r="Z215">
        <f ca="1">IF($C215-Z$1&lt;År1,0,Y214*(1-VLOOKUP($A215,[1]Hugst!$R$5:$W$9,MATCH(ROUNDUP((Z$1)/10,0)*10,[1]Hugst!$R$4:$W$4,0))))</f>
        <v>5261.0772445954126</v>
      </c>
      <c r="AA215">
        <f ca="1">IF($C215-AA$1&lt;År1,0,Z214*(1-VLOOKUP($A215,[1]Hugst!$R$5:$W$9,MATCH(ROUNDUP((AA$1)/10,0)*10,[1]Hugst!$R$4:$W$4,0))))</f>
        <v>5259.2962035037244</v>
      </c>
      <c r="AB215">
        <f ca="1">IF($C215-AB$1&lt;År1,0,AA214*(1-VLOOKUP($A215,[1]Hugst!$R$5:$W$9,MATCH(ROUNDUP((AB$1)/10,0)*10,[1]Hugst!$R$4:$W$4,0))))</f>
        <v>5257.5349446731789</v>
      </c>
      <c r="AC215">
        <f ca="1">IF($C215-AC$1&lt;År1,0,AB214*(1-VLOOKUP($A215,[1]Hugst!$R$5:$W$9,MATCH(ROUNDUP((AC$1)/10,0)*10,[1]Hugst!$R$4:$W$4,0))))</f>
        <v>5255.7935108889988</v>
      </c>
      <c r="AD215">
        <f ca="1">IF($C215-AD$1&lt;År1,0,AC214*(1-VLOOKUP($A215,[1]Hugst!$R$5:$W$9,MATCH(ROUNDUP((AD$1)/10,0)*10,[1]Hugst!$R$4:$W$4,0))))</f>
        <v>5254.0719451384302</v>
      </c>
      <c r="AE215">
        <f ca="1">IF($C215-AE$1&lt;År1,0,AD214*(1-VLOOKUP($A215,[1]Hugst!$R$5:$W$9,MATCH(ROUNDUP((AE$1)/10,0)*10,[1]Hugst!$R$4:$W$4,0))))</f>
        <v>5252.3702906115095</v>
      </c>
      <c r="AF215">
        <f ca="1">IF($C215-AF$1&lt;År1,0,AE214*(1-VLOOKUP($A215,[1]Hugst!$R$5:$W$9,MATCH(ROUNDUP((AF$1)/10,0)*10,[1]Hugst!$R$4:$W$4,0))))</f>
        <v>5250.6885907017058</v>
      </c>
      <c r="AG215">
        <f ca="1">IF($C215-AG$1&lt;År1,0,AF214*(1-VLOOKUP($A215,[1]Hugst!$R$5:$W$9,MATCH(ROUNDUP((AG$1)/10,0)*10,[1]Hugst!$R$4:$W$4,0))))</f>
        <v>5249.026889006831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25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850.71178298697123</v>
      </c>
      <c r="E216">
        <f t="shared" ca="1" si="4"/>
        <v>140.40911684978346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3432.7875665034221</v>
      </c>
      <c r="G216">
        <f ca="1">IF($C216-G$1&lt;År1,0,F215*(1-VLOOKUP($A216,[1]Hugst!$R$5:$W$9,MATCH(ROUNDUP((G$1)/10,0)*10,[1]Hugst!$R$4:$W$4,0))))</f>
        <v>3434.895143481695</v>
      </c>
      <c r="H216">
        <f ca="1">IF($C216-H$1&lt;År1,0,G215*(1-VLOOKUP($A216,[1]Hugst!$R$5:$W$9,MATCH(ROUNDUP((H$1)/10,0)*10,[1]Hugst!$R$4:$W$4,0))))</f>
        <v>3437.0458192620495</v>
      </c>
      <c r="I216">
        <f ca="1">IF($C216-I$1&lt;År1,0,H215*(1-VLOOKUP($A216,[1]Hugst!$R$5:$W$9,MATCH(ROUNDUP((I$1)/10,0)*10,[1]Hugst!$R$4:$W$4,0))))</f>
        <v>3439.2398145523471</v>
      </c>
      <c r="J216">
        <f ca="1">IF($C216-J$1&lt;År1,0,I215*(1-VLOOKUP($A216,[1]Hugst!$R$5:$W$9,MATCH(ROUNDUP((J$1)/10,0)*10,[1]Hugst!$R$4:$W$4,0))))</f>
        <v>3441.4773510485315</v>
      </c>
      <c r="K216">
        <f ca="1">IF($C216-K$1&lt;År1,0,J215*(1-VLOOKUP($A216,[1]Hugst!$R$5:$W$9,MATCH(ROUNDUP((K$1)/10,0)*10,[1]Hugst!$R$4:$W$4,0))))</f>
        <v>3443.7586514382451</v>
      </c>
      <c r="L216">
        <f ca="1">IF($C216-L$1&lt;År1,0,K215*(1-VLOOKUP($A216,[1]Hugst!$R$5:$W$9,MATCH(ROUNDUP((L$1)/10,0)*10,[1]Hugst!$R$4:$W$4,0))))</f>
        <v>3446.0839394059653</v>
      </c>
      <c r="M216">
        <f ca="1">IF($C216-M$1&lt;År1,0,L215*(1-VLOOKUP($A216,[1]Hugst!$R$5:$W$9,MATCH(ROUNDUP((M$1)/10,0)*10,[1]Hugst!$R$4:$W$4,0))))</f>
        <v>3448.4534396371851</v>
      </c>
      <c r="N216">
        <f ca="1">IF($C216-N$1&lt;År1,0,M215*(1-VLOOKUP($A216,[1]Hugst!$R$5:$W$9,MATCH(ROUNDUP((N$1)/10,0)*10,[1]Hugst!$R$4:$W$4,0))))</f>
        <v>3450.8673778227417</v>
      </c>
      <c r="O216">
        <f ca="1">IF($C216-O$1&lt;År1,0,N215*(1-VLOOKUP($A216,[1]Hugst!$R$5:$W$9,MATCH(ROUNDUP((O$1)/10,0)*10,[1]Hugst!$R$4:$W$4,0))))</f>
        <v>3448.9310783282303</v>
      </c>
      <c r="P216">
        <f ca="1">IF($C216-P$1&lt;År1,0,O215*(1-VLOOKUP($A216,[1]Hugst!$R$5:$W$9,MATCH(ROUNDUP((P$1)/10,0)*10,[1]Hugst!$R$4:$W$4,0))))</f>
        <v>3434.2810986754585</v>
      </c>
      <c r="Q216">
        <f ca="1">IF($C216-Q$1&lt;År1,0,P215*(1-VLOOKUP($A216,[1]Hugst!$R$5:$W$9,MATCH(ROUNDUP((Q$1)/10,0)*10,[1]Hugst!$R$4:$W$4,0))))</f>
        <v>3419.6655578623158</v>
      </c>
      <c r="R216">
        <f ca="1">IF($C216-R$1&lt;År1,0,Q215*(1-VLOOKUP($A216,[1]Hugst!$R$5:$W$9,MATCH(ROUNDUP((R$1)/10,0)*10,[1]Hugst!$R$4:$W$4,0))))</f>
        <v>3405.0843867197482</v>
      </c>
      <c r="S216">
        <f ca="1">IF($C216-S$1&lt;År1,0,R215*(1-VLOOKUP($A216,[1]Hugst!$R$5:$W$9,MATCH(ROUNDUP((S$1)/10,0)*10,[1]Hugst!$R$4:$W$4,0))))</f>
        <v>3390.5375162484747</v>
      </c>
      <c r="T216">
        <f ca="1">IF($C216-T$1&lt;År1,0,S215*(1-VLOOKUP($A216,[1]Hugst!$R$5:$W$9,MATCH(ROUNDUP((T$1)/10,0)*10,[1]Hugst!$R$4:$W$4,0))))</f>
        <v>3376.0248776188128</v>
      </c>
      <c r="U216">
        <f ca="1">IF($C216-U$1&lt;År1,0,T215*(1-VLOOKUP($A216,[1]Hugst!$R$5:$W$9,MATCH(ROUNDUP((U$1)/10,0)*10,[1]Hugst!$R$4:$W$4,0))))</f>
        <v>3361.5464021704988</v>
      </c>
      <c r="V216">
        <f ca="1">IF($C216-V$1&lt;År1,0,U215*(1-VLOOKUP($A216,[1]Hugst!$R$5:$W$9,MATCH(ROUNDUP((V$1)/10,0)*10,[1]Hugst!$R$4:$W$4,0))))</f>
        <v>3347.1020214122323</v>
      </c>
      <c r="W216">
        <f ca="1">IF($C216-W$1&lt;År1,0,V215*(1-VLOOKUP($A216,[1]Hugst!$R$5:$W$9,MATCH(ROUNDUP((W$1)/10,0)*10,[1]Hugst!$R$4:$W$4,0))))</f>
        <v>3332.6916670212636</v>
      </c>
      <c r="X216">
        <f ca="1">IF($C216-X$1&lt;År1,0,W215*(1-VLOOKUP($A216,[1]Hugst!$R$5:$W$9,MATCH(ROUNDUP((X$1)/10,0)*10,[1]Hugst!$R$4:$W$4,0))))</f>
        <v>5276.9200216319687</v>
      </c>
      <c r="Y216">
        <f ca="1">IF($C216-Y$1&lt;År1,0,X215*(1-VLOOKUP($A216,[1]Hugst!$R$5:$W$9,MATCH(ROUNDUP((Y$1)/10,0)*10,[1]Hugst!$R$4:$W$4,0))))</f>
        <v>5258.2781393986788</v>
      </c>
      <c r="Z216">
        <f ca="1">IF($C216-Z$1&lt;År1,0,Y215*(1-VLOOKUP($A216,[1]Hugst!$R$5:$W$9,MATCH(ROUNDUP((Z$1)/10,0)*10,[1]Hugst!$R$4:$W$4,0))))</f>
        <v>5256.459881430992</v>
      </c>
      <c r="AA216">
        <f ca="1">IF($C216-AA$1&lt;År1,0,Z215*(1-VLOOKUP($A216,[1]Hugst!$R$5:$W$9,MATCH(ROUNDUP((AA$1)/10,0)*10,[1]Hugst!$R$4:$W$4,0))))</f>
        <v>5254.6612967361498</v>
      </c>
      <c r="AB216">
        <f ca="1">IF($C216-AB$1&lt;År1,0,AA215*(1-VLOOKUP($A216,[1]Hugst!$R$5:$W$9,MATCH(ROUNDUP((AB$1)/10,0)*10,[1]Hugst!$R$4:$W$4,0))))</f>
        <v>5252.8824276457926</v>
      </c>
      <c r="AC216">
        <f ca="1">IF($C216-AC$1&lt;År1,0,AB215*(1-VLOOKUP($A216,[1]Hugst!$R$5:$W$9,MATCH(ROUNDUP((AC$1)/10,0)*10,[1]Hugst!$R$4:$W$4,0))))</f>
        <v>5251.1233166918701</v>
      </c>
      <c r="AD216">
        <f ca="1">IF($C216-AD$1&lt;År1,0,AC215*(1-VLOOKUP($A216,[1]Hugst!$R$5:$W$9,MATCH(ROUNDUP((AD$1)/10,0)*10,[1]Hugst!$R$4:$W$4,0))))</f>
        <v>5249.3840066074272</v>
      </c>
      <c r="AE216">
        <f ca="1">IF($C216-AE$1&lt;År1,0,AD215*(1-VLOOKUP($A216,[1]Hugst!$R$5:$W$9,MATCH(ROUNDUP((AE$1)/10,0)*10,[1]Hugst!$R$4:$W$4,0))))</f>
        <v>5247.664540327286</v>
      </c>
      <c r="AF216">
        <f ca="1">IF($C216-AF$1&lt;År1,0,AE215*(1-VLOOKUP($A216,[1]Hugst!$R$5:$W$9,MATCH(ROUNDUP((AF$1)/10,0)*10,[1]Hugst!$R$4:$W$4,0))))</f>
        <v>5245.9649609888129</v>
      </c>
      <c r="AG216">
        <f ca="1">IF($C216-AG$1&lt;År1,0,AF215*(1-VLOOKUP($A216,[1]Hugst!$R$5:$W$9,MATCH(ROUNDUP((AG$1)/10,0)*10,[1]Hugst!$R$4:$W$4,0))))</f>
        <v>5244.2853119325573</v>
      </c>
      <c r="AH216">
        <f ca="1">IF($C216-AH$1&lt;År1,0,AG215*(1-VLOOKUP($A216,[1]Hugst!$R$5:$W$9,MATCH(ROUNDUP((AH$1)/10,0)*10,[1]Hugst!$R$4:$W$4,0))))</f>
        <v>5242.6256367031638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25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846.45822407204105</v>
      </c>
      <c r="E217">
        <f t="shared" ca="1" si="4"/>
        <v>142.59797786378476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3430.7228686024932</v>
      </c>
      <c r="G217">
        <f ca="1">IF($C217-G$1&lt;År1,0,F216*(1-VLOOKUP($A217,[1]Hugst!$R$5:$W$9,MATCH(ROUNDUP((G$1)/10,0)*10,[1]Hugst!$R$4:$W$4,0))))</f>
        <v>3432.7875665034221</v>
      </c>
      <c r="H217">
        <f ca="1">IF($C217-H$1&lt;År1,0,G216*(1-VLOOKUP($A217,[1]Hugst!$R$5:$W$9,MATCH(ROUNDUP((H$1)/10,0)*10,[1]Hugst!$R$4:$W$4,0))))</f>
        <v>3434.895143481695</v>
      </c>
      <c r="I217">
        <f ca="1">IF($C217-I$1&lt;År1,0,H216*(1-VLOOKUP($A217,[1]Hugst!$R$5:$W$9,MATCH(ROUNDUP((I$1)/10,0)*10,[1]Hugst!$R$4:$W$4,0))))</f>
        <v>3437.0458192620495</v>
      </c>
      <c r="J217">
        <f ca="1">IF($C217-J$1&lt;År1,0,I216*(1-VLOOKUP($A217,[1]Hugst!$R$5:$W$9,MATCH(ROUNDUP((J$1)/10,0)*10,[1]Hugst!$R$4:$W$4,0))))</f>
        <v>3439.2398145523471</v>
      </c>
      <c r="K217">
        <f ca="1">IF($C217-K$1&lt;År1,0,J216*(1-VLOOKUP($A217,[1]Hugst!$R$5:$W$9,MATCH(ROUNDUP((K$1)/10,0)*10,[1]Hugst!$R$4:$W$4,0))))</f>
        <v>3441.4773510485315</v>
      </c>
      <c r="L217">
        <f ca="1">IF($C217-L$1&lt;År1,0,K216*(1-VLOOKUP($A217,[1]Hugst!$R$5:$W$9,MATCH(ROUNDUP((L$1)/10,0)*10,[1]Hugst!$R$4:$W$4,0))))</f>
        <v>3443.7586514382451</v>
      </c>
      <c r="M217">
        <f ca="1">IF($C217-M$1&lt;År1,0,L216*(1-VLOOKUP($A217,[1]Hugst!$R$5:$W$9,MATCH(ROUNDUP((M$1)/10,0)*10,[1]Hugst!$R$4:$W$4,0))))</f>
        <v>3446.0839394059653</v>
      </c>
      <c r="N217">
        <f ca="1">IF($C217-N$1&lt;År1,0,M216*(1-VLOOKUP($A217,[1]Hugst!$R$5:$W$9,MATCH(ROUNDUP((N$1)/10,0)*10,[1]Hugst!$R$4:$W$4,0))))</f>
        <v>3448.4534396371851</v>
      </c>
      <c r="O217">
        <f ca="1">IF($C217-O$1&lt;År1,0,N216*(1-VLOOKUP($A217,[1]Hugst!$R$5:$W$9,MATCH(ROUNDUP((O$1)/10,0)*10,[1]Hugst!$R$4:$W$4,0))))</f>
        <v>3450.8673778227417</v>
      </c>
      <c r="P217">
        <f ca="1">IF($C217-P$1&lt;År1,0,O216*(1-VLOOKUP($A217,[1]Hugst!$R$5:$W$9,MATCH(ROUNDUP((P$1)/10,0)*10,[1]Hugst!$R$4:$W$4,0))))</f>
        <v>3441.3602540099487</v>
      </c>
      <c r="Q217">
        <f ca="1">IF($C217-Q$1&lt;År1,0,P216*(1-VLOOKUP($A217,[1]Hugst!$R$5:$W$9,MATCH(ROUNDUP((Q$1)/10,0)*10,[1]Hugst!$R$4:$W$4,0))))</f>
        <v>3426.7424328490979</v>
      </c>
      <c r="R217">
        <f ca="1">IF($C217-R$1&lt;År1,0,Q216*(1-VLOOKUP($A217,[1]Hugst!$R$5:$W$9,MATCH(ROUNDUP((R$1)/10,0)*10,[1]Hugst!$R$4:$W$4,0))))</f>
        <v>3412.158974930423</v>
      </c>
      <c r="S217">
        <f ca="1">IF($C217-S$1&lt;År1,0,R216*(1-VLOOKUP($A217,[1]Hugst!$R$5:$W$9,MATCH(ROUNDUP((S$1)/10,0)*10,[1]Hugst!$R$4:$W$4,0))))</f>
        <v>3397.6098112367049</v>
      </c>
      <c r="T217">
        <f ca="1">IF($C217-T$1&lt;År1,0,S216*(1-VLOOKUP($A217,[1]Hugst!$R$5:$W$9,MATCH(ROUNDUP((T$1)/10,0)*10,[1]Hugst!$R$4:$W$4,0))))</f>
        <v>3383.0948729201245</v>
      </c>
      <c r="U217">
        <f ca="1">IF($C217-U$1&lt;År1,0,T216*(1-VLOOKUP($A217,[1]Hugst!$R$5:$W$9,MATCH(ROUNDUP((U$1)/10,0)*10,[1]Hugst!$R$4:$W$4,0))))</f>
        <v>3368.6140913020886</v>
      </c>
      <c r="V217">
        <f ca="1">IF($C217-V$1&lt;År1,0,U216*(1-VLOOKUP($A217,[1]Hugst!$R$5:$W$9,MATCH(ROUNDUP((V$1)/10,0)*10,[1]Hugst!$R$4:$W$4,0))))</f>
        <v>3354.1673978730514</v>
      </c>
      <c r="W217">
        <f ca="1">IF($C217-W$1&lt;År1,0,V216*(1-VLOOKUP($A217,[1]Hugst!$R$5:$W$9,MATCH(ROUNDUP((W$1)/10,0)*10,[1]Hugst!$R$4:$W$4,0))))</f>
        <v>3339.7547242920591</v>
      </c>
      <c r="X217">
        <f ca="1">IF($C217-X$1&lt;År1,0,W216*(1-VLOOKUP($A217,[1]Hugst!$R$5:$W$9,MATCH(ROUNDUP((X$1)/10,0)*10,[1]Hugst!$R$4:$W$4,0))))</f>
        <v>3325.3760023863388</v>
      </c>
      <c r="Y217">
        <f ca="1">IF($C217-Y$1&lt;År1,0,X216*(1-VLOOKUP($A217,[1]Hugst!$R$5:$W$9,MATCH(ROUNDUP((Y$1)/10,0)*10,[1]Hugst!$R$4:$W$4,0))))</f>
        <v>5265.3365386576543</v>
      </c>
      <c r="Z217">
        <f ca="1">IF($C217-Z$1&lt;År1,0,Y216*(1-VLOOKUP($A217,[1]Hugst!$R$5:$W$9,MATCH(ROUNDUP((Z$1)/10,0)*10,[1]Hugst!$R$4:$W$4,0))))</f>
        <v>5251.8656050823392</v>
      </c>
      <c r="AA217">
        <f ca="1">IF($C217-AA$1&lt;År1,0,Z216*(1-VLOOKUP($A217,[1]Hugst!$R$5:$W$9,MATCH(ROUNDUP((AA$1)/10,0)*10,[1]Hugst!$R$4:$W$4,0))))</f>
        <v>5250.0495645024175</v>
      </c>
      <c r="AB217">
        <f ca="1">IF($C217-AB$1&lt;År1,0,AA216*(1-VLOOKUP($A217,[1]Hugst!$R$5:$W$9,MATCH(ROUNDUP((AB$1)/10,0)*10,[1]Hugst!$R$4:$W$4,0))))</f>
        <v>5248.253173203545</v>
      </c>
      <c r="AC217">
        <f ca="1">IF($C217-AC$1&lt;År1,0,AB216*(1-VLOOKUP($A217,[1]Hugst!$R$5:$W$9,MATCH(ROUNDUP((AC$1)/10,0)*10,[1]Hugst!$R$4:$W$4,0))))</f>
        <v>5246.4764734657365</v>
      </c>
      <c r="AD217">
        <f ca="1">IF($C217-AD$1&lt;År1,0,AC216*(1-VLOOKUP($A217,[1]Hugst!$R$5:$W$9,MATCH(ROUNDUP((AD$1)/10,0)*10,[1]Hugst!$R$4:$W$4,0))))</f>
        <v>5244.7195077690749</v>
      </c>
      <c r="AE217">
        <f ca="1">IF($C217-AE$1&lt;År1,0,AD216*(1-VLOOKUP($A217,[1]Hugst!$R$5:$W$9,MATCH(ROUNDUP((AE$1)/10,0)*10,[1]Hugst!$R$4:$W$4,0))))</f>
        <v>5242.9823187944912</v>
      </c>
      <c r="AF217">
        <f ca="1">IF($C217-AF$1&lt;År1,0,AE216*(1-VLOOKUP($A217,[1]Hugst!$R$5:$W$9,MATCH(ROUNDUP((AF$1)/10,0)*10,[1]Hugst!$R$4:$W$4,0))))</f>
        <v>5241.2649494244479</v>
      </c>
      <c r="AG217">
        <f ca="1">IF($C217-AG$1&lt;År1,0,AF216*(1-VLOOKUP($A217,[1]Hugst!$R$5:$W$9,MATCH(ROUNDUP((AG$1)/10,0)*10,[1]Hugst!$R$4:$W$4,0))))</f>
        <v>5239.5674427437043</v>
      </c>
      <c r="AH217">
        <f ca="1">IF($C217-AH$1&lt;År1,0,AG216*(1-VLOOKUP($A217,[1]Hugst!$R$5:$W$9,MATCH(ROUNDUP((AH$1)/10,0)*10,[1]Hugst!$R$4:$W$4,0))))</f>
        <v>5237.8898420399564</v>
      </c>
      <c r="AI217">
        <f ca="1">IF($C217-AI$1&lt;År1,0,AH216*(1-VLOOKUP($A217,[1]Hugst!$R$5:$W$9,MATCH(ROUNDUP((AI$1)/10,0)*10,[1]Hugst!$R$4:$W$4,0))))</f>
        <v>5236.2321908047452</v>
      </c>
      <c r="AJ217">
        <f>IF($C217-AJ$1&lt;År1,0,AI216*(1-VLOOKUP($A217,[1]Hugst!$R$5:$W$9,MATCH(ROUNDUP((AJ$1)/10,0)*10,[1]Hugst!$R$4:$W$4,0))))</f>
        <v>0</v>
      </c>
    </row>
    <row r="218" spans="1:36" x14ac:dyDescent="0.25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842.22593295169281</v>
      </c>
      <c r="E218">
        <f t="shared" ca="1" si="4"/>
        <v>141.91204367308819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3425.8046432914484</v>
      </c>
      <c r="G218">
        <f ca="1">IF($C218-G$1&lt;År1,0,F217*(1-VLOOKUP($A218,[1]Hugst!$R$5:$W$9,MATCH(ROUNDUP((G$1)/10,0)*10,[1]Hugst!$R$4:$W$4,0))))</f>
        <v>3430.7228686024932</v>
      </c>
      <c r="H218">
        <f ca="1">IF($C218-H$1&lt;År1,0,G217*(1-VLOOKUP($A218,[1]Hugst!$R$5:$W$9,MATCH(ROUNDUP((H$1)/10,0)*10,[1]Hugst!$R$4:$W$4,0))))</f>
        <v>3432.7875665034221</v>
      </c>
      <c r="I218">
        <f ca="1">IF($C218-I$1&lt;År1,0,H217*(1-VLOOKUP($A218,[1]Hugst!$R$5:$W$9,MATCH(ROUNDUP((I$1)/10,0)*10,[1]Hugst!$R$4:$W$4,0))))</f>
        <v>3434.895143481695</v>
      </c>
      <c r="J218">
        <f ca="1">IF($C218-J$1&lt;År1,0,I217*(1-VLOOKUP($A218,[1]Hugst!$R$5:$W$9,MATCH(ROUNDUP((J$1)/10,0)*10,[1]Hugst!$R$4:$W$4,0))))</f>
        <v>3437.0458192620495</v>
      </c>
      <c r="K218">
        <f ca="1">IF($C218-K$1&lt;År1,0,J217*(1-VLOOKUP($A218,[1]Hugst!$R$5:$W$9,MATCH(ROUNDUP((K$1)/10,0)*10,[1]Hugst!$R$4:$W$4,0))))</f>
        <v>3439.2398145523471</v>
      </c>
      <c r="L218">
        <f ca="1">IF($C218-L$1&lt;År1,0,K217*(1-VLOOKUP($A218,[1]Hugst!$R$5:$W$9,MATCH(ROUNDUP((L$1)/10,0)*10,[1]Hugst!$R$4:$W$4,0))))</f>
        <v>3441.4773510485315</v>
      </c>
      <c r="M218">
        <f ca="1">IF($C218-M$1&lt;År1,0,L217*(1-VLOOKUP($A218,[1]Hugst!$R$5:$W$9,MATCH(ROUNDUP((M$1)/10,0)*10,[1]Hugst!$R$4:$W$4,0))))</f>
        <v>3443.7586514382451</v>
      </c>
      <c r="N218">
        <f ca="1">IF($C218-N$1&lt;År1,0,M217*(1-VLOOKUP($A218,[1]Hugst!$R$5:$W$9,MATCH(ROUNDUP((N$1)/10,0)*10,[1]Hugst!$R$4:$W$4,0))))</f>
        <v>3446.0839394059653</v>
      </c>
      <c r="O218">
        <f ca="1">IF($C218-O$1&lt;År1,0,N217*(1-VLOOKUP($A218,[1]Hugst!$R$5:$W$9,MATCH(ROUNDUP((O$1)/10,0)*10,[1]Hugst!$R$4:$W$4,0))))</f>
        <v>3448.4534396371851</v>
      </c>
      <c r="P218">
        <f ca="1">IF($C218-P$1&lt;År1,0,O217*(1-VLOOKUP($A218,[1]Hugst!$R$5:$W$9,MATCH(ROUNDUP((P$1)/10,0)*10,[1]Hugst!$R$4:$W$4,0))))</f>
        <v>3443.2923030909355</v>
      </c>
      <c r="Q218">
        <f ca="1">IF($C218-Q$1&lt;År1,0,P217*(1-VLOOKUP($A218,[1]Hugst!$R$5:$W$9,MATCH(ROUNDUP((Q$1)/10,0)*10,[1]Hugst!$R$4:$W$4,0))))</f>
        <v>3433.8060485743172</v>
      </c>
      <c r="R218">
        <f ca="1">IF($C218-R$1&lt;År1,0,Q217*(1-VLOOKUP($A218,[1]Hugst!$R$5:$W$9,MATCH(ROUNDUP((R$1)/10,0)*10,[1]Hugst!$R$4:$W$4,0))))</f>
        <v>3419.2203153135756</v>
      </c>
      <c r="S218">
        <f ca="1">IF($C218-S$1&lt;År1,0,R217*(1-VLOOKUP($A218,[1]Hugst!$R$5:$W$9,MATCH(ROUNDUP((S$1)/10,0)*10,[1]Hugst!$R$4:$W$4,0))))</f>
        <v>3404.6688698635026</v>
      </c>
      <c r="T218">
        <f ca="1">IF($C218-T$1&lt;År1,0,S217*(1-VLOOKUP($A218,[1]Hugst!$R$5:$W$9,MATCH(ROUNDUP((T$1)/10,0)*10,[1]Hugst!$R$4:$W$4,0))))</f>
        <v>3390.1516433583806</v>
      </c>
      <c r="U218">
        <f ca="1">IF($C218-U$1&lt;År1,0,T217*(1-VLOOKUP($A218,[1]Hugst!$R$5:$W$9,MATCH(ROUNDUP((U$1)/10,0)*10,[1]Hugst!$R$4:$W$4,0))))</f>
        <v>3375.6685671015193</v>
      </c>
      <c r="V218">
        <f ca="1">IF($C218-V$1&lt;År1,0,U217*(1-VLOOKUP($A218,[1]Hugst!$R$5:$W$9,MATCH(ROUNDUP((V$1)/10,0)*10,[1]Hugst!$R$4:$W$4,0))))</f>
        <v>3361.219572565084</v>
      </c>
      <c r="W218">
        <f ca="1">IF($C218-W$1&lt;År1,0,V217*(1-VLOOKUP($A218,[1]Hugst!$R$5:$W$9,MATCH(ROUNDUP((W$1)/10,0)*10,[1]Hugst!$R$4:$W$4,0))))</f>
        <v>3346.8045913899155</v>
      </c>
      <c r="X218">
        <f ca="1">IF($C218-X$1&lt;År1,0,W217*(1-VLOOKUP($A218,[1]Hugst!$R$5:$W$9,MATCH(ROUNDUP((X$1)/10,0)*10,[1]Hugst!$R$4:$W$4,0))))</f>
        <v>3332.4235553850767</v>
      </c>
      <c r="Y218">
        <f ca="1">IF($C218-Y$1&lt;År1,0,X217*(1-VLOOKUP($A218,[1]Hugst!$R$5:$W$9,MATCH(ROUNDUP((Y$1)/10,0)*10,[1]Hugst!$R$4:$W$4,0))))</f>
        <v>3318.0763965274418</v>
      </c>
      <c r="Z218">
        <f ca="1">IF($C218-Z$1&lt;År1,0,Y217*(1-VLOOKUP($A218,[1]Hugst!$R$5:$W$9,MATCH(ROUNDUP((Z$1)/10,0)*10,[1]Hugst!$R$4:$W$4,0))))</f>
        <v>5258.9153965373398</v>
      </c>
      <c r="AA218">
        <f ca="1">IF($C218-AA$1&lt;År1,0,Z217*(1-VLOOKUP($A218,[1]Hugst!$R$5:$W$9,MATCH(ROUNDUP((AA$1)/10,0)*10,[1]Hugst!$R$4:$W$4,0))))</f>
        <v>5245.4608909297995</v>
      </c>
      <c r="AB218">
        <f ca="1">IF($C218-AB$1&lt;År1,0,AA217*(1-VLOOKUP($A218,[1]Hugst!$R$5:$W$9,MATCH(ROUNDUP((AB$1)/10,0)*10,[1]Hugst!$R$4:$W$4,0))))</f>
        <v>5243.6470650335123</v>
      </c>
      <c r="AC218">
        <f ca="1">IF($C218-AC$1&lt;År1,0,AB217*(1-VLOOKUP($A218,[1]Hugst!$R$5:$W$9,MATCH(ROUNDUP((AC$1)/10,0)*10,[1]Hugst!$R$4:$W$4,0))))</f>
        <v>5241.8528644557355</v>
      </c>
      <c r="AD218">
        <f ca="1">IF($C218-AD$1&lt;År1,0,AC217*(1-VLOOKUP($A218,[1]Hugst!$R$5:$W$9,MATCH(ROUNDUP((AD$1)/10,0)*10,[1]Hugst!$R$4:$W$4,0))))</f>
        <v>5240.0783314249247</v>
      </c>
      <c r="AE218">
        <f ca="1">IF($C218-AE$1&lt;År1,0,AD217*(1-VLOOKUP($A218,[1]Hugst!$R$5:$W$9,MATCH(ROUNDUP((AE$1)/10,0)*10,[1]Hugst!$R$4:$W$4,0))))</f>
        <v>5238.3235083693562</v>
      </c>
      <c r="AF218">
        <f ca="1">IF($C218-AF$1&lt;År1,0,AE217*(1-VLOOKUP($A218,[1]Hugst!$R$5:$W$9,MATCH(ROUNDUP((AF$1)/10,0)*10,[1]Hugst!$R$4:$W$4,0))))</f>
        <v>5236.5884379179124</v>
      </c>
      <c r="AG218">
        <f ca="1">IF($C218-AG$1&lt;År1,0,AF217*(1-VLOOKUP($A218,[1]Hugst!$R$5:$W$9,MATCH(ROUNDUP((AG$1)/10,0)*10,[1]Hugst!$R$4:$W$4,0))))</f>
        <v>5234.8731629007598</v>
      </c>
      <c r="AH218">
        <f ca="1">IF($C218-AH$1&lt;År1,0,AG217*(1-VLOOKUP($A218,[1]Hugst!$R$5:$W$9,MATCH(ROUNDUP((AH$1)/10,0)*10,[1]Hugst!$R$4:$W$4,0))))</f>
        <v>5233.1777263501144</v>
      </c>
      <c r="AI218">
        <f ca="1">IF($C218-AI$1&lt;År1,0,AH217*(1-VLOOKUP($A218,[1]Hugst!$R$5:$W$9,MATCH(ROUNDUP((AI$1)/10,0)*10,[1]Hugst!$R$4:$W$4,0))))</f>
        <v>5231.5021715008834</v>
      </c>
      <c r="AJ218">
        <f ca="1">IF($C218-AJ$1&lt;År1,0,AI217*(1-VLOOKUP($A218,[1]Hugst!$R$5:$W$9,MATCH(ROUNDUP((AJ$1)/10,0)*10,[1]Hugst!$R$4:$W$4,0))))</f>
        <v>5232.7200838474982</v>
      </c>
    </row>
    <row r="219" spans="1:36" x14ac:dyDescent="0.25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286.52732634810457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960.76975059052859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25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285.09468971636375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959.33711395878777</v>
      </c>
      <c r="G220">
        <f ca="1">IF($C220-G$1&lt;År1,0,F219*(1-VLOOKUP($A220,[1]Hugst!$R$5:$W$9,MATCH(ROUNDUP((G$1)/10,0)*10,[1]Hugst!$R$4:$W$4,0))))</f>
        <v>960.76975059052859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25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283.66921626778276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957.91164051020678</v>
      </c>
      <c r="G221">
        <f ca="1">IF($C221-G$1&lt;År1,0,F220*(1-VLOOKUP($A221,[1]Hugst!$R$5:$W$9,MATCH(ROUNDUP((G$1)/10,0)*10,[1]Hugst!$R$4:$W$4,0))))</f>
        <v>959.33711395878777</v>
      </c>
      <c r="H221">
        <f ca="1">IF($C221-H$1&lt;År1,0,G220*(1-VLOOKUP($A221,[1]Hugst!$R$5:$W$9,MATCH(ROUNDUP((H$1)/10,0)*10,[1]Hugst!$R$4:$W$4,0))))</f>
        <v>960.76975059052859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25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282.25087018643683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956.49329442886085</v>
      </c>
      <c r="G222">
        <f ca="1">IF($C222-G$1&lt;År1,0,F221*(1-VLOOKUP($A222,[1]Hugst!$R$5:$W$9,MATCH(ROUNDUP((G$1)/10,0)*10,[1]Hugst!$R$4:$W$4,0))))</f>
        <v>957.91164051020678</v>
      </c>
      <c r="H222">
        <f ca="1">IF($C222-H$1&lt;År1,0,G221*(1-VLOOKUP($A222,[1]Hugst!$R$5:$W$9,MATCH(ROUNDUP((H$1)/10,0)*10,[1]Hugst!$R$4:$W$4,0))))</f>
        <v>959.33711395878777</v>
      </c>
      <c r="I222">
        <f ca="1">IF($C222-I$1&lt;År1,0,H221*(1-VLOOKUP($A222,[1]Hugst!$R$5:$W$9,MATCH(ROUNDUP((I$1)/10,0)*10,[1]Hugst!$R$4:$W$4,0))))</f>
        <v>960.76975059052859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25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280.83961583551218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955.0820400779362</v>
      </c>
      <c r="G223">
        <f ca="1">IF($C223-G$1&lt;År1,0,F222*(1-VLOOKUP($A223,[1]Hugst!$R$5:$W$9,MATCH(ROUNDUP((G$1)/10,0)*10,[1]Hugst!$R$4:$W$4,0))))</f>
        <v>956.49329442886085</v>
      </c>
      <c r="H223">
        <f ca="1">IF($C223-H$1&lt;År1,0,G222*(1-VLOOKUP($A223,[1]Hugst!$R$5:$W$9,MATCH(ROUNDUP((H$1)/10,0)*10,[1]Hugst!$R$4:$W$4,0))))</f>
        <v>957.91164051020678</v>
      </c>
      <c r="I223">
        <f ca="1">IF($C223-I$1&lt;År1,0,H222*(1-VLOOKUP($A223,[1]Hugst!$R$5:$W$9,MATCH(ROUNDUP((I$1)/10,0)*10,[1]Hugst!$R$4:$W$4,0))))</f>
        <v>959.33711395878777</v>
      </c>
      <c r="J223">
        <f ca="1">IF($C223-J$1&lt;År1,0,I222*(1-VLOOKUP($A223,[1]Hugst!$R$5:$W$9,MATCH(ROUNDUP((J$1)/10,0)*10,[1]Hugst!$R$4:$W$4,0))))</f>
        <v>960.76975059052859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25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279.4354177563298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953.67784199875382</v>
      </c>
      <c r="G224">
        <f ca="1">IF($C224-G$1&lt;År1,0,F223*(1-VLOOKUP($A224,[1]Hugst!$R$5:$W$9,MATCH(ROUNDUP((G$1)/10,0)*10,[1]Hugst!$R$4:$W$4,0))))</f>
        <v>955.0820400779362</v>
      </c>
      <c r="H224">
        <f ca="1">IF($C224-H$1&lt;År1,0,G223*(1-VLOOKUP($A224,[1]Hugst!$R$5:$W$9,MATCH(ROUNDUP((H$1)/10,0)*10,[1]Hugst!$R$4:$W$4,0))))</f>
        <v>956.49329442886085</v>
      </c>
      <c r="I224">
        <f ca="1">IF($C224-I$1&lt;År1,0,H223*(1-VLOOKUP($A224,[1]Hugst!$R$5:$W$9,MATCH(ROUNDUP((I$1)/10,0)*10,[1]Hugst!$R$4:$W$4,0))))</f>
        <v>957.91164051020678</v>
      </c>
      <c r="J224">
        <f ca="1">IF($C224-J$1&lt;År1,0,I223*(1-VLOOKUP($A224,[1]Hugst!$R$5:$W$9,MATCH(ROUNDUP((J$1)/10,0)*10,[1]Hugst!$R$4:$W$4,0))))</f>
        <v>959.33711395878777</v>
      </c>
      <c r="K224">
        <f ca="1">IF($C224-K$1&lt;År1,0,J223*(1-VLOOKUP($A224,[1]Hugst!$R$5:$W$9,MATCH(ROUNDUP((K$1)/10,0)*10,[1]Hugst!$R$4:$W$4,0))))</f>
        <v>960.76975059052859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25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278.03824066756056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952.28066490998458</v>
      </c>
      <c r="G225">
        <f ca="1">IF($C225-G$1&lt;År1,0,F224*(1-VLOOKUP($A225,[1]Hugst!$R$5:$W$9,MATCH(ROUNDUP((G$1)/10,0)*10,[1]Hugst!$R$4:$W$4,0))))</f>
        <v>953.67784199875382</v>
      </c>
      <c r="H225">
        <f ca="1">IF($C225-H$1&lt;År1,0,G224*(1-VLOOKUP($A225,[1]Hugst!$R$5:$W$9,MATCH(ROUNDUP((H$1)/10,0)*10,[1]Hugst!$R$4:$W$4,0))))</f>
        <v>955.0820400779362</v>
      </c>
      <c r="I225">
        <f ca="1">IF($C225-I$1&lt;År1,0,H224*(1-VLOOKUP($A225,[1]Hugst!$R$5:$W$9,MATCH(ROUNDUP((I$1)/10,0)*10,[1]Hugst!$R$4:$W$4,0))))</f>
        <v>956.49329442886085</v>
      </c>
      <c r="J225">
        <f ca="1">IF($C225-J$1&lt;År1,0,I224*(1-VLOOKUP($A225,[1]Hugst!$R$5:$W$9,MATCH(ROUNDUP((J$1)/10,0)*10,[1]Hugst!$R$4:$W$4,0))))</f>
        <v>957.91164051020678</v>
      </c>
      <c r="K225">
        <f ca="1">IF($C225-K$1&lt;År1,0,J224*(1-VLOOKUP($A225,[1]Hugst!$R$5:$W$9,MATCH(ROUNDUP((K$1)/10,0)*10,[1]Hugst!$R$4:$W$4,0))))</f>
        <v>959.33711395878777</v>
      </c>
      <c r="L225">
        <f ca="1">IF($C225-L$1&lt;År1,0,K224*(1-VLOOKUP($A225,[1]Hugst!$R$5:$W$9,MATCH(ROUNDUP((L$1)/10,0)*10,[1]Hugst!$R$4:$W$4,0))))</f>
        <v>960.76975059052859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25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276.64804946420918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950.8904737066332</v>
      </c>
      <c r="G226">
        <f ca="1">IF($C226-G$1&lt;År1,0,F225*(1-VLOOKUP($A226,[1]Hugst!$R$5:$W$9,MATCH(ROUNDUP((G$1)/10,0)*10,[1]Hugst!$R$4:$W$4,0))))</f>
        <v>952.28066490998458</v>
      </c>
      <c r="H226">
        <f ca="1">IF($C226-H$1&lt;År1,0,G225*(1-VLOOKUP($A226,[1]Hugst!$R$5:$W$9,MATCH(ROUNDUP((H$1)/10,0)*10,[1]Hugst!$R$4:$W$4,0))))</f>
        <v>953.67784199875382</v>
      </c>
      <c r="I226">
        <f ca="1">IF($C226-I$1&lt;År1,0,H225*(1-VLOOKUP($A226,[1]Hugst!$R$5:$W$9,MATCH(ROUNDUP((I$1)/10,0)*10,[1]Hugst!$R$4:$W$4,0))))</f>
        <v>955.0820400779362</v>
      </c>
      <c r="J226">
        <f ca="1">IF($C226-J$1&lt;År1,0,I225*(1-VLOOKUP($A226,[1]Hugst!$R$5:$W$9,MATCH(ROUNDUP((J$1)/10,0)*10,[1]Hugst!$R$4:$W$4,0))))</f>
        <v>956.49329442886085</v>
      </c>
      <c r="K226">
        <f ca="1">IF($C226-K$1&lt;År1,0,J225*(1-VLOOKUP($A226,[1]Hugst!$R$5:$W$9,MATCH(ROUNDUP((K$1)/10,0)*10,[1]Hugst!$R$4:$W$4,0))))</f>
        <v>957.91164051020678</v>
      </c>
      <c r="L226">
        <f ca="1">IF($C226-L$1&lt;År1,0,K225*(1-VLOOKUP($A226,[1]Hugst!$R$5:$W$9,MATCH(ROUNDUP((L$1)/10,0)*10,[1]Hugst!$R$4:$W$4,0))))</f>
        <v>959.33711395878777</v>
      </c>
      <c r="M226">
        <f ca="1">IF($C226-M$1&lt;År1,0,L225*(1-VLOOKUP($A226,[1]Hugst!$R$5:$W$9,MATCH(ROUNDUP((M$1)/10,0)*10,[1]Hugst!$R$4:$W$4,0))))</f>
        <v>960.76975059052859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25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275.26480921689426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949.50723345931829</v>
      </c>
      <c r="G227">
        <f ca="1">IF($C227-G$1&lt;År1,0,F226*(1-VLOOKUP($A227,[1]Hugst!$R$5:$W$9,MATCH(ROUNDUP((G$1)/10,0)*10,[1]Hugst!$R$4:$W$4,0))))</f>
        <v>950.8904737066332</v>
      </c>
      <c r="H227">
        <f ca="1">IF($C227-H$1&lt;År1,0,G226*(1-VLOOKUP($A227,[1]Hugst!$R$5:$W$9,MATCH(ROUNDUP((H$1)/10,0)*10,[1]Hugst!$R$4:$W$4,0))))</f>
        <v>952.28066490998458</v>
      </c>
      <c r="I227">
        <f ca="1">IF($C227-I$1&lt;År1,0,H226*(1-VLOOKUP($A227,[1]Hugst!$R$5:$W$9,MATCH(ROUNDUP((I$1)/10,0)*10,[1]Hugst!$R$4:$W$4,0))))</f>
        <v>953.67784199875382</v>
      </c>
      <c r="J227">
        <f ca="1">IF($C227-J$1&lt;År1,0,I226*(1-VLOOKUP($A227,[1]Hugst!$R$5:$W$9,MATCH(ROUNDUP((J$1)/10,0)*10,[1]Hugst!$R$4:$W$4,0))))</f>
        <v>955.0820400779362</v>
      </c>
      <c r="K227">
        <f ca="1">IF($C227-K$1&lt;År1,0,J226*(1-VLOOKUP($A227,[1]Hugst!$R$5:$W$9,MATCH(ROUNDUP((K$1)/10,0)*10,[1]Hugst!$R$4:$W$4,0))))</f>
        <v>956.49329442886085</v>
      </c>
      <c r="L227">
        <f ca="1">IF($C227-L$1&lt;År1,0,K226*(1-VLOOKUP($A227,[1]Hugst!$R$5:$W$9,MATCH(ROUNDUP((L$1)/10,0)*10,[1]Hugst!$R$4:$W$4,0))))</f>
        <v>957.91164051020678</v>
      </c>
      <c r="M227">
        <f ca="1">IF($C227-M$1&lt;År1,0,L226*(1-VLOOKUP($A227,[1]Hugst!$R$5:$W$9,MATCH(ROUNDUP((M$1)/10,0)*10,[1]Hugst!$R$4:$W$4,0))))</f>
        <v>959.33711395878777</v>
      </c>
      <c r="N227">
        <f ca="1">IF($C227-N$1&lt;År1,0,M226*(1-VLOOKUP($A227,[1]Hugst!$R$5:$W$9,MATCH(ROUNDUP((N$1)/10,0)*10,[1]Hugst!$R$4:$W$4,0))))</f>
        <v>960.76975059052859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25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273.88848517080805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948.13090941323208</v>
      </c>
      <c r="G228">
        <f ca="1">IF($C228-G$1&lt;År1,0,F227*(1-VLOOKUP($A228,[1]Hugst!$R$5:$W$9,MATCH(ROUNDUP((G$1)/10,0)*10,[1]Hugst!$R$4:$W$4,0))))</f>
        <v>949.50723345931829</v>
      </c>
      <c r="H228">
        <f ca="1">IF($C228-H$1&lt;År1,0,G227*(1-VLOOKUP($A228,[1]Hugst!$R$5:$W$9,MATCH(ROUNDUP((H$1)/10,0)*10,[1]Hugst!$R$4:$W$4,0))))</f>
        <v>950.8904737066332</v>
      </c>
      <c r="I228">
        <f ca="1">IF($C228-I$1&lt;År1,0,H227*(1-VLOOKUP($A228,[1]Hugst!$R$5:$W$9,MATCH(ROUNDUP((I$1)/10,0)*10,[1]Hugst!$R$4:$W$4,0))))</f>
        <v>952.28066490998458</v>
      </c>
      <c r="J228">
        <f ca="1">IF($C228-J$1&lt;År1,0,I227*(1-VLOOKUP($A228,[1]Hugst!$R$5:$W$9,MATCH(ROUNDUP((J$1)/10,0)*10,[1]Hugst!$R$4:$W$4,0))))</f>
        <v>953.67784199875382</v>
      </c>
      <c r="K228">
        <f ca="1">IF($C228-K$1&lt;År1,0,J227*(1-VLOOKUP($A228,[1]Hugst!$R$5:$W$9,MATCH(ROUNDUP((K$1)/10,0)*10,[1]Hugst!$R$4:$W$4,0))))</f>
        <v>955.0820400779362</v>
      </c>
      <c r="L228">
        <f ca="1">IF($C228-L$1&lt;År1,0,K227*(1-VLOOKUP($A228,[1]Hugst!$R$5:$W$9,MATCH(ROUNDUP((L$1)/10,0)*10,[1]Hugst!$R$4:$W$4,0))))</f>
        <v>956.49329442886085</v>
      </c>
      <c r="M228">
        <f ca="1">IF($C228-M$1&lt;År1,0,L227*(1-VLOOKUP($A228,[1]Hugst!$R$5:$W$9,MATCH(ROUNDUP((M$1)/10,0)*10,[1]Hugst!$R$4:$W$4,0))))</f>
        <v>957.91164051020678</v>
      </c>
      <c r="N228">
        <f ca="1">IF($C228-N$1&lt;År1,0,M227*(1-VLOOKUP($A228,[1]Hugst!$R$5:$W$9,MATCH(ROUNDUP((N$1)/10,0)*10,[1]Hugst!$R$4:$W$4,0))))</f>
        <v>959.33711395878777</v>
      </c>
      <c r="O228">
        <f ca="1">IF($C228-O$1&lt;År1,0,N227*(1-VLOOKUP($A228,[1]Hugst!$R$5:$W$9,MATCH(ROUNDUP((O$1)/10,0)*10,[1]Hugst!$R$4:$W$4,0))))</f>
        <v>960.76975059052859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25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272.51904274496019</v>
      </c>
      <c r="E229">
        <f t="shared" ca="1" si="5"/>
        <v>2.1090067695895414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948.87047375697375</v>
      </c>
      <c r="G229">
        <f ca="1">IF($C229-G$1&lt;År1,0,F228*(1-VLOOKUP($A229,[1]Hugst!$R$5:$W$9,MATCH(ROUNDUP((G$1)/10,0)*10,[1]Hugst!$R$4:$W$4,0))))</f>
        <v>948.13090941323208</v>
      </c>
      <c r="H229">
        <f ca="1">IF($C229-H$1&lt;År1,0,G228*(1-VLOOKUP($A229,[1]Hugst!$R$5:$W$9,MATCH(ROUNDUP((H$1)/10,0)*10,[1]Hugst!$R$4:$W$4,0))))</f>
        <v>949.50723345931829</v>
      </c>
      <c r="I229">
        <f ca="1">IF($C229-I$1&lt;År1,0,H228*(1-VLOOKUP($A229,[1]Hugst!$R$5:$W$9,MATCH(ROUNDUP((I$1)/10,0)*10,[1]Hugst!$R$4:$W$4,0))))</f>
        <v>950.8904737066332</v>
      </c>
      <c r="J229">
        <f ca="1">IF($C229-J$1&lt;År1,0,I228*(1-VLOOKUP($A229,[1]Hugst!$R$5:$W$9,MATCH(ROUNDUP((J$1)/10,0)*10,[1]Hugst!$R$4:$W$4,0))))</f>
        <v>952.28066490998458</v>
      </c>
      <c r="K229">
        <f ca="1">IF($C229-K$1&lt;År1,0,J228*(1-VLOOKUP($A229,[1]Hugst!$R$5:$W$9,MATCH(ROUNDUP((K$1)/10,0)*10,[1]Hugst!$R$4:$W$4,0))))</f>
        <v>953.67784199875382</v>
      </c>
      <c r="L229">
        <f ca="1">IF($C229-L$1&lt;År1,0,K228*(1-VLOOKUP($A229,[1]Hugst!$R$5:$W$9,MATCH(ROUNDUP((L$1)/10,0)*10,[1]Hugst!$R$4:$W$4,0))))</f>
        <v>955.0820400779362</v>
      </c>
      <c r="M229">
        <f ca="1">IF($C229-M$1&lt;År1,0,L228*(1-VLOOKUP($A229,[1]Hugst!$R$5:$W$9,MATCH(ROUNDUP((M$1)/10,0)*10,[1]Hugst!$R$4:$W$4,0))))</f>
        <v>956.49329442886085</v>
      </c>
      <c r="N229">
        <f ca="1">IF($C229-N$1&lt;År1,0,M228*(1-VLOOKUP($A229,[1]Hugst!$R$5:$W$9,MATCH(ROUNDUP((N$1)/10,0)*10,[1]Hugst!$R$4:$W$4,0))))</f>
        <v>957.91164051020678</v>
      </c>
      <c r="O229">
        <f ca="1">IF($C229-O$1&lt;År1,0,N228*(1-VLOOKUP($A229,[1]Hugst!$R$5:$W$9,MATCH(ROUNDUP((O$1)/10,0)*10,[1]Hugst!$R$4:$W$4,0))))</f>
        <v>959.33711395878777</v>
      </c>
      <c r="P229">
        <f ca="1">IF($C229-P$1&lt;År1,0,O228*(1-VLOOKUP($A229,[1]Hugst!$R$5:$W$9,MATCH(ROUNDUP((P$1)/10,0)*10,[1]Hugst!$R$4:$W$4,0))))</f>
        <v>958.66074382093962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25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271.15644753122115</v>
      </c>
      <c r="E230">
        <f t="shared" ca="1" si="5"/>
        <v>4.2102392000033433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646.20002006455798</v>
      </c>
      <c r="G230">
        <f ca="1">IF($C230-G$1&lt;År1,0,F229*(1-VLOOKUP($A230,[1]Hugst!$R$5:$W$9,MATCH(ROUNDUP((G$1)/10,0)*10,[1]Hugst!$R$4:$W$4,0))))</f>
        <v>948.87047375697375</v>
      </c>
      <c r="H230">
        <f ca="1">IF($C230-H$1&lt;År1,0,G229*(1-VLOOKUP($A230,[1]Hugst!$R$5:$W$9,MATCH(ROUNDUP((H$1)/10,0)*10,[1]Hugst!$R$4:$W$4,0))))</f>
        <v>948.13090941323208</v>
      </c>
      <c r="I230">
        <f ca="1">IF($C230-I$1&lt;År1,0,H229*(1-VLOOKUP($A230,[1]Hugst!$R$5:$W$9,MATCH(ROUNDUP((I$1)/10,0)*10,[1]Hugst!$R$4:$W$4,0))))</f>
        <v>949.50723345931829</v>
      </c>
      <c r="J230">
        <f ca="1">IF($C230-J$1&lt;År1,0,I229*(1-VLOOKUP($A230,[1]Hugst!$R$5:$W$9,MATCH(ROUNDUP((J$1)/10,0)*10,[1]Hugst!$R$4:$W$4,0))))</f>
        <v>950.8904737066332</v>
      </c>
      <c r="K230">
        <f ca="1">IF($C230-K$1&lt;År1,0,J229*(1-VLOOKUP($A230,[1]Hugst!$R$5:$W$9,MATCH(ROUNDUP((K$1)/10,0)*10,[1]Hugst!$R$4:$W$4,0))))</f>
        <v>952.28066490998458</v>
      </c>
      <c r="L230">
        <f ca="1">IF($C230-L$1&lt;År1,0,K229*(1-VLOOKUP($A230,[1]Hugst!$R$5:$W$9,MATCH(ROUNDUP((L$1)/10,0)*10,[1]Hugst!$R$4:$W$4,0))))</f>
        <v>953.67784199875382</v>
      </c>
      <c r="M230">
        <f ca="1">IF($C230-M$1&lt;År1,0,L229*(1-VLOOKUP($A230,[1]Hugst!$R$5:$W$9,MATCH(ROUNDUP((M$1)/10,0)*10,[1]Hugst!$R$4:$W$4,0))))</f>
        <v>955.0820400779362</v>
      </c>
      <c r="N230">
        <f ca="1">IF($C230-N$1&lt;År1,0,M229*(1-VLOOKUP($A230,[1]Hugst!$R$5:$W$9,MATCH(ROUNDUP((N$1)/10,0)*10,[1]Hugst!$R$4:$W$4,0))))</f>
        <v>956.49329442886085</v>
      </c>
      <c r="O230">
        <f ca="1">IF($C230-O$1&lt;År1,0,N229*(1-VLOOKUP($A230,[1]Hugst!$R$5:$W$9,MATCH(ROUNDUP((O$1)/10,0)*10,[1]Hugst!$R$4:$W$4,0))))</f>
        <v>957.91164051020678</v>
      </c>
      <c r="P230">
        <f ca="1">IF($C230-P$1&lt;År1,0,O229*(1-VLOOKUP($A230,[1]Hugst!$R$5:$W$9,MATCH(ROUNDUP((P$1)/10,0)*10,[1]Hugst!$R$4:$W$4,0))))</f>
        <v>957.23125200131722</v>
      </c>
      <c r="Q230">
        <f ca="1">IF($C230-Q$1&lt;År1,0,P229*(1-VLOOKUP($A230,[1]Hugst!$R$5:$W$9,MATCH(ROUNDUP((Q$1)/10,0)*10,[1]Hugst!$R$4:$W$4,0))))</f>
        <v>956.5563665784058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25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269.80066529357509</v>
      </c>
      <c r="E231">
        <f t="shared" ca="1" si="5"/>
        <v>6.3037300809282897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646.93772870783687</v>
      </c>
      <c r="G231">
        <f ca="1">IF($C231-G$1&lt;År1,0,F230*(1-VLOOKUP($A231,[1]Hugst!$R$5:$W$9,MATCH(ROUNDUP((G$1)/10,0)*10,[1]Hugst!$R$4:$W$4,0))))</f>
        <v>646.20002006455798</v>
      </c>
      <c r="H231">
        <f ca="1">IF($C231-H$1&lt;År1,0,G230*(1-VLOOKUP($A231,[1]Hugst!$R$5:$W$9,MATCH(ROUNDUP((H$1)/10,0)*10,[1]Hugst!$R$4:$W$4,0))))</f>
        <v>948.87047375697375</v>
      </c>
      <c r="I231">
        <f ca="1">IF($C231-I$1&lt;År1,0,H230*(1-VLOOKUP($A231,[1]Hugst!$R$5:$W$9,MATCH(ROUNDUP((I$1)/10,0)*10,[1]Hugst!$R$4:$W$4,0))))</f>
        <v>948.13090941323208</v>
      </c>
      <c r="J231">
        <f ca="1">IF($C231-J$1&lt;År1,0,I230*(1-VLOOKUP($A231,[1]Hugst!$R$5:$W$9,MATCH(ROUNDUP((J$1)/10,0)*10,[1]Hugst!$R$4:$W$4,0))))</f>
        <v>949.50723345931829</v>
      </c>
      <c r="K231">
        <f ca="1">IF($C231-K$1&lt;År1,0,J230*(1-VLOOKUP($A231,[1]Hugst!$R$5:$W$9,MATCH(ROUNDUP((K$1)/10,0)*10,[1]Hugst!$R$4:$W$4,0))))</f>
        <v>950.8904737066332</v>
      </c>
      <c r="L231">
        <f ca="1">IF($C231-L$1&lt;År1,0,K230*(1-VLOOKUP($A231,[1]Hugst!$R$5:$W$9,MATCH(ROUNDUP((L$1)/10,0)*10,[1]Hugst!$R$4:$W$4,0))))</f>
        <v>952.28066490998458</v>
      </c>
      <c r="M231">
        <f ca="1">IF($C231-M$1&lt;År1,0,L230*(1-VLOOKUP($A231,[1]Hugst!$R$5:$W$9,MATCH(ROUNDUP((M$1)/10,0)*10,[1]Hugst!$R$4:$W$4,0))))</f>
        <v>953.67784199875382</v>
      </c>
      <c r="N231">
        <f ca="1">IF($C231-N$1&lt;År1,0,M230*(1-VLOOKUP($A231,[1]Hugst!$R$5:$W$9,MATCH(ROUNDUP((N$1)/10,0)*10,[1]Hugst!$R$4:$W$4,0))))</f>
        <v>955.0820400779362</v>
      </c>
      <c r="O231">
        <f ca="1">IF($C231-O$1&lt;År1,0,N230*(1-VLOOKUP($A231,[1]Hugst!$R$5:$W$9,MATCH(ROUNDUP((O$1)/10,0)*10,[1]Hugst!$R$4:$W$4,0))))</f>
        <v>956.49329442886085</v>
      </c>
      <c r="P231">
        <f ca="1">IF($C231-P$1&lt;År1,0,O230*(1-VLOOKUP($A231,[1]Hugst!$R$5:$W$9,MATCH(ROUNDUP((P$1)/10,0)*10,[1]Hugst!$R$4:$W$4,0))))</f>
        <v>955.80890764079413</v>
      </c>
      <c r="Q231">
        <f ca="1">IF($C231-Q$1&lt;År1,0,P230*(1-VLOOKUP($A231,[1]Hugst!$R$5:$W$9,MATCH(ROUNDUP((Q$1)/10,0)*10,[1]Hugst!$R$4:$W$4,0))))</f>
        <v>955.13001266765582</v>
      </c>
      <c r="R231">
        <f ca="1">IF($C231-R$1&lt;År1,0,Q230*(1-VLOOKUP($A231,[1]Hugst!$R$5:$W$9,MATCH(ROUNDUP((R$1)/10,0)*10,[1]Hugst!$R$4:$W$4,0))))</f>
        <v>954.45660870055076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25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268.45166196710352</v>
      </c>
      <c r="E232">
        <f t="shared" ca="1" si="5"/>
        <v>8.3895120514498558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647.67450735188686</v>
      </c>
      <c r="G232">
        <f ca="1">IF($C232-G$1&lt;År1,0,F231*(1-VLOOKUP($A232,[1]Hugst!$R$5:$W$9,MATCH(ROUNDUP((G$1)/10,0)*10,[1]Hugst!$R$4:$W$4,0))))</f>
        <v>646.93772870783687</v>
      </c>
      <c r="H232">
        <f ca="1">IF($C232-H$1&lt;År1,0,G231*(1-VLOOKUP($A232,[1]Hugst!$R$5:$W$9,MATCH(ROUNDUP((H$1)/10,0)*10,[1]Hugst!$R$4:$W$4,0))))</f>
        <v>646.20002006455798</v>
      </c>
      <c r="I232">
        <f ca="1">IF($C232-I$1&lt;År1,0,H231*(1-VLOOKUP($A232,[1]Hugst!$R$5:$W$9,MATCH(ROUNDUP((I$1)/10,0)*10,[1]Hugst!$R$4:$W$4,0))))</f>
        <v>948.87047375697375</v>
      </c>
      <c r="J232">
        <f ca="1">IF($C232-J$1&lt;År1,0,I231*(1-VLOOKUP($A232,[1]Hugst!$R$5:$W$9,MATCH(ROUNDUP((J$1)/10,0)*10,[1]Hugst!$R$4:$W$4,0))))</f>
        <v>948.13090941323208</v>
      </c>
      <c r="K232">
        <f ca="1">IF($C232-K$1&lt;År1,0,J231*(1-VLOOKUP($A232,[1]Hugst!$R$5:$W$9,MATCH(ROUNDUP((K$1)/10,0)*10,[1]Hugst!$R$4:$W$4,0))))</f>
        <v>949.50723345931829</v>
      </c>
      <c r="L232">
        <f ca="1">IF($C232-L$1&lt;År1,0,K231*(1-VLOOKUP($A232,[1]Hugst!$R$5:$W$9,MATCH(ROUNDUP((L$1)/10,0)*10,[1]Hugst!$R$4:$W$4,0))))</f>
        <v>950.8904737066332</v>
      </c>
      <c r="M232">
        <f ca="1">IF($C232-M$1&lt;År1,0,L231*(1-VLOOKUP($A232,[1]Hugst!$R$5:$W$9,MATCH(ROUNDUP((M$1)/10,0)*10,[1]Hugst!$R$4:$W$4,0))))</f>
        <v>952.28066490998458</v>
      </c>
      <c r="N232">
        <f ca="1">IF($C232-N$1&lt;År1,0,M231*(1-VLOOKUP($A232,[1]Hugst!$R$5:$W$9,MATCH(ROUNDUP((N$1)/10,0)*10,[1]Hugst!$R$4:$W$4,0))))</f>
        <v>953.67784199875382</v>
      </c>
      <c r="O232">
        <f ca="1">IF($C232-O$1&lt;År1,0,N231*(1-VLOOKUP($A232,[1]Hugst!$R$5:$W$9,MATCH(ROUNDUP((O$1)/10,0)*10,[1]Hugst!$R$4:$W$4,0))))</f>
        <v>955.0820400779362</v>
      </c>
      <c r="P232">
        <f ca="1">IF($C232-P$1&lt;År1,0,O231*(1-VLOOKUP($A232,[1]Hugst!$R$5:$W$9,MATCH(ROUNDUP((P$1)/10,0)*10,[1]Hugst!$R$4:$W$4,0))))</f>
        <v>954.39367500206583</v>
      </c>
      <c r="Q232">
        <f ca="1">IF($C232-Q$1&lt;År1,0,P231*(1-VLOOKUP($A232,[1]Hugst!$R$5:$W$9,MATCH(ROUNDUP((Q$1)/10,0)*10,[1]Hugst!$R$4:$W$4,0))))</f>
        <v>953.71079052646064</v>
      </c>
      <c r="R232">
        <f ca="1">IF($C232-R$1&lt;År1,0,Q231*(1-VLOOKUP($A232,[1]Hugst!$R$5:$W$9,MATCH(ROUNDUP((R$1)/10,0)*10,[1]Hugst!$R$4:$W$4,0))))</f>
        <v>953.03338581058051</v>
      </c>
      <c r="S232">
        <f ca="1">IF($C232-S$1&lt;År1,0,R231*(1-VLOOKUP($A232,[1]Hugst!$R$5:$W$9,MATCH(ROUNDUP((S$1)/10,0)*10,[1]Hugst!$R$4:$W$4,0))))</f>
        <v>952.36146004730563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25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267.10940365726901</v>
      </c>
      <c r="E233">
        <f t="shared" ca="1" si="5"/>
        <v>10.467617600776066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648.41035459137856</v>
      </c>
      <c r="G233">
        <f ca="1">IF($C233-G$1&lt;År1,0,F232*(1-VLOOKUP($A233,[1]Hugst!$R$5:$W$9,MATCH(ROUNDUP((G$1)/10,0)*10,[1]Hugst!$R$4:$W$4,0))))</f>
        <v>647.67450735188686</v>
      </c>
      <c r="H233">
        <f ca="1">IF($C233-H$1&lt;År1,0,G232*(1-VLOOKUP($A233,[1]Hugst!$R$5:$W$9,MATCH(ROUNDUP((H$1)/10,0)*10,[1]Hugst!$R$4:$W$4,0))))</f>
        <v>646.93772870783687</v>
      </c>
      <c r="I233">
        <f ca="1">IF($C233-I$1&lt;År1,0,H232*(1-VLOOKUP($A233,[1]Hugst!$R$5:$W$9,MATCH(ROUNDUP((I$1)/10,0)*10,[1]Hugst!$R$4:$W$4,0))))</f>
        <v>646.20002006455798</v>
      </c>
      <c r="J233">
        <f ca="1">IF($C233-J$1&lt;År1,0,I232*(1-VLOOKUP($A233,[1]Hugst!$R$5:$W$9,MATCH(ROUNDUP((J$1)/10,0)*10,[1]Hugst!$R$4:$W$4,0))))</f>
        <v>948.87047375697375</v>
      </c>
      <c r="K233">
        <f ca="1">IF($C233-K$1&lt;År1,0,J232*(1-VLOOKUP($A233,[1]Hugst!$R$5:$W$9,MATCH(ROUNDUP((K$1)/10,0)*10,[1]Hugst!$R$4:$W$4,0))))</f>
        <v>948.13090941323208</v>
      </c>
      <c r="L233">
        <f ca="1">IF($C233-L$1&lt;År1,0,K232*(1-VLOOKUP($A233,[1]Hugst!$R$5:$W$9,MATCH(ROUNDUP((L$1)/10,0)*10,[1]Hugst!$R$4:$W$4,0))))</f>
        <v>949.50723345931829</v>
      </c>
      <c r="M233">
        <f ca="1">IF($C233-M$1&lt;År1,0,L232*(1-VLOOKUP($A233,[1]Hugst!$R$5:$W$9,MATCH(ROUNDUP((M$1)/10,0)*10,[1]Hugst!$R$4:$W$4,0))))</f>
        <v>950.8904737066332</v>
      </c>
      <c r="N233">
        <f ca="1">IF($C233-N$1&lt;År1,0,M232*(1-VLOOKUP($A233,[1]Hugst!$R$5:$W$9,MATCH(ROUNDUP((N$1)/10,0)*10,[1]Hugst!$R$4:$W$4,0))))</f>
        <v>952.28066490998458</v>
      </c>
      <c r="O233">
        <f ca="1">IF($C233-O$1&lt;År1,0,N232*(1-VLOOKUP($A233,[1]Hugst!$R$5:$W$9,MATCH(ROUNDUP((O$1)/10,0)*10,[1]Hugst!$R$4:$W$4,0))))</f>
        <v>953.67784199875382</v>
      </c>
      <c r="P233">
        <f ca="1">IF($C233-P$1&lt;År1,0,O232*(1-VLOOKUP($A233,[1]Hugst!$R$5:$W$9,MATCH(ROUNDUP((P$1)/10,0)*10,[1]Hugst!$R$4:$W$4,0))))</f>
        <v>952.98551852654566</v>
      </c>
      <c r="Q233">
        <f ca="1">IF($C233-Q$1&lt;År1,0,P232*(1-VLOOKUP($A233,[1]Hugst!$R$5:$W$9,MATCH(ROUNDUP((Q$1)/10,0)*10,[1]Hugst!$R$4:$W$4,0))))</f>
        <v>952.29866449596375</v>
      </c>
      <c r="R233">
        <f ca="1">IF($C233-R$1&lt;År1,0,Q232*(1-VLOOKUP($A233,[1]Hugst!$R$5:$W$9,MATCH(ROUNDUP((R$1)/10,0)*10,[1]Hugst!$R$4:$W$4,0))))</f>
        <v>951.61727903506107</v>
      </c>
      <c r="S233">
        <f ca="1">IF($C233-S$1&lt;År1,0,R232*(1-VLOOKUP($A233,[1]Hugst!$R$5:$W$9,MATCH(ROUNDUP((S$1)/10,0)*10,[1]Hugst!$R$4:$W$4,0))))</f>
        <v>950.94136130514266</v>
      </c>
      <c r="T233">
        <f ca="1">IF($C233-T$1&lt;År1,0,S232*(1-VLOOKUP($A233,[1]Hugst!$R$5:$W$9,MATCH(ROUNDUP((T$1)/10,0)*10,[1]Hugst!$R$4:$W$4,0))))</f>
        <v>950.27091050086028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25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265.77385663898804</v>
      </c>
      <c r="E234">
        <f t="shared" ca="1" si="5"/>
        <v>12.538079068965089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649.14526904128661</v>
      </c>
      <c r="G234">
        <f ca="1">IF($C234-G$1&lt;År1,0,F233*(1-VLOOKUP($A234,[1]Hugst!$R$5:$W$9,MATCH(ROUNDUP((G$1)/10,0)*10,[1]Hugst!$R$4:$W$4,0))))</f>
        <v>648.41035459137856</v>
      </c>
      <c r="H234">
        <f ca="1">IF($C234-H$1&lt;År1,0,G233*(1-VLOOKUP($A234,[1]Hugst!$R$5:$W$9,MATCH(ROUNDUP((H$1)/10,0)*10,[1]Hugst!$R$4:$W$4,0))))</f>
        <v>647.67450735188686</v>
      </c>
      <c r="I234">
        <f ca="1">IF($C234-I$1&lt;År1,0,H233*(1-VLOOKUP($A234,[1]Hugst!$R$5:$W$9,MATCH(ROUNDUP((I$1)/10,0)*10,[1]Hugst!$R$4:$W$4,0))))</f>
        <v>646.93772870783687</v>
      </c>
      <c r="J234">
        <f ca="1">IF($C234-J$1&lt;År1,0,I233*(1-VLOOKUP($A234,[1]Hugst!$R$5:$W$9,MATCH(ROUNDUP((J$1)/10,0)*10,[1]Hugst!$R$4:$W$4,0))))</f>
        <v>646.20002006455798</v>
      </c>
      <c r="K234">
        <f ca="1">IF($C234-K$1&lt;År1,0,J233*(1-VLOOKUP($A234,[1]Hugst!$R$5:$W$9,MATCH(ROUNDUP((K$1)/10,0)*10,[1]Hugst!$R$4:$W$4,0))))</f>
        <v>948.87047375697375</v>
      </c>
      <c r="L234">
        <f ca="1">IF($C234-L$1&lt;År1,0,K233*(1-VLOOKUP($A234,[1]Hugst!$R$5:$W$9,MATCH(ROUNDUP((L$1)/10,0)*10,[1]Hugst!$R$4:$W$4,0))))</f>
        <v>948.13090941323208</v>
      </c>
      <c r="M234">
        <f ca="1">IF($C234-M$1&lt;År1,0,L233*(1-VLOOKUP($A234,[1]Hugst!$R$5:$W$9,MATCH(ROUNDUP((M$1)/10,0)*10,[1]Hugst!$R$4:$W$4,0))))</f>
        <v>949.50723345931829</v>
      </c>
      <c r="N234">
        <f ca="1">IF($C234-N$1&lt;År1,0,M233*(1-VLOOKUP($A234,[1]Hugst!$R$5:$W$9,MATCH(ROUNDUP((N$1)/10,0)*10,[1]Hugst!$R$4:$W$4,0))))</f>
        <v>950.8904737066332</v>
      </c>
      <c r="O234">
        <f ca="1">IF($C234-O$1&lt;År1,0,N233*(1-VLOOKUP($A234,[1]Hugst!$R$5:$W$9,MATCH(ROUNDUP((O$1)/10,0)*10,[1]Hugst!$R$4:$W$4,0))))</f>
        <v>952.28066490998458</v>
      </c>
      <c r="P234">
        <f ca="1">IF($C234-P$1&lt;År1,0,O233*(1-VLOOKUP($A234,[1]Hugst!$R$5:$W$9,MATCH(ROUNDUP((P$1)/10,0)*10,[1]Hugst!$R$4:$W$4,0))))</f>
        <v>951.58440283339075</v>
      </c>
      <c r="Q234">
        <f ca="1">IF($C234-Q$1&lt;År1,0,P233*(1-VLOOKUP($A234,[1]Hugst!$R$5:$W$9,MATCH(ROUNDUP((Q$1)/10,0)*10,[1]Hugst!$R$4:$W$4,0))))</f>
        <v>950.8935990956337</v>
      </c>
      <c r="R234">
        <f ca="1">IF($C234-R$1&lt;År1,0,Q233*(1-VLOOKUP($A234,[1]Hugst!$R$5:$W$9,MATCH(ROUNDUP((R$1)/10,0)*10,[1]Hugst!$R$4:$W$4,0))))</f>
        <v>950.20825279341159</v>
      </c>
      <c r="S234">
        <f ca="1">IF($C234-S$1&lt;År1,0,R233*(1-VLOOKUP($A234,[1]Hugst!$R$5:$W$9,MATCH(ROUNDUP((S$1)/10,0)*10,[1]Hugst!$R$4:$W$4,0))))</f>
        <v>949.52836305669143</v>
      </c>
      <c r="T234">
        <f ca="1">IF($C234-T$1&lt;År1,0,S233*(1-VLOOKUP($A234,[1]Hugst!$R$5:$W$9,MATCH(ROUNDUP((T$1)/10,0)*10,[1]Hugst!$R$4:$W$4,0))))</f>
        <v>948.85392904861919</v>
      </c>
      <c r="U234">
        <f ca="1">IF($C234-U$1&lt;År1,0,T233*(1-VLOOKUP($A234,[1]Hugst!$R$5:$W$9,MATCH(ROUNDUP((U$1)/10,0)*10,[1]Hugst!$R$4:$W$4,0))))</f>
        <v>948.18494996561446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25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264.444987355786</v>
      </c>
      <c r="E235">
        <f t="shared" ca="1" si="5"/>
        <v>14.600928647643741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649.87924933676322</v>
      </c>
      <c r="G235">
        <f ca="1">IF($C235-G$1&lt;År1,0,F234*(1-VLOOKUP($A235,[1]Hugst!$R$5:$W$9,MATCH(ROUNDUP((G$1)/10,0)*10,[1]Hugst!$R$4:$W$4,0))))</f>
        <v>649.14526904128661</v>
      </c>
      <c r="H235">
        <f ca="1">IF($C235-H$1&lt;År1,0,G234*(1-VLOOKUP($A235,[1]Hugst!$R$5:$W$9,MATCH(ROUNDUP((H$1)/10,0)*10,[1]Hugst!$R$4:$W$4,0))))</f>
        <v>648.41035459137856</v>
      </c>
      <c r="I235">
        <f ca="1">IF($C235-I$1&lt;År1,0,H234*(1-VLOOKUP($A235,[1]Hugst!$R$5:$W$9,MATCH(ROUNDUP((I$1)/10,0)*10,[1]Hugst!$R$4:$W$4,0))))</f>
        <v>647.67450735188686</v>
      </c>
      <c r="J235">
        <f ca="1">IF($C235-J$1&lt;År1,0,I234*(1-VLOOKUP($A235,[1]Hugst!$R$5:$W$9,MATCH(ROUNDUP((J$1)/10,0)*10,[1]Hugst!$R$4:$W$4,0))))</f>
        <v>646.93772870783687</v>
      </c>
      <c r="K235">
        <f ca="1">IF($C235-K$1&lt;År1,0,J234*(1-VLOOKUP($A235,[1]Hugst!$R$5:$W$9,MATCH(ROUNDUP((K$1)/10,0)*10,[1]Hugst!$R$4:$W$4,0))))</f>
        <v>646.20002006455798</v>
      </c>
      <c r="L235">
        <f ca="1">IF($C235-L$1&lt;År1,0,K234*(1-VLOOKUP($A235,[1]Hugst!$R$5:$W$9,MATCH(ROUNDUP((L$1)/10,0)*10,[1]Hugst!$R$4:$W$4,0))))</f>
        <v>948.87047375697375</v>
      </c>
      <c r="M235">
        <f ca="1">IF($C235-M$1&lt;År1,0,L234*(1-VLOOKUP($A235,[1]Hugst!$R$5:$W$9,MATCH(ROUNDUP((M$1)/10,0)*10,[1]Hugst!$R$4:$W$4,0))))</f>
        <v>948.13090941323208</v>
      </c>
      <c r="N235">
        <f ca="1">IF($C235-N$1&lt;År1,0,M234*(1-VLOOKUP($A235,[1]Hugst!$R$5:$W$9,MATCH(ROUNDUP((N$1)/10,0)*10,[1]Hugst!$R$4:$W$4,0))))</f>
        <v>949.50723345931829</v>
      </c>
      <c r="O235">
        <f ca="1">IF($C235-O$1&lt;År1,0,N234*(1-VLOOKUP($A235,[1]Hugst!$R$5:$W$9,MATCH(ROUNDUP((O$1)/10,0)*10,[1]Hugst!$R$4:$W$4,0))))</f>
        <v>950.8904737066332</v>
      </c>
      <c r="P235">
        <f ca="1">IF($C235-P$1&lt;År1,0,O234*(1-VLOOKUP($A235,[1]Hugst!$R$5:$W$9,MATCH(ROUNDUP((P$1)/10,0)*10,[1]Hugst!$R$4:$W$4,0))))</f>
        <v>950.19029271871875</v>
      </c>
      <c r="Q235">
        <f ca="1">IF($C235-Q$1&lt;År1,0,P234*(1-VLOOKUP($A235,[1]Hugst!$R$5:$W$9,MATCH(ROUNDUP((Q$1)/10,0)*10,[1]Hugst!$R$4:$W$4,0))))</f>
        <v>949.49555902229304</v>
      </c>
      <c r="R235">
        <f ca="1">IF($C235-R$1&lt;År1,0,Q234*(1-VLOOKUP($A235,[1]Hugst!$R$5:$W$9,MATCH(ROUNDUP((R$1)/10,0)*10,[1]Hugst!$R$4:$W$4,0))))</f>
        <v>948.80627168298474</v>
      </c>
      <c r="S235">
        <f ca="1">IF($C235-S$1&lt;År1,0,R234*(1-VLOOKUP($A235,[1]Hugst!$R$5:$W$9,MATCH(ROUNDUP((S$1)/10,0)*10,[1]Hugst!$R$4:$W$4,0))))</f>
        <v>948.12242979947484</v>
      </c>
      <c r="T235">
        <f ca="1">IF($C235-T$1&lt;År1,0,S234*(1-VLOOKUP($A235,[1]Hugst!$R$5:$W$9,MATCH(ROUNDUP((T$1)/10,0)*10,[1]Hugst!$R$4:$W$4,0))))</f>
        <v>947.44403250364019</v>
      </c>
      <c r="U235">
        <f ca="1">IF($C235-U$1&lt;År1,0,T234*(1-VLOOKUP($A235,[1]Hugst!$R$5:$W$9,MATCH(ROUNDUP((U$1)/10,0)*10,[1]Hugst!$R$4:$W$4,0))))</f>
        <v>946.77107896046368</v>
      </c>
      <c r="V235">
        <f ca="1">IF($C235-V$1&lt;År1,0,U234*(1-VLOOKUP($A235,[1]Hugst!$R$5:$W$9,MATCH(ROUNDUP((V$1)/10,0)*10,[1]Hugst!$R$4:$W$4,0))))</f>
        <v>946.103568368129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25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263.12276241901054</v>
      </c>
      <c r="E236">
        <f t="shared" ca="1" si="5"/>
        <v>16.656198380696878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650.6122941330409</v>
      </c>
      <c r="G236">
        <f ca="1">IF($C236-G$1&lt;År1,0,F235*(1-VLOOKUP($A236,[1]Hugst!$R$5:$W$9,MATCH(ROUNDUP((G$1)/10,0)*10,[1]Hugst!$R$4:$W$4,0))))</f>
        <v>649.87924933676322</v>
      </c>
      <c r="H236">
        <f ca="1">IF($C236-H$1&lt;År1,0,G235*(1-VLOOKUP($A236,[1]Hugst!$R$5:$W$9,MATCH(ROUNDUP((H$1)/10,0)*10,[1]Hugst!$R$4:$W$4,0))))</f>
        <v>649.14526904128661</v>
      </c>
      <c r="I236">
        <f ca="1">IF($C236-I$1&lt;År1,0,H235*(1-VLOOKUP($A236,[1]Hugst!$R$5:$W$9,MATCH(ROUNDUP((I$1)/10,0)*10,[1]Hugst!$R$4:$W$4,0))))</f>
        <v>648.41035459137856</v>
      </c>
      <c r="J236">
        <f ca="1">IF($C236-J$1&lt;År1,0,I235*(1-VLOOKUP($A236,[1]Hugst!$R$5:$W$9,MATCH(ROUNDUP((J$1)/10,0)*10,[1]Hugst!$R$4:$W$4,0))))</f>
        <v>647.67450735188686</v>
      </c>
      <c r="K236">
        <f ca="1">IF($C236-K$1&lt;År1,0,J235*(1-VLOOKUP($A236,[1]Hugst!$R$5:$W$9,MATCH(ROUNDUP((K$1)/10,0)*10,[1]Hugst!$R$4:$W$4,0))))</f>
        <v>646.93772870783687</v>
      </c>
      <c r="L236">
        <f ca="1">IF($C236-L$1&lt;År1,0,K235*(1-VLOOKUP($A236,[1]Hugst!$R$5:$W$9,MATCH(ROUNDUP((L$1)/10,0)*10,[1]Hugst!$R$4:$W$4,0))))</f>
        <v>646.20002006455798</v>
      </c>
      <c r="M236">
        <f ca="1">IF($C236-M$1&lt;År1,0,L235*(1-VLOOKUP($A236,[1]Hugst!$R$5:$W$9,MATCH(ROUNDUP((M$1)/10,0)*10,[1]Hugst!$R$4:$W$4,0))))</f>
        <v>948.87047375697375</v>
      </c>
      <c r="N236">
        <f ca="1">IF($C236-N$1&lt;År1,0,M235*(1-VLOOKUP($A236,[1]Hugst!$R$5:$W$9,MATCH(ROUNDUP((N$1)/10,0)*10,[1]Hugst!$R$4:$W$4,0))))</f>
        <v>948.13090941323208</v>
      </c>
      <c r="O236">
        <f ca="1">IF($C236-O$1&lt;År1,0,N235*(1-VLOOKUP($A236,[1]Hugst!$R$5:$W$9,MATCH(ROUNDUP((O$1)/10,0)*10,[1]Hugst!$R$4:$W$4,0))))</f>
        <v>949.50723345931829</v>
      </c>
      <c r="P236">
        <f ca="1">IF($C236-P$1&lt;År1,0,O235*(1-VLOOKUP($A236,[1]Hugst!$R$5:$W$9,MATCH(ROUNDUP((P$1)/10,0)*10,[1]Hugst!$R$4:$W$4,0))))</f>
        <v>948.80315315459427</v>
      </c>
      <c r="Q236">
        <f ca="1">IF($C236-Q$1&lt;År1,0,P235*(1-VLOOKUP($A236,[1]Hugst!$R$5:$W$9,MATCH(ROUNDUP((Q$1)/10,0)*10,[1]Hugst!$R$4:$W$4,0))))</f>
        <v>948.1045091493362</v>
      </c>
      <c r="R236">
        <f ca="1">IF($C236-R$1&lt;År1,0,Q235*(1-VLOOKUP($A236,[1]Hugst!$R$5:$W$9,MATCH(ROUNDUP((R$1)/10,0)*10,[1]Hugst!$R$4:$W$4,0))))</f>
        <v>947.4113004780977</v>
      </c>
      <c r="S236">
        <f ca="1">IF($C236-S$1&lt;År1,0,R235*(1-VLOOKUP($A236,[1]Hugst!$R$5:$W$9,MATCH(ROUNDUP((S$1)/10,0)*10,[1]Hugst!$R$4:$W$4,0))))</f>
        <v>946.72352620855872</v>
      </c>
      <c r="T236">
        <f ca="1">IF($C236-T$1&lt;År1,0,S235*(1-VLOOKUP($A236,[1]Hugst!$R$5:$W$9,MATCH(ROUNDUP((T$1)/10,0)*10,[1]Hugst!$R$4:$W$4,0))))</f>
        <v>946.04118544137839</v>
      </c>
      <c r="U236">
        <f ca="1">IF($C236-U$1&lt;År1,0,T235*(1-VLOOKUP($A236,[1]Hugst!$R$5:$W$9,MATCH(ROUNDUP((U$1)/10,0)*10,[1]Hugst!$R$4:$W$4,0))))</f>
        <v>945.3642773103395</v>
      </c>
      <c r="V236">
        <f ca="1">IF($C236-V$1&lt;År1,0,U235*(1-VLOOKUP($A236,[1]Hugst!$R$5:$W$9,MATCH(ROUNDUP((V$1)/10,0)*10,[1]Hugst!$R$4:$W$4,0))))</f>
        <v>944.69280098225784</v>
      </c>
      <c r="W236">
        <f ca="1">IF($C236-W$1&lt;År1,0,V235*(1-VLOOKUP($A236,[1]Hugst!$R$5:$W$9,MATCH(ROUNDUP((W$1)/10,0)*10,[1]Hugst!$R$4:$W$4,0))))</f>
        <v>944.02675565707705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25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261.80714860692024</v>
      </c>
      <c r="E237">
        <f t="shared" ca="1" si="5"/>
        <v>18.703920165020463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651.34440210527418</v>
      </c>
      <c r="G237">
        <f ca="1">IF($C237-G$1&lt;År1,0,F236*(1-VLOOKUP($A237,[1]Hugst!$R$5:$W$9,MATCH(ROUNDUP((G$1)/10,0)*10,[1]Hugst!$R$4:$W$4,0))))</f>
        <v>650.6122941330409</v>
      </c>
      <c r="H237">
        <f ca="1">IF($C237-H$1&lt;År1,0,G236*(1-VLOOKUP($A237,[1]Hugst!$R$5:$W$9,MATCH(ROUNDUP((H$1)/10,0)*10,[1]Hugst!$R$4:$W$4,0))))</f>
        <v>649.87924933676322</v>
      </c>
      <c r="I237">
        <f ca="1">IF($C237-I$1&lt;År1,0,H236*(1-VLOOKUP($A237,[1]Hugst!$R$5:$W$9,MATCH(ROUNDUP((I$1)/10,0)*10,[1]Hugst!$R$4:$W$4,0))))</f>
        <v>649.14526904128661</v>
      </c>
      <c r="J237">
        <f ca="1">IF($C237-J$1&lt;År1,0,I236*(1-VLOOKUP($A237,[1]Hugst!$R$5:$W$9,MATCH(ROUNDUP((J$1)/10,0)*10,[1]Hugst!$R$4:$W$4,0))))</f>
        <v>648.41035459137856</v>
      </c>
      <c r="K237">
        <f ca="1">IF($C237-K$1&lt;År1,0,J236*(1-VLOOKUP($A237,[1]Hugst!$R$5:$W$9,MATCH(ROUNDUP((K$1)/10,0)*10,[1]Hugst!$R$4:$W$4,0))))</f>
        <v>647.67450735188686</v>
      </c>
      <c r="L237">
        <f ca="1">IF($C237-L$1&lt;År1,0,K236*(1-VLOOKUP($A237,[1]Hugst!$R$5:$W$9,MATCH(ROUNDUP((L$1)/10,0)*10,[1]Hugst!$R$4:$W$4,0))))</f>
        <v>646.93772870783687</v>
      </c>
      <c r="M237">
        <f ca="1">IF($C237-M$1&lt;År1,0,L236*(1-VLOOKUP($A237,[1]Hugst!$R$5:$W$9,MATCH(ROUNDUP((M$1)/10,0)*10,[1]Hugst!$R$4:$W$4,0))))</f>
        <v>646.20002006455798</v>
      </c>
      <c r="N237">
        <f ca="1">IF($C237-N$1&lt;År1,0,M236*(1-VLOOKUP($A237,[1]Hugst!$R$5:$W$9,MATCH(ROUNDUP((N$1)/10,0)*10,[1]Hugst!$R$4:$W$4,0))))</f>
        <v>948.87047375697375</v>
      </c>
      <c r="O237">
        <f ca="1">IF($C237-O$1&lt;År1,0,N236*(1-VLOOKUP($A237,[1]Hugst!$R$5:$W$9,MATCH(ROUNDUP((O$1)/10,0)*10,[1]Hugst!$R$4:$W$4,0))))</f>
        <v>948.13090941323208</v>
      </c>
      <c r="P237">
        <f ca="1">IF($C237-P$1&lt;År1,0,O236*(1-VLOOKUP($A237,[1]Hugst!$R$5:$W$9,MATCH(ROUNDUP((P$1)/10,0)*10,[1]Hugst!$R$4:$W$4,0))))</f>
        <v>947.42294928831006</v>
      </c>
      <c r="Q237">
        <f ca="1">IF($C237-Q$1&lt;År1,0,P236*(1-VLOOKUP($A237,[1]Hugst!$R$5:$W$9,MATCH(ROUNDUP((Q$1)/10,0)*10,[1]Hugst!$R$4:$W$4,0))))</f>
        <v>946.7204145257183</v>
      </c>
      <c r="R237">
        <f ca="1">IF($C237-R$1&lt;År1,0,Q236*(1-VLOOKUP($A237,[1]Hugst!$R$5:$W$9,MATCH(ROUNDUP((R$1)/10,0)*10,[1]Hugst!$R$4:$W$4,0))))</f>
        <v>946.02330412925232</v>
      </c>
      <c r="S237">
        <f ca="1">IF($C237-S$1&lt;År1,0,R236*(1-VLOOKUP($A237,[1]Hugst!$R$5:$W$9,MATCH(ROUNDUP((S$1)/10,0)*10,[1]Hugst!$R$4:$W$4,0))))</f>
        <v>945.33161713558479</v>
      </c>
      <c r="T237">
        <f ca="1">IF($C237-T$1&lt;År1,0,S236*(1-VLOOKUP($A237,[1]Hugst!$R$5:$W$9,MATCH(ROUNDUP((T$1)/10,0)*10,[1]Hugst!$R$4:$W$4,0))))</f>
        <v>944.64535261444234</v>
      </c>
      <c r="U237">
        <f ca="1">IF($C237-U$1&lt;År1,0,T236*(1-VLOOKUP($A237,[1]Hugst!$R$5:$W$9,MATCH(ROUNDUP((U$1)/10,0)*10,[1]Hugst!$R$4:$W$4,0))))</f>
        <v>943.96450966845828</v>
      </c>
      <c r="V237">
        <f ca="1">IF($C237-V$1&lt;År1,0,U236*(1-VLOOKUP($A237,[1]Hugst!$R$5:$W$9,MATCH(ROUNDUP((V$1)/10,0)*10,[1]Hugst!$R$4:$W$4,0))))</f>
        <v>943.28908743331681</v>
      </c>
      <c r="W237">
        <f ca="1">IF($C237-W$1&lt;År1,0,V236*(1-VLOOKUP($A237,[1]Hugst!$R$5:$W$9,MATCH(ROUNDUP((W$1)/10,0)*10,[1]Hugst!$R$4:$W$4,0))))</f>
        <v>942.61908507766259</v>
      </c>
      <c r="X237">
        <f ca="1">IF($C237-X$1&lt;År1,0,W236*(1-VLOOKUP($A237,[1]Hugst!$R$5:$W$9,MATCH(ROUNDUP((X$1)/10,0)*10,[1]Hugst!$R$4:$W$4,0))))</f>
        <v>941.95450180319563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25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260.49811286387649</v>
      </c>
      <c r="E238">
        <f t="shared" ca="1" si="5"/>
        <v>20.744125751167303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652.07557194837727</v>
      </c>
      <c r="G238">
        <f ca="1">IF($C238-G$1&lt;År1,0,F237*(1-VLOOKUP($A238,[1]Hugst!$R$5:$W$9,MATCH(ROUNDUP((G$1)/10,0)*10,[1]Hugst!$R$4:$W$4,0))))</f>
        <v>651.34440210527418</v>
      </c>
      <c r="H238">
        <f ca="1">IF($C238-H$1&lt;År1,0,G237*(1-VLOOKUP($A238,[1]Hugst!$R$5:$W$9,MATCH(ROUNDUP((H$1)/10,0)*10,[1]Hugst!$R$4:$W$4,0))))</f>
        <v>650.6122941330409</v>
      </c>
      <c r="I238">
        <f ca="1">IF($C238-I$1&lt;År1,0,H237*(1-VLOOKUP($A238,[1]Hugst!$R$5:$W$9,MATCH(ROUNDUP((I$1)/10,0)*10,[1]Hugst!$R$4:$W$4,0))))</f>
        <v>649.87924933676322</v>
      </c>
      <c r="J238">
        <f ca="1">IF($C238-J$1&lt;År1,0,I237*(1-VLOOKUP($A238,[1]Hugst!$R$5:$W$9,MATCH(ROUNDUP((J$1)/10,0)*10,[1]Hugst!$R$4:$W$4,0))))</f>
        <v>649.14526904128661</v>
      </c>
      <c r="K238">
        <f ca="1">IF($C238-K$1&lt;År1,0,J237*(1-VLOOKUP($A238,[1]Hugst!$R$5:$W$9,MATCH(ROUNDUP((K$1)/10,0)*10,[1]Hugst!$R$4:$W$4,0))))</f>
        <v>648.41035459137856</v>
      </c>
      <c r="L238">
        <f ca="1">IF($C238-L$1&lt;År1,0,K237*(1-VLOOKUP($A238,[1]Hugst!$R$5:$W$9,MATCH(ROUNDUP((L$1)/10,0)*10,[1]Hugst!$R$4:$W$4,0))))</f>
        <v>647.67450735188686</v>
      </c>
      <c r="M238">
        <f ca="1">IF($C238-M$1&lt;År1,0,L237*(1-VLOOKUP($A238,[1]Hugst!$R$5:$W$9,MATCH(ROUNDUP((M$1)/10,0)*10,[1]Hugst!$R$4:$W$4,0))))</f>
        <v>646.93772870783687</v>
      </c>
      <c r="N238">
        <f ca="1">IF($C238-N$1&lt;År1,0,M237*(1-VLOOKUP($A238,[1]Hugst!$R$5:$W$9,MATCH(ROUNDUP((N$1)/10,0)*10,[1]Hugst!$R$4:$W$4,0))))</f>
        <v>646.20002006455798</v>
      </c>
      <c r="O238">
        <f ca="1">IF($C238-O$1&lt;År1,0,N237*(1-VLOOKUP($A238,[1]Hugst!$R$5:$W$9,MATCH(ROUNDUP((O$1)/10,0)*10,[1]Hugst!$R$4:$W$4,0))))</f>
        <v>948.87047375697375</v>
      </c>
      <c r="P238">
        <f ca="1">IF($C238-P$1&lt;År1,0,O237*(1-VLOOKUP($A238,[1]Hugst!$R$5:$W$9,MATCH(ROUNDUP((P$1)/10,0)*10,[1]Hugst!$R$4:$W$4,0))))</f>
        <v>946.04964644134941</v>
      </c>
      <c r="Q238">
        <f ca="1">IF($C238-Q$1&lt;År1,0,P237*(1-VLOOKUP($A238,[1]Hugst!$R$5:$W$9,MATCH(ROUNDUP((Q$1)/10,0)*10,[1]Hugst!$R$4:$W$4,0))))</f>
        <v>945.34324037523811</v>
      </c>
      <c r="R238">
        <f ca="1">IF($C238-R$1&lt;År1,0,Q237*(1-VLOOKUP($A238,[1]Hugst!$R$5:$W$9,MATCH(ROUNDUP((R$1)/10,0)*10,[1]Hugst!$R$4:$W$4,0))))</f>
        <v>944.64224776212529</v>
      </c>
      <c r="S238">
        <f ca="1">IF($C238-S$1&lt;År1,0,R237*(1-VLOOKUP($A238,[1]Hugst!$R$5:$W$9,MATCH(ROUNDUP((S$1)/10,0)*10,[1]Hugst!$R$4:$W$4,0))))</f>
        <v>943.94666760799294</v>
      </c>
      <c r="T238">
        <f ca="1">IF($C238-T$1&lt;År1,0,S237*(1-VLOOKUP($A238,[1]Hugst!$R$5:$W$9,MATCH(ROUNDUP((T$1)/10,0)*10,[1]Hugst!$R$4:$W$4,0))))</f>
        <v>943.2564989516286</v>
      </c>
      <c r="U238">
        <f ca="1">IF($C238-U$1&lt;År1,0,T237*(1-VLOOKUP($A238,[1]Hugst!$R$5:$W$9,MATCH(ROUNDUP((U$1)/10,0)*10,[1]Hugst!$R$4:$W$4,0))))</f>
        <v>942.57174086480086</v>
      </c>
      <c r="V238">
        <f ca="1">IF($C238-V$1&lt;År1,0,U237*(1-VLOOKUP($A238,[1]Hugst!$R$5:$W$9,MATCH(ROUNDUP((V$1)/10,0)*10,[1]Hugst!$R$4:$W$4,0))))</f>
        <v>941.89239245211286</v>
      </c>
      <c r="W238">
        <f ca="1">IF($C238-W$1&lt;År1,0,V237*(1-VLOOKUP($A238,[1]Hugst!$R$5:$W$9,MATCH(ROUNDUP((W$1)/10,0)*10,[1]Hugst!$R$4:$W$4,0))))</f>
        <v>941.21845285114614</v>
      </c>
      <c r="X238">
        <f ca="1">IF($C238-X$1&lt;År1,0,W237*(1-VLOOKUP($A238,[1]Hugst!$R$5:$W$9,MATCH(ROUNDUP((X$1)/10,0)*10,[1]Hugst!$R$4:$W$4,0))))</f>
        <v>940.54992123237014</v>
      </c>
      <c r="Y238">
        <f ca="1">IF($C238-Y$1&lt;År1,0,X237*(1-VLOOKUP($A238,[1]Hugst!$R$5:$W$9,MATCH(ROUNDUP((Y$1)/10,0)*10,[1]Hugst!$R$4:$W$4,0))))</f>
        <v>939.88679679923735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25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259.19562229955955</v>
      </c>
      <c r="E239">
        <f t="shared" ca="1" si="5"/>
        <v>21.864513542604982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651.89346917549801</v>
      </c>
      <c r="G239">
        <f ca="1">IF($C239-G$1&lt;År1,0,F238*(1-VLOOKUP($A239,[1]Hugst!$R$5:$W$9,MATCH(ROUNDUP((G$1)/10,0)*10,[1]Hugst!$R$4:$W$4,0))))</f>
        <v>652.07557194837727</v>
      </c>
      <c r="H239">
        <f ca="1">IF($C239-H$1&lt;År1,0,G238*(1-VLOOKUP($A239,[1]Hugst!$R$5:$W$9,MATCH(ROUNDUP((H$1)/10,0)*10,[1]Hugst!$R$4:$W$4,0))))</f>
        <v>651.34440210527418</v>
      </c>
      <c r="I239">
        <f ca="1">IF($C239-I$1&lt;År1,0,H238*(1-VLOOKUP($A239,[1]Hugst!$R$5:$W$9,MATCH(ROUNDUP((I$1)/10,0)*10,[1]Hugst!$R$4:$W$4,0))))</f>
        <v>650.6122941330409</v>
      </c>
      <c r="J239">
        <f ca="1">IF($C239-J$1&lt;År1,0,I238*(1-VLOOKUP($A239,[1]Hugst!$R$5:$W$9,MATCH(ROUNDUP((J$1)/10,0)*10,[1]Hugst!$R$4:$W$4,0))))</f>
        <v>649.87924933676322</v>
      </c>
      <c r="K239">
        <f ca="1">IF($C239-K$1&lt;År1,0,J238*(1-VLOOKUP($A239,[1]Hugst!$R$5:$W$9,MATCH(ROUNDUP((K$1)/10,0)*10,[1]Hugst!$R$4:$W$4,0))))</f>
        <v>649.14526904128661</v>
      </c>
      <c r="L239">
        <f ca="1">IF($C239-L$1&lt;År1,0,K238*(1-VLOOKUP($A239,[1]Hugst!$R$5:$W$9,MATCH(ROUNDUP((L$1)/10,0)*10,[1]Hugst!$R$4:$W$4,0))))</f>
        <v>648.41035459137856</v>
      </c>
      <c r="M239">
        <f ca="1">IF($C239-M$1&lt;År1,0,L238*(1-VLOOKUP($A239,[1]Hugst!$R$5:$W$9,MATCH(ROUNDUP((M$1)/10,0)*10,[1]Hugst!$R$4:$W$4,0))))</f>
        <v>647.67450735188686</v>
      </c>
      <c r="N239">
        <f ca="1">IF($C239-N$1&lt;År1,0,M238*(1-VLOOKUP($A239,[1]Hugst!$R$5:$W$9,MATCH(ROUNDUP((N$1)/10,0)*10,[1]Hugst!$R$4:$W$4,0))))</f>
        <v>646.93772870783687</v>
      </c>
      <c r="O239">
        <f ca="1">IF($C239-O$1&lt;År1,0,N238*(1-VLOOKUP($A239,[1]Hugst!$R$5:$W$9,MATCH(ROUNDUP((O$1)/10,0)*10,[1]Hugst!$R$4:$W$4,0))))</f>
        <v>646.20002006455798</v>
      </c>
      <c r="P239">
        <f ca="1">IF($C239-P$1&lt;År1,0,O238*(1-VLOOKUP($A239,[1]Hugst!$R$5:$W$9,MATCH(ROUNDUP((P$1)/10,0)*10,[1]Hugst!$R$4:$W$4,0))))</f>
        <v>946.78758735116571</v>
      </c>
      <c r="Q239">
        <f ca="1">IF($C239-Q$1&lt;År1,0,P238*(1-VLOOKUP($A239,[1]Hugst!$R$5:$W$9,MATCH(ROUNDUP((Q$1)/10,0)*10,[1]Hugst!$R$4:$W$4,0))))</f>
        <v>943.97295209550259</v>
      </c>
      <c r="R239">
        <f ca="1">IF($C239-R$1&lt;År1,0,Q238*(1-VLOOKUP($A239,[1]Hugst!$R$5:$W$9,MATCH(ROUNDUP((R$1)/10,0)*10,[1]Hugst!$R$4:$W$4,0))))</f>
        <v>943.26809667685347</v>
      </c>
      <c r="S239">
        <f ca="1">IF($C239-S$1&lt;År1,0,R238*(1-VLOOKUP($A239,[1]Hugst!$R$5:$W$9,MATCH(ROUNDUP((S$1)/10,0)*10,[1]Hugst!$R$4:$W$4,0))))</f>
        <v>942.56864282801325</v>
      </c>
      <c r="T239">
        <f ca="1">IF($C239-T$1&lt;År1,0,S238*(1-VLOOKUP($A239,[1]Hugst!$R$5:$W$9,MATCH(ROUNDUP((T$1)/10,0)*10,[1]Hugst!$R$4:$W$4,0))))</f>
        <v>941.87458955714612</v>
      </c>
      <c r="U239">
        <f ca="1">IF($C239-U$1&lt;År1,0,T238*(1-VLOOKUP($A239,[1]Hugst!$R$5:$W$9,MATCH(ROUNDUP((U$1)/10,0)*10,[1]Hugst!$R$4:$W$4,0))))</f>
        <v>941.18593590514945</v>
      </c>
      <c r="V239">
        <f ca="1">IF($C239-V$1&lt;År1,0,U238*(1-VLOOKUP($A239,[1]Hugst!$R$5:$W$9,MATCH(ROUNDUP((V$1)/10,0)*10,[1]Hugst!$R$4:$W$4,0))))</f>
        <v>940.5026809458293</v>
      </c>
      <c r="W239">
        <f ca="1">IF($C239-W$1&lt;År1,0,V238*(1-VLOOKUP($A239,[1]Hugst!$R$5:$W$9,MATCH(ROUNDUP((W$1)/10,0)*10,[1]Hugst!$R$4:$W$4,0))))</f>
        <v>939.82482378575457</v>
      </c>
      <c r="X239">
        <f ca="1">IF($C239-X$1&lt;År1,0,W238*(1-VLOOKUP($A239,[1]Hugst!$R$5:$W$9,MATCH(ROUNDUP((X$1)/10,0)*10,[1]Hugst!$R$4:$W$4,0))))</f>
        <v>939.15236356439971</v>
      </c>
      <c r="Y239">
        <f ca="1">IF($C239-Y$1&lt;År1,0,X238*(1-VLOOKUP($A239,[1]Hugst!$R$5:$W$9,MATCH(ROUNDUP((Y$1)/10,0)*10,[1]Hugst!$R$4:$W$4,0))))</f>
        <v>938.48529945405517</v>
      </c>
      <c r="Z239">
        <f ca="1">IF($C239-Z$1&lt;År1,0,Y238*(1-VLOOKUP($A239,[1]Hugst!$R$5:$W$9,MATCH(ROUNDUP((Z$1)/10,0)*10,[1]Hugst!$R$4:$W$4,0))))</f>
        <v>938.74059338850657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25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257.89964418806539</v>
      </c>
      <c r="E240">
        <f t="shared" ca="1" si="5"/>
        <v>22.320528951015149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651.05350647241403</v>
      </c>
      <c r="G240">
        <f ca="1">IF($C240-G$1&lt;År1,0,F239*(1-VLOOKUP($A240,[1]Hugst!$R$5:$W$9,MATCH(ROUNDUP((G$1)/10,0)*10,[1]Hugst!$R$4:$W$4,0))))</f>
        <v>651.89346917549801</v>
      </c>
      <c r="H240">
        <f ca="1">IF($C240-H$1&lt;År1,0,G239*(1-VLOOKUP($A240,[1]Hugst!$R$5:$W$9,MATCH(ROUNDUP((H$1)/10,0)*10,[1]Hugst!$R$4:$W$4,0))))</f>
        <v>652.07557194837727</v>
      </c>
      <c r="I240">
        <f ca="1">IF($C240-I$1&lt;År1,0,H239*(1-VLOOKUP($A240,[1]Hugst!$R$5:$W$9,MATCH(ROUNDUP((I$1)/10,0)*10,[1]Hugst!$R$4:$W$4,0))))</f>
        <v>651.34440210527418</v>
      </c>
      <c r="J240">
        <f ca="1">IF($C240-J$1&lt;År1,0,I239*(1-VLOOKUP($A240,[1]Hugst!$R$5:$W$9,MATCH(ROUNDUP((J$1)/10,0)*10,[1]Hugst!$R$4:$W$4,0))))</f>
        <v>650.6122941330409</v>
      </c>
      <c r="K240">
        <f ca="1">IF($C240-K$1&lt;År1,0,J239*(1-VLOOKUP($A240,[1]Hugst!$R$5:$W$9,MATCH(ROUNDUP((K$1)/10,0)*10,[1]Hugst!$R$4:$W$4,0))))</f>
        <v>649.87924933676322</v>
      </c>
      <c r="L240">
        <f ca="1">IF($C240-L$1&lt;År1,0,K239*(1-VLOOKUP($A240,[1]Hugst!$R$5:$W$9,MATCH(ROUNDUP((L$1)/10,0)*10,[1]Hugst!$R$4:$W$4,0))))</f>
        <v>649.14526904128661</v>
      </c>
      <c r="M240">
        <f ca="1">IF($C240-M$1&lt;År1,0,L239*(1-VLOOKUP($A240,[1]Hugst!$R$5:$W$9,MATCH(ROUNDUP((M$1)/10,0)*10,[1]Hugst!$R$4:$W$4,0))))</f>
        <v>648.41035459137856</v>
      </c>
      <c r="N240">
        <f ca="1">IF($C240-N$1&lt;År1,0,M239*(1-VLOOKUP($A240,[1]Hugst!$R$5:$W$9,MATCH(ROUNDUP((N$1)/10,0)*10,[1]Hugst!$R$4:$W$4,0))))</f>
        <v>647.67450735188686</v>
      </c>
      <c r="O240">
        <f ca="1">IF($C240-O$1&lt;År1,0,N239*(1-VLOOKUP($A240,[1]Hugst!$R$5:$W$9,MATCH(ROUNDUP((O$1)/10,0)*10,[1]Hugst!$R$4:$W$4,0))))</f>
        <v>646.93772870783687</v>
      </c>
      <c r="P240">
        <f ca="1">IF($C240-P$1&lt;År1,0,O239*(1-VLOOKUP($A240,[1]Hugst!$R$5:$W$9,MATCH(ROUNDUP((P$1)/10,0)*10,[1]Hugst!$R$4:$W$4,0))))</f>
        <v>644.78153221563582</v>
      </c>
      <c r="Q240">
        <f ca="1">IF($C240-Q$1&lt;År1,0,P239*(1-VLOOKUP($A240,[1]Hugst!$R$5:$W$9,MATCH(ROUNDUP((Q$1)/10,0)*10,[1]Hugst!$R$4:$W$4,0))))</f>
        <v>944.70927313502898</v>
      </c>
      <c r="R240">
        <f ca="1">IF($C240-R$1&lt;År1,0,Q239*(1-VLOOKUP($A240,[1]Hugst!$R$5:$W$9,MATCH(ROUNDUP((R$1)/10,0)*10,[1]Hugst!$R$4:$W$4,0))))</f>
        <v>941.90081634700027</v>
      </c>
      <c r="S240">
        <f ca="1">IF($C240-S$1&lt;År1,0,R239*(1-VLOOKUP($A240,[1]Hugst!$R$5:$W$9,MATCH(ROUNDUP((S$1)/10,0)*10,[1]Hugst!$R$4:$W$4,0))))</f>
        <v>941.19750817195302</v>
      </c>
      <c r="T240">
        <f ca="1">IF($C240-T$1&lt;År1,0,S239*(1-VLOOKUP($A240,[1]Hugst!$R$5:$W$9,MATCH(ROUNDUP((T$1)/10,0)*10,[1]Hugst!$R$4:$W$4,0))))</f>
        <v>940.49958970961029</v>
      </c>
      <c r="U240">
        <f ca="1">IF($C240-U$1&lt;År1,0,T239*(1-VLOOKUP($A240,[1]Hugst!$R$5:$W$9,MATCH(ROUNDUP((U$1)/10,0)*10,[1]Hugst!$R$4:$W$4,0))))</f>
        <v>939.80705997031339</v>
      </c>
      <c r="V240">
        <f ca="1">IF($C240-V$1&lt;År1,0,U239*(1-VLOOKUP($A240,[1]Hugst!$R$5:$W$9,MATCH(ROUNDUP((V$1)/10,0)*10,[1]Hugst!$R$4:$W$4,0))))</f>
        <v>939.11991799706493</v>
      </c>
      <c r="W240">
        <f ca="1">IF($C240-W$1&lt;År1,0,V239*(1-VLOOKUP($A240,[1]Hugst!$R$5:$W$9,MATCH(ROUNDUP((W$1)/10,0)*10,[1]Hugst!$R$4:$W$4,0))))</f>
        <v>938.43816286570427</v>
      </c>
      <c r="X240">
        <f ca="1">IF($C240-X$1&lt;År1,0,W239*(1-VLOOKUP($A240,[1]Hugst!$R$5:$W$9,MATCH(ROUNDUP((X$1)/10,0)*10,[1]Hugst!$R$4:$W$4,0))))</f>
        <v>937.76179368476141</v>
      </c>
      <c r="Y240">
        <f ca="1">IF($C240-Y$1&lt;År1,0,X239*(1-VLOOKUP($A240,[1]Hugst!$R$5:$W$9,MATCH(ROUNDUP((Y$1)/10,0)*10,[1]Hugst!$R$4:$W$4,0))))</f>
        <v>937.09080959559981</v>
      </c>
      <c r="Z240">
        <f ca="1">IF($C240-Z$1&lt;År1,0,Y239*(1-VLOOKUP($A240,[1]Hugst!$R$5:$W$9,MATCH(ROUNDUP((Z$1)/10,0)*10,[1]Hugst!$R$4:$W$4,0))))</f>
        <v>937.34080518642827</v>
      </c>
      <c r="AA240">
        <f ca="1">IF($C240-AA$1&lt;År1,0,Z239*(1-VLOOKUP($A240,[1]Hugst!$R$5:$W$9,MATCH(ROUNDUP((AA$1)/10,0)*10,[1]Hugst!$R$4:$W$4,0))))</f>
        <v>937.59578778681328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25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256.61014596712266</v>
      </c>
      <c r="E241">
        <f t="shared" ca="1" si="5"/>
        <v>22.779638404412253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650.2231177048684</v>
      </c>
      <c r="G241">
        <f ca="1">IF($C241-G$1&lt;År1,0,F240*(1-VLOOKUP($A241,[1]Hugst!$R$5:$W$9,MATCH(ROUNDUP((G$1)/10,0)*10,[1]Hugst!$R$4:$W$4,0))))</f>
        <v>651.05350647241403</v>
      </c>
      <c r="H241">
        <f ca="1">IF($C241-H$1&lt;År1,0,G240*(1-VLOOKUP($A241,[1]Hugst!$R$5:$W$9,MATCH(ROUNDUP((H$1)/10,0)*10,[1]Hugst!$R$4:$W$4,0))))</f>
        <v>651.89346917549801</v>
      </c>
      <c r="I241">
        <f ca="1">IF($C241-I$1&lt;År1,0,H240*(1-VLOOKUP($A241,[1]Hugst!$R$5:$W$9,MATCH(ROUNDUP((I$1)/10,0)*10,[1]Hugst!$R$4:$W$4,0))))</f>
        <v>652.07557194837727</v>
      </c>
      <c r="J241">
        <f ca="1">IF($C241-J$1&lt;År1,0,I240*(1-VLOOKUP($A241,[1]Hugst!$R$5:$W$9,MATCH(ROUNDUP((J$1)/10,0)*10,[1]Hugst!$R$4:$W$4,0))))</f>
        <v>651.34440210527418</v>
      </c>
      <c r="K241">
        <f ca="1">IF($C241-K$1&lt;År1,0,J240*(1-VLOOKUP($A241,[1]Hugst!$R$5:$W$9,MATCH(ROUNDUP((K$1)/10,0)*10,[1]Hugst!$R$4:$W$4,0))))</f>
        <v>650.6122941330409</v>
      </c>
      <c r="L241">
        <f ca="1">IF($C241-L$1&lt;År1,0,K240*(1-VLOOKUP($A241,[1]Hugst!$R$5:$W$9,MATCH(ROUNDUP((L$1)/10,0)*10,[1]Hugst!$R$4:$W$4,0))))</f>
        <v>649.87924933676322</v>
      </c>
      <c r="M241">
        <f ca="1">IF($C241-M$1&lt;År1,0,L240*(1-VLOOKUP($A241,[1]Hugst!$R$5:$W$9,MATCH(ROUNDUP((M$1)/10,0)*10,[1]Hugst!$R$4:$W$4,0))))</f>
        <v>649.14526904128661</v>
      </c>
      <c r="N241">
        <f ca="1">IF($C241-N$1&lt;År1,0,M240*(1-VLOOKUP($A241,[1]Hugst!$R$5:$W$9,MATCH(ROUNDUP((N$1)/10,0)*10,[1]Hugst!$R$4:$W$4,0))))</f>
        <v>648.41035459137856</v>
      </c>
      <c r="O241">
        <f ca="1">IF($C241-O$1&lt;År1,0,N240*(1-VLOOKUP($A241,[1]Hugst!$R$5:$W$9,MATCH(ROUNDUP((O$1)/10,0)*10,[1]Hugst!$R$4:$W$4,0))))</f>
        <v>647.67450735188686</v>
      </c>
      <c r="P241">
        <f ca="1">IF($C241-P$1&lt;År1,0,O240*(1-VLOOKUP($A241,[1]Hugst!$R$5:$W$9,MATCH(ROUNDUP((P$1)/10,0)*10,[1]Hugst!$R$4:$W$4,0))))</f>
        <v>645.51762149847821</v>
      </c>
      <c r="Q241">
        <f ca="1">IF($C241-Q$1&lt;År1,0,P240*(1-VLOOKUP($A241,[1]Hugst!$R$5:$W$9,MATCH(ROUNDUP((Q$1)/10,0)*10,[1]Hugst!$R$4:$W$4,0))))</f>
        <v>643.36615812052833</v>
      </c>
      <c r="R241">
        <f ca="1">IF($C241-R$1&lt;År1,0,Q240*(1-VLOOKUP($A241,[1]Hugst!$R$5:$W$9,MATCH(ROUNDUP((R$1)/10,0)*10,[1]Hugst!$R$4:$W$4,0))))</f>
        <v>942.63552107204964</v>
      </c>
      <c r="S241">
        <f ca="1">IF($C241-S$1&lt;År1,0,R240*(1-VLOOKUP($A241,[1]Hugst!$R$5:$W$9,MATCH(ROUNDUP((S$1)/10,0)*10,[1]Hugst!$R$4:$W$4,0))))</f>
        <v>939.83322918916542</v>
      </c>
      <c r="T241">
        <f ca="1">IF($C241-T$1&lt;År1,0,S240*(1-VLOOKUP($A241,[1]Hugst!$R$5:$W$9,MATCH(ROUNDUP((T$1)/10,0)*10,[1]Hugst!$R$4:$W$4,0))))</f>
        <v>939.13146486133166</v>
      </c>
      <c r="U241">
        <f ca="1">IF($C241-U$1&lt;År1,0,T240*(1-VLOOKUP($A241,[1]Hugst!$R$5:$W$9,MATCH(ROUNDUP((U$1)/10,0)*10,[1]Hugst!$R$4:$W$4,0))))</f>
        <v>938.43507841512576</v>
      </c>
      <c r="V241">
        <f ca="1">IF($C241-V$1&lt;År1,0,U240*(1-VLOOKUP($A241,[1]Hugst!$R$5:$W$9,MATCH(ROUNDUP((V$1)/10,0)*10,[1]Hugst!$R$4:$W$4,0))))</f>
        <v>937.74406886306144</v>
      </c>
      <c r="W241">
        <f ca="1">IF($C241-W$1&lt;År1,0,V240*(1-VLOOKUP($A241,[1]Hugst!$R$5:$W$9,MATCH(ROUNDUP((W$1)/10,0)*10,[1]Hugst!$R$4:$W$4,0))))</f>
        <v>937.05843525024216</v>
      </c>
      <c r="X241">
        <f ca="1">IF($C241-X$1&lt;År1,0,W240*(1-VLOOKUP($A241,[1]Hugst!$R$5:$W$9,MATCH(ROUNDUP((X$1)/10,0)*10,[1]Hugst!$R$4:$W$4,0))))</f>
        <v>936.37817665453565</v>
      </c>
      <c r="Y241">
        <f ca="1">IF($C241-Y$1&lt;År1,0,X240*(1-VLOOKUP($A241,[1]Hugst!$R$5:$W$9,MATCH(ROUNDUP((Y$1)/10,0)*10,[1]Hugst!$R$4:$W$4,0))))</f>
        <v>935.70329218642905</v>
      </c>
      <c r="Z241">
        <f ca="1">IF($C241-Z$1&lt;År1,0,Y240*(1-VLOOKUP($A241,[1]Hugst!$R$5:$W$9,MATCH(ROUNDUP((Z$1)/10,0)*10,[1]Hugst!$R$4:$W$4,0))))</f>
        <v>935.94801592536123</v>
      </c>
      <c r="AA241">
        <f ca="1">IF($C241-AA$1&lt;År1,0,Z240*(1-VLOOKUP($A241,[1]Hugst!$R$5:$W$9,MATCH(ROUNDUP((AA$1)/10,0)*10,[1]Hugst!$R$4:$W$4,0))))</f>
        <v>936.19770664351802</v>
      </c>
      <c r="AB241">
        <f ca="1">IF($C241-AB$1&lt;År1,0,AA240*(1-VLOOKUP($A241,[1]Hugst!$R$5:$W$9,MATCH(ROUNDUP((AB$1)/10,0)*10,[1]Hugst!$R$4:$W$4,0))))</f>
        <v>936.45237828951224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25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255.32709523728954</v>
      </c>
      <c r="E242">
        <f t="shared" ca="1" si="5"/>
        <v>23.241823247986758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649.40225181860978</v>
      </c>
      <c r="G242">
        <f ca="1">IF($C242-G$1&lt;År1,0,F241*(1-VLOOKUP($A242,[1]Hugst!$R$5:$W$9,MATCH(ROUNDUP((G$1)/10,0)*10,[1]Hugst!$R$4:$W$4,0))))</f>
        <v>650.2231177048684</v>
      </c>
      <c r="H242">
        <f ca="1">IF($C242-H$1&lt;År1,0,G241*(1-VLOOKUP($A242,[1]Hugst!$R$5:$W$9,MATCH(ROUNDUP((H$1)/10,0)*10,[1]Hugst!$R$4:$W$4,0))))</f>
        <v>651.05350647241403</v>
      </c>
      <c r="I242">
        <f ca="1">IF($C242-I$1&lt;År1,0,H241*(1-VLOOKUP($A242,[1]Hugst!$R$5:$W$9,MATCH(ROUNDUP((I$1)/10,0)*10,[1]Hugst!$R$4:$W$4,0))))</f>
        <v>651.89346917549801</v>
      </c>
      <c r="J242">
        <f ca="1">IF($C242-J$1&lt;År1,0,I241*(1-VLOOKUP($A242,[1]Hugst!$R$5:$W$9,MATCH(ROUNDUP((J$1)/10,0)*10,[1]Hugst!$R$4:$W$4,0))))</f>
        <v>652.07557194837727</v>
      </c>
      <c r="K242">
        <f ca="1">IF($C242-K$1&lt;År1,0,J241*(1-VLOOKUP($A242,[1]Hugst!$R$5:$W$9,MATCH(ROUNDUP((K$1)/10,0)*10,[1]Hugst!$R$4:$W$4,0))))</f>
        <v>651.34440210527418</v>
      </c>
      <c r="L242">
        <f ca="1">IF($C242-L$1&lt;År1,0,K241*(1-VLOOKUP($A242,[1]Hugst!$R$5:$W$9,MATCH(ROUNDUP((L$1)/10,0)*10,[1]Hugst!$R$4:$W$4,0))))</f>
        <v>650.6122941330409</v>
      </c>
      <c r="M242">
        <f ca="1">IF($C242-M$1&lt;År1,0,L241*(1-VLOOKUP($A242,[1]Hugst!$R$5:$W$9,MATCH(ROUNDUP((M$1)/10,0)*10,[1]Hugst!$R$4:$W$4,0))))</f>
        <v>649.87924933676322</v>
      </c>
      <c r="N242">
        <f ca="1">IF($C242-N$1&lt;År1,0,M241*(1-VLOOKUP($A242,[1]Hugst!$R$5:$W$9,MATCH(ROUNDUP((N$1)/10,0)*10,[1]Hugst!$R$4:$W$4,0))))</f>
        <v>649.14526904128661</v>
      </c>
      <c r="O242">
        <f ca="1">IF($C242-O$1&lt;År1,0,N241*(1-VLOOKUP($A242,[1]Hugst!$R$5:$W$9,MATCH(ROUNDUP((O$1)/10,0)*10,[1]Hugst!$R$4:$W$4,0))))</f>
        <v>648.41035459137856</v>
      </c>
      <c r="P242">
        <f ca="1">IF($C242-P$1&lt;År1,0,O241*(1-VLOOKUP($A242,[1]Hugst!$R$5:$W$9,MATCH(ROUNDUP((P$1)/10,0)*10,[1]Hugst!$R$4:$W$4,0))))</f>
        <v>646.2527828235535</v>
      </c>
      <c r="Q242">
        <f ca="1">IF($C242-Q$1&lt;År1,0,P241*(1-VLOOKUP($A242,[1]Hugst!$R$5:$W$9,MATCH(ROUNDUP((Q$1)/10,0)*10,[1]Hugst!$R$4:$W$4,0))))</f>
        <v>644.10063159762785</v>
      </c>
      <c r="R242">
        <f ca="1">IF($C242-R$1&lt;År1,0,Q241*(1-VLOOKUP($A242,[1]Hugst!$R$5:$W$9,MATCH(ROUNDUP((R$1)/10,0)*10,[1]Hugst!$R$4:$W$4,0))))</f>
        <v>641.95389094416623</v>
      </c>
      <c r="S242">
        <f ca="1">IF($C242-S$1&lt;År1,0,R241*(1-VLOOKUP($A242,[1]Hugst!$R$5:$W$9,MATCH(ROUNDUP((S$1)/10,0)*10,[1]Hugst!$R$4:$W$4,0))))</f>
        <v>940.56632114774516</v>
      </c>
      <c r="T242">
        <f ca="1">IF($C242-T$1&lt;År1,0,S241*(1-VLOOKUP($A242,[1]Hugst!$R$5:$W$9,MATCH(ROUNDUP((T$1)/10,0)*10,[1]Hugst!$R$4:$W$4,0))))</f>
        <v>937.77018063728678</v>
      </c>
      <c r="U242">
        <f ca="1">IF($C242-U$1&lt;År1,0,T241*(1-VLOOKUP($A242,[1]Hugst!$R$5:$W$9,MATCH(ROUNDUP((U$1)/10,0)*10,[1]Hugst!$R$4:$W$4,0))))</f>
        <v>937.06995676773363</v>
      </c>
      <c r="V242">
        <f ca="1">IF($C242-V$1&lt;År1,0,U241*(1-VLOOKUP($A242,[1]Hugst!$R$5:$W$9,MATCH(ROUNDUP((V$1)/10,0)*10,[1]Hugst!$R$4:$W$4,0))))</f>
        <v>936.37509897470227</v>
      </c>
      <c r="W242">
        <f ca="1">IF($C242-W$1&lt;År1,0,V241*(1-VLOOKUP($A242,[1]Hugst!$R$5:$W$9,MATCH(ROUNDUP((W$1)/10,0)*10,[1]Hugst!$R$4:$W$4,0))))</f>
        <v>935.68560627287422</v>
      </c>
      <c r="X242">
        <f ca="1">IF($C242-X$1&lt;År1,0,W241*(1-VLOOKUP($A242,[1]Hugst!$R$5:$W$9,MATCH(ROUNDUP((X$1)/10,0)*10,[1]Hugst!$R$4:$W$4,0))))</f>
        <v>935.00147770944898</v>
      </c>
      <c r="Y242">
        <f ca="1">IF($C242-Y$1&lt;År1,0,X241*(1-VLOOKUP($A242,[1]Hugst!$R$5:$W$9,MATCH(ROUNDUP((Y$1)/10,0)*10,[1]Hugst!$R$4:$W$4,0))))</f>
        <v>934.32271236431836</v>
      </c>
      <c r="Z242">
        <f ca="1">IF($C242-Z$1&lt;År1,0,Y241*(1-VLOOKUP($A242,[1]Hugst!$R$5:$W$9,MATCH(ROUNDUP((Z$1)/10,0)*10,[1]Hugst!$R$4:$W$4,0))))</f>
        <v>934.56219061059198</v>
      </c>
      <c r="AA242">
        <f ca="1">IF($C242-AA$1&lt;År1,0,Z241*(1-VLOOKUP($A242,[1]Hugst!$R$5:$W$9,MATCH(ROUNDUP((AA$1)/10,0)*10,[1]Hugst!$R$4:$W$4,0))))</f>
        <v>934.80661590594002</v>
      </c>
      <c r="AB242">
        <f ca="1">IF($C242-AB$1&lt;År1,0,AA241*(1-VLOOKUP($A242,[1]Hugst!$R$5:$W$9,MATCH(ROUNDUP((AB$1)/10,0)*10,[1]Hugst!$R$4:$W$4,0))))</f>
        <v>935.05600212322099</v>
      </c>
      <c r="AC242">
        <f ca="1">IF($C242-AC$1&lt;År1,0,AB241*(1-VLOOKUP($A242,[1]Hugst!$R$5:$W$9,MATCH(ROUNDUP((AC$1)/10,0)*10,[1]Hugst!$R$4:$W$4,0))))</f>
        <v>935.31036319403722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25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254.05045976109704</v>
      </c>
      <c r="E243">
        <f t="shared" ca="1" si="5"/>
        <v>23.707064910769986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648.59085800520052</v>
      </c>
      <c r="G243">
        <f ca="1">IF($C243-G$1&lt;År1,0,F242*(1-VLOOKUP($A243,[1]Hugst!$R$5:$W$9,MATCH(ROUNDUP((G$1)/10,0)*10,[1]Hugst!$R$4:$W$4,0))))</f>
        <v>649.40225181860978</v>
      </c>
      <c r="H243">
        <f ca="1">IF($C243-H$1&lt;År1,0,G242*(1-VLOOKUP($A243,[1]Hugst!$R$5:$W$9,MATCH(ROUNDUP((H$1)/10,0)*10,[1]Hugst!$R$4:$W$4,0))))</f>
        <v>650.2231177048684</v>
      </c>
      <c r="I243">
        <f ca="1">IF($C243-I$1&lt;År1,0,H242*(1-VLOOKUP($A243,[1]Hugst!$R$5:$W$9,MATCH(ROUNDUP((I$1)/10,0)*10,[1]Hugst!$R$4:$W$4,0))))</f>
        <v>651.05350647241403</v>
      </c>
      <c r="J243">
        <f ca="1">IF($C243-J$1&lt;År1,0,I242*(1-VLOOKUP($A243,[1]Hugst!$R$5:$W$9,MATCH(ROUNDUP((J$1)/10,0)*10,[1]Hugst!$R$4:$W$4,0))))</f>
        <v>651.89346917549801</v>
      </c>
      <c r="K243">
        <f ca="1">IF($C243-K$1&lt;År1,0,J242*(1-VLOOKUP($A243,[1]Hugst!$R$5:$W$9,MATCH(ROUNDUP((K$1)/10,0)*10,[1]Hugst!$R$4:$W$4,0))))</f>
        <v>652.07557194837727</v>
      </c>
      <c r="L243">
        <f ca="1">IF($C243-L$1&lt;År1,0,K242*(1-VLOOKUP($A243,[1]Hugst!$R$5:$W$9,MATCH(ROUNDUP((L$1)/10,0)*10,[1]Hugst!$R$4:$W$4,0))))</f>
        <v>651.34440210527418</v>
      </c>
      <c r="M243">
        <f ca="1">IF($C243-M$1&lt;År1,0,L242*(1-VLOOKUP($A243,[1]Hugst!$R$5:$W$9,MATCH(ROUNDUP((M$1)/10,0)*10,[1]Hugst!$R$4:$W$4,0))))</f>
        <v>650.6122941330409</v>
      </c>
      <c r="N243">
        <f ca="1">IF($C243-N$1&lt;År1,0,M242*(1-VLOOKUP($A243,[1]Hugst!$R$5:$W$9,MATCH(ROUNDUP((N$1)/10,0)*10,[1]Hugst!$R$4:$W$4,0))))</f>
        <v>649.87924933676322</v>
      </c>
      <c r="O243">
        <f ca="1">IF($C243-O$1&lt;År1,0,N242*(1-VLOOKUP($A243,[1]Hugst!$R$5:$W$9,MATCH(ROUNDUP((O$1)/10,0)*10,[1]Hugst!$R$4:$W$4,0))))</f>
        <v>649.14526904128661</v>
      </c>
      <c r="P243">
        <f ca="1">IF($C243-P$1&lt;År1,0,O242*(1-VLOOKUP($A243,[1]Hugst!$R$5:$W$9,MATCH(ROUNDUP((P$1)/10,0)*10,[1]Hugst!$R$4:$W$4,0))))</f>
        <v>646.98701478861699</v>
      </c>
      <c r="Q243">
        <f ca="1">IF($C243-Q$1&lt;År1,0,P242*(1-VLOOKUP($A243,[1]Hugst!$R$5:$W$9,MATCH(ROUNDUP((Q$1)/10,0)*10,[1]Hugst!$R$4:$W$4,0))))</f>
        <v>644.8341791539408</v>
      </c>
      <c r="R243">
        <f ca="1">IF($C243-R$1&lt;År1,0,Q242*(1-VLOOKUP($A243,[1]Hugst!$R$5:$W$9,MATCH(ROUNDUP((R$1)/10,0)*10,[1]Hugst!$R$4:$W$4,0))))</f>
        <v>642.68675216241354</v>
      </c>
      <c r="S243">
        <f ca="1">IF($C243-S$1&lt;År1,0,R242*(1-VLOOKUP($A243,[1]Hugst!$R$5:$W$9,MATCH(ROUNDUP((S$1)/10,0)*10,[1]Hugst!$R$4:$W$4,0))))</f>
        <v>640.54472386648388</v>
      </c>
      <c r="T243">
        <f ca="1">IF($C243-T$1&lt;År1,0,S242*(1-VLOOKUP($A243,[1]Hugst!$R$5:$W$9,MATCH(ROUNDUP((T$1)/10,0)*10,[1]Hugst!$R$4:$W$4,0))))</f>
        <v>938.50166336961593</v>
      </c>
      <c r="U243">
        <f ca="1">IF($C243-U$1&lt;År1,0,T242*(1-VLOOKUP($A243,[1]Hugst!$R$5:$W$9,MATCH(ROUNDUP((U$1)/10,0)*10,[1]Hugst!$R$4:$W$4,0))))</f>
        <v>935.71166072857079</v>
      </c>
      <c r="V243">
        <f ca="1">IF($C243-V$1&lt;År1,0,U242*(1-VLOOKUP($A243,[1]Hugst!$R$5:$W$9,MATCH(ROUNDUP((V$1)/10,0)*10,[1]Hugst!$R$4:$W$4,0))))</f>
        <v>935.01297393580444</v>
      </c>
      <c r="W243">
        <f ca="1">IF($C243-W$1&lt;År1,0,V242*(1-VLOOKUP($A243,[1]Hugst!$R$5:$W$9,MATCH(ROUNDUP((W$1)/10,0)*10,[1]Hugst!$R$4:$W$4,0))))</f>
        <v>934.3196414403676</v>
      </c>
      <c r="X243">
        <f ca="1">IF($C243-X$1&lt;År1,0,W242*(1-VLOOKUP($A243,[1]Hugst!$R$5:$W$9,MATCH(ROUNDUP((X$1)/10,0)*10,[1]Hugst!$R$4:$W$4,0))))</f>
        <v>933.63166225910447</v>
      </c>
      <c r="Y243">
        <f ca="1">IF($C243-Y$1&lt;År1,0,X242*(1-VLOOKUP($A243,[1]Hugst!$R$5:$W$9,MATCH(ROUNDUP((Y$1)/10,0)*10,[1]Hugst!$R$4:$W$4,0))))</f>
        <v>932.94903544130625</v>
      </c>
      <c r="Z243">
        <f ca="1">IF($C243-Z$1&lt;År1,0,Y242*(1-VLOOKUP($A243,[1]Hugst!$R$5:$W$9,MATCH(ROUNDUP((Z$1)/10,0)*10,[1]Hugst!$R$4:$W$4,0))))</f>
        <v>933.18329442241065</v>
      </c>
      <c r="AA243">
        <f ca="1">IF($C243-AA$1&lt;År1,0,Z242*(1-VLOOKUP($A243,[1]Hugst!$R$5:$W$9,MATCH(ROUNDUP((AA$1)/10,0)*10,[1]Hugst!$R$4:$W$4,0))))</f>
        <v>933.42248062204249</v>
      </c>
      <c r="AB243">
        <f ca="1">IF($C243-AB$1&lt;År1,0,AA242*(1-VLOOKUP($A243,[1]Hugst!$R$5:$W$9,MATCH(ROUNDUP((AB$1)/10,0)*10,[1]Hugst!$R$4:$W$4,0))))</f>
        <v>933.66660783776206</v>
      </c>
      <c r="AC243">
        <f ca="1">IF($C243-AC$1&lt;År1,0,AB242*(1-VLOOKUP($A243,[1]Hugst!$R$5:$W$9,MATCH(ROUNDUP((AC$1)/10,0)*10,[1]Hugst!$R$4:$W$4,0))))</f>
        <v>933.9156899255097</v>
      </c>
      <c r="AD243">
        <f ca="1">IF($C243-AD$1&lt;År1,0,AC242*(1-VLOOKUP($A243,[1]Hugst!$R$5:$W$9,MATCH(ROUNDUP((AD$1)/10,0)*10,[1]Hugst!$R$4:$W$4,0))))</f>
        <v>934.16974079989814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25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252.78020746229504</v>
      </c>
      <c r="E244">
        <f t="shared" ca="1" si="5"/>
        <v>24.175344905353995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647.78888570098252</v>
      </c>
      <c r="G244">
        <f ca="1">IF($C244-G$1&lt;År1,0,F243*(1-VLOOKUP($A244,[1]Hugst!$R$5:$W$9,MATCH(ROUNDUP((G$1)/10,0)*10,[1]Hugst!$R$4:$W$4,0))))</f>
        <v>648.59085800520052</v>
      </c>
      <c r="H244">
        <f ca="1">IF($C244-H$1&lt;År1,0,G243*(1-VLOOKUP($A244,[1]Hugst!$R$5:$W$9,MATCH(ROUNDUP((H$1)/10,0)*10,[1]Hugst!$R$4:$W$4,0))))</f>
        <v>649.40225181860978</v>
      </c>
      <c r="I244">
        <f ca="1">IF($C244-I$1&lt;År1,0,H243*(1-VLOOKUP($A244,[1]Hugst!$R$5:$W$9,MATCH(ROUNDUP((I$1)/10,0)*10,[1]Hugst!$R$4:$W$4,0))))</f>
        <v>650.2231177048684</v>
      </c>
      <c r="J244">
        <f ca="1">IF($C244-J$1&lt;År1,0,I243*(1-VLOOKUP($A244,[1]Hugst!$R$5:$W$9,MATCH(ROUNDUP((J$1)/10,0)*10,[1]Hugst!$R$4:$W$4,0))))</f>
        <v>651.05350647241403</v>
      </c>
      <c r="K244">
        <f ca="1">IF($C244-K$1&lt;År1,0,J243*(1-VLOOKUP($A244,[1]Hugst!$R$5:$W$9,MATCH(ROUNDUP((K$1)/10,0)*10,[1]Hugst!$R$4:$W$4,0))))</f>
        <v>651.89346917549801</v>
      </c>
      <c r="L244">
        <f ca="1">IF($C244-L$1&lt;År1,0,K243*(1-VLOOKUP($A244,[1]Hugst!$R$5:$W$9,MATCH(ROUNDUP((L$1)/10,0)*10,[1]Hugst!$R$4:$W$4,0))))</f>
        <v>652.07557194837727</v>
      </c>
      <c r="M244">
        <f ca="1">IF($C244-M$1&lt;År1,0,L243*(1-VLOOKUP($A244,[1]Hugst!$R$5:$W$9,MATCH(ROUNDUP((M$1)/10,0)*10,[1]Hugst!$R$4:$W$4,0))))</f>
        <v>651.34440210527418</v>
      </c>
      <c r="N244">
        <f ca="1">IF($C244-N$1&lt;År1,0,M243*(1-VLOOKUP($A244,[1]Hugst!$R$5:$W$9,MATCH(ROUNDUP((N$1)/10,0)*10,[1]Hugst!$R$4:$W$4,0))))</f>
        <v>650.6122941330409</v>
      </c>
      <c r="O244">
        <f ca="1">IF($C244-O$1&lt;År1,0,N243*(1-VLOOKUP($A244,[1]Hugst!$R$5:$W$9,MATCH(ROUNDUP((O$1)/10,0)*10,[1]Hugst!$R$4:$W$4,0))))</f>
        <v>649.87924933676322</v>
      </c>
      <c r="P244">
        <f ca="1">IF($C244-P$1&lt;År1,0,O243*(1-VLOOKUP($A244,[1]Hugst!$R$5:$W$9,MATCH(ROUNDUP((P$1)/10,0)*10,[1]Hugst!$R$4:$W$4,0))))</f>
        <v>647.72031601168374</v>
      </c>
      <c r="Q244">
        <f ca="1">IF($C244-Q$1&lt;År1,0,P243*(1-VLOOKUP($A244,[1]Hugst!$R$5:$W$9,MATCH(ROUNDUP((Q$1)/10,0)*10,[1]Hugst!$R$4:$W$4,0))))</f>
        <v>645.5667993903005</v>
      </c>
      <c r="R244">
        <f ca="1">IF($C244-R$1&lt;År1,0,Q243*(1-VLOOKUP($A244,[1]Hugst!$R$5:$W$9,MATCH(ROUNDUP((R$1)/10,0)*10,[1]Hugst!$R$4:$W$4,0))))</f>
        <v>643.41868949238335</v>
      </c>
      <c r="S244">
        <f ca="1">IF($C244-S$1&lt;År1,0,R243*(1-VLOOKUP($A244,[1]Hugst!$R$5:$W$9,MATCH(ROUNDUP((S$1)/10,0)*10,[1]Hugst!$R$4:$W$4,0))))</f>
        <v>641.27597636498388</v>
      </c>
      <c r="T244">
        <f ca="1">IF($C244-T$1&lt;År1,0,S243*(1-VLOOKUP($A244,[1]Hugst!$R$5:$W$9,MATCH(ROUNDUP((T$1)/10,0)*10,[1]Hugst!$R$4:$W$4,0))))</f>
        <v>639.13865008238668</v>
      </c>
      <c r="U244">
        <f ca="1">IF($C244-U$1&lt;År1,0,T243*(1-VLOOKUP($A244,[1]Hugst!$R$5:$W$9,MATCH(ROUNDUP((U$1)/10,0)*10,[1]Hugst!$R$4:$W$4,0))))</f>
        <v>936.4415377670972</v>
      </c>
      <c r="V244">
        <f ca="1">IF($C244-V$1&lt;År1,0,U243*(1-VLOOKUP($A244,[1]Hugst!$R$5:$W$9,MATCH(ROUNDUP((V$1)/10,0)*10,[1]Hugst!$R$4:$W$4,0))))</f>
        <v>933.65765952209347</v>
      </c>
      <c r="W244">
        <f ca="1">IF($C244-W$1&lt;År1,0,V243*(1-VLOOKUP($A244,[1]Hugst!$R$5:$W$9,MATCH(ROUNDUP((W$1)/10,0)*10,[1]Hugst!$R$4:$W$4,0))))</f>
        <v>932.96050643204296</v>
      </c>
      <c r="X244">
        <f ca="1">IF($C244-X$1&lt;År1,0,W243*(1-VLOOKUP($A244,[1]Hugst!$R$5:$W$9,MATCH(ROUNDUP((X$1)/10,0)*10,[1]Hugst!$R$4:$W$4,0))))</f>
        <v>932.26869588598629</v>
      </c>
      <c r="Y244">
        <f ca="1">IF($C244-Y$1&lt;År1,0,X243*(1-VLOOKUP($A244,[1]Hugst!$R$5:$W$9,MATCH(ROUNDUP((Y$1)/10,0)*10,[1]Hugst!$R$4:$W$4,0))))</f>
        <v>931.58222690292598</v>
      </c>
      <c r="Z244">
        <f ca="1">IF($C244-Z$1&lt;År1,0,Y243*(1-VLOOKUP($A244,[1]Hugst!$R$5:$W$9,MATCH(ROUNDUP((Z$1)/10,0)*10,[1]Hugst!$R$4:$W$4,0))))</f>
        <v>931.81129271515829</v>
      </c>
      <c r="AA244">
        <f ca="1">IF($C244-AA$1&lt;År1,0,Z243*(1-VLOOKUP($A244,[1]Hugst!$R$5:$W$9,MATCH(ROUNDUP((AA$1)/10,0)*10,[1]Hugst!$R$4:$W$4,0))))</f>
        <v>932.04526601457849</v>
      </c>
      <c r="AB244">
        <f ca="1">IF($C244-AB$1&lt;År1,0,AA243*(1-VLOOKUP($A244,[1]Hugst!$R$5:$W$9,MATCH(ROUNDUP((AB$1)/10,0)*10,[1]Hugst!$R$4:$W$4,0))))</f>
        <v>932.2841605237229</v>
      </c>
      <c r="AC244">
        <f ca="1">IF($C244-AC$1&lt;År1,0,AB243*(1-VLOOKUP($A244,[1]Hugst!$R$5:$W$9,MATCH(ROUNDUP((AC$1)/10,0)*10,[1]Hugst!$R$4:$W$4,0))))</f>
        <v>932.52799002332574</v>
      </c>
      <c r="AD244">
        <f ca="1">IF($C244-AD$1&lt;År1,0,AC243*(1-VLOOKUP($A244,[1]Hugst!$R$5:$W$9,MATCH(ROUNDUP((AD$1)/10,0)*10,[1]Hugst!$R$4:$W$4,0))))</f>
        <v>932.77676835242983</v>
      </c>
      <c r="AE244">
        <f ca="1">IF($C244-AE$1&lt;År1,0,AD243*(1-VLOOKUP($A244,[1]Hugst!$R$5:$W$9,MATCH(ROUNDUP((AE$1)/10,0)*10,[1]Hugst!$R$4:$W$4,0))))</f>
        <v>933.03050940867877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25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251.51630642498912</v>
      </c>
      <c r="E245">
        <f t="shared" ca="1" si="5"/>
        <v>24.646644827385899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646.99628458570851</v>
      </c>
      <c r="G245">
        <f ca="1">IF($C245-G$1&lt;År1,0,F244*(1-VLOOKUP($A245,[1]Hugst!$R$5:$W$9,MATCH(ROUNDUP((G$1)/10,0)*10,[1]Hugst!$R$4:$W$4,0))))</f>
        <v>647.78888570098252</v>
      </c>
      <c r="H245">
        <f ca="1">IF($C245-H$1&lt;År1,0,G244*(1-VLOOKUP($A245,[1]Hugst!$R$5:$W$9,MATCH(ROUNDUP((H$1)/10,0)*10,[1]Hugst!$R$4:$W$4,0))))</f>
        <v>648.59085800520052</v>
      </c>
      <c r="I245">
        <f ca="1">IF($C245-I$1&lt;År1,0,H244*(1-VLOOKUP($A245,[1]Hugst!$R$5:$W$9,MATCH(ROUNDUP((I$1)/10,0)*10,[1]Hugst!$R$4:$W$4,0))))</f>
        <v>649.40225181860978</v>
      </c>
      <c r="J245">
        <f ca="1">IF($C245-J$1&lt;År1,0,I244*(1-VLOOKUP($A245,[1]Hugst!$R$5:$W$9,MATCH(ROUNDUP((J$1)/10,0)*10,[1]Hugst!$R$4:$W$4,0))))</f>
        <v>650.2231177048684</v>
      </c>
      <c r="K245">
        <f ca="1">IF($C245-K$1&lt;År1,0,J244*(1-VLOOKUP($A245,[1]Hugst!$R$5:$W$9,MATCH(ROUNDUP((K$1)/10,0)*10,[1]Hugst!$R$4:$W$4,0))))</f>
        <v>651.05350647241403</v>
      </c>
      <c r="L245">
        <f ca="1">IF($C245-L$1&lt;År1,0,K244*(1-VLOOKUP($A245,[1]Hugst!$R$5:$W$9,MATCH(ROUNDUP((L$1)/10,0)*10,[1]Hugst!$R$4:$W$4,0))))</f>
        <v>651.89346917549801</v>
      </c>
      <c r="M245">
        <f ca="1">IF($C245-M$1&lt;År1,0,L244*(1-VLOOKUP($A245,[1]Hugst!$R$5:$W$9,MATCH(ROUNDUP((M$1)/10,0)*10,[1]Hugst!$R$4:$W$4,0))))</f>
        <v>652.07557194837727</v>
      </c>
      <c r="N245">
        <f ca="1">IF($C245-N$1&lt;År1,0,M244*(1-VLOOKUP($A245,[1]Hugst!$R$5:$W$9,MATCH(ROUNDUP((N$1)/10,0)*10,[1]Hugst!$R$4:$W$4,0))))</f>
        <v>651.34440210527418</v>
      </c>
      <c r="O245">
        <f ca="1">IF($C245-O$1&lt;År1,0,N244*(1-VLOOKUP($A245,[1]Hugst!$R$5:$W$9,MATCH(ROUNDUP((O$1)/10,0)*10,[1]Hugst!$R$4:$W$4,0))))</f>
        <v>650.6122941330409</v>
      </c>
      <c r="P245">
        <f ca="1">IF($C245-P$1&lt;År1,0,O244*(1-VLOOKUP($A245,[1]Hugst!$R$5:$W$9,MATCH(ROUNDUP((P$1)/10,0)*10,[1]Hugst!$R$4:$W$4,0))))</f>
        <v>648.45268513090207</v>
      </c>
      <c r="Q245">
        <f ca="1">IF($C245-Q$1&lt;År1,0,P244*(1-VLOOKUP($A245,[1]Hugst!$R$5:$W$9,MATCH(ROUNDUP((Q$1)/10,0)*10,[1]Hugst!$R$4:$W$4,0))))</f>
        <v>646.29849092775567</v>
      </c>
      <c r="R245">
        <f ca="1">IF($C245-R$1&lt;År1,0,Q244*(1-VLOOKUP($A245,[1]Hugst!$R$5:$W$9,MATCH(ROUNDUP((R$1)/10,0)*10,[1]Hugst!$R$4:$W$4,0))))</f>
        <v>644.14970153798038</v>
      </c>
      <c r="S245">
        <f ca="1">IF($C245-S$1&lt;År1,0,R244*(1-VLOOKUP($A245,[1]Hugst!$R$5:$W$9,MATCH(ROUNDUP((S$1)/10,0)*10,[1]Hugst!$R$4:$W$4,0))))</f>
        <v>642.00630700325371</v>
      </c>
      <c r="T245">
        <f ca="1">IF($C245-T$1&lt;År1,0,S244*(1-VLOOKUP($A245,[1]Hugst!$R$5:$W$9,MATCH(ROUNDUP((T$1)/10,0)*10,[1]Hugst!$R$4:$W$4,0))))</f>
        <v>639.86829739247537</v>
      </c>
      <c r="U245">
        <f ca="1">IF($C245-U$1&lt;År1,0,T244*(1-VLOOKUP($A245,[1]Hugst!$R$5:$W$9,MATCH(ROUNDUP((U$1)/10,0)*10,[1]Hugst!$R$4:$W$4,0))))</f>
        <v>637.73566280171804</v>
      </c>
      <c r="V245">
        <f ca="1">IF($C245-V$1&lt;År1,0,U244*(1-VLOOKUP($A245,[1]Hugst!$R$5:$W$9,MATCH(ROUNDUP((V$1)/10,0)*10,[1]Hugst!$R$4:$W$4,0))))</f>
        <v>934.38593439151089</v>
      </c>
      <c r="W245">
        <f ca="1">IF($C245-W$1&lt;År1,0,V244*(1-VLOOKUP($A245,[1]Hugst!$R$5:$W$9,MATCH(ROUNDUP((W$1)/10,0)*10,[1]Hugst!$R$4:$W$4,0))))</f>
        <v>931.60816709875223</v>
      </c>
      <c r="X245">
        <f ca="1">IF($C245-X$1&lt;År1,0,W244*(1-VLOOKUP($A245,[1]Hugst!$R$5:$W$9,MATCH(ROUNDUP((X$1)/10,0)*10,[1]Hugst!$R$4:$W$4,0))))</f>
        <v>930.91254434475309</v>
      </c>
      <c r="Y245">
        <f ca="1">IF($C245-Y$1&lt;År1,0,X244*(1-VLOOKUP($A245,[1]Hugst!$R$5:$W$9,MATCH(ROUNDUP((Y$1)/10,0)*10,[1]Hugst!$R$4:$W$4,0))))</f>
        <v>930.22225240721218</v>
      </c>
      <c r="Z245">
        <f ca="1">IF($C245-Z$1&lt;År1,0,Y244*(1-VLOOKUP($A245,[1]Hugst!$R$5:$W$9,MATCH(ROUNDUP((Z$1)/10,0)*10,[1]Hugst!$R$4:$W$4,0))))</f>
        <v>930.446151016459</v>
      </c>
      <c r="AA245">
        <f ca="1">IF($C245-AA$1&lt;År1,0,Z244*(1-VLOOKUP($A245,[1]Hugst!$R$5:$W$9,MATCH(ROUNDUP((AA$1)/10,0)*10,[1]Hugst!$R$4:$W$4,0))))</f>
        <v>930.67493748013976</v>
      </c>
      <c r="AB245">
        <f ca="1">IF($C245-AB$1&lt;År1,0,AA244*(1-VLOOKUP($A245,[1]Hugst!$R$5:$W$9,MATCH(ROUNDUP((AB$1)/10,0)*10,[1]Hugst!$R$4:$W$4,0))))</f>
        <v>930.90862544626805</v>
      </c>
      <c r="AC245">
        <f ca="1">IF($C245-AC$1&lt;År1,0,AB244*(1-VLOOKUP($A245,[1]Hugst!$R$5:$W$9,MATCH(ROUNDUP((AC$1)/10,0)*10,[1]Hugst!$R$4:$W$4,0))))</f>
        <v>931.14722862064514</v>
      </c>
      <c r="AD245">
        <f ca="1">IF($C245-AD$1&lt;År1,0,AC244*(1-VLOOKUP($A245,[1]Hugst!$R$5:$W$9,MATCH(ROUNDUP((AD$1)/10,0)*10,[1]Hugst!$R$4:$W$4,0))))</f>
        <v>931.39076076719971</v>
      </c>
      <c r="AE245">
        <f ca="1">IF($C245-AE$1&lt;År1,0,AD244*(1-VLOOKUP($A245,[1]Hugst!$R$5:$W$9,MATCH(ROUNDUP((AE$1)/10,0)*10,[1]Hugst!$R$4:$W$4,0))))</f>
        <v>931.63923570809754</v>
      </c>
      <c r="AF245">
        <f ca="1">IF($C245-AF$1&lt;År1,0,AE244*(1-VLOOKUP($A245,[1]Hugst!$R$5:$W$9,MATCH(ROUNDUP((AF$1)/10,0)*10,[1]Hugst!$R$4:$W$4,0))))</f>
        <v>931.89266732403405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25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250.25872489284848</v>
      </c>
      <c r="E246">
        <f t="shared" ca="1" si="5"/>
        <v>25.120946355298656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646.21300458148062</v>
      </c>
      <c r="G246">
        <f ca="1">IF($C246-G$1&lt;År1,0,F245*(1-VLOOKUP($A246,[1]Hugst!$R$5:$W$9,MATCH(ROUNDUP((G$1)/10,0)*10,[1]Hugst!$R$4:$W$4,0))))</f>
        <v>646.99628458570851</v>
      </c>
      <c r="H246">
        <f ca="1">IF($C246-H$1&lt;År1,0,G245*(1-VLOOKUP($A246,[1]Hugst!$R$5:$W$9,MATCH(ROUNDUP((H$1)/10,0)*10,[1]Hugst!$R$4:$W$4,0))))</f>
        <v>647.78888570098252</v>
      </c>
      <c r="I246">
        <f ca="1">IF($C246-I$1&lt;År1,0,H245*(1-VLOOKUP($A246,[1]Hugst!$R$5:$W$9,MATCH(ROUNDUP((I$1)/10,0)*10,[1]Hugst!$R$4:$W$4,0))))</f>
        <v>648.59085800520052</v>
      </c>
      <c r="J246">
        <f ca="1">IF($C246-J$1&lt;År1,0,I245*(1-VLOOKUP($A246,[1]Hugst!$R$5:$W$9,MATCH(ROUNDUP((J$1)/10,0)*10,[1]Hugst!$R$4:$W$4,0))))</f>
        <v>649.40225181860978</v>
      </c>
      <c r="K246">
        <f ca="1">IF($C246-K$1&lt;År1,0,J245*(1-VLOOKUP($A246,[1]Hugst!$R$5:$W$9,MATCH(ROUNDUP((K$1)/10,0)*10,[1]Hugst!$R$4:$W$4,0))))</f>
        <v>650.2231177048684</v>
      </c>
      <c r="L246">
        <f ca="1">IF($C246-L$1&lt;År1,0,K245*(1-VLOOKUP($A246,[1]Hugst!$R$5:$W$9,MATCH(ROUNDUP((L$1)/10,0)*10,[1]Hugst!$R$4:$W$4,0))))</f>
        <v>651.05350647241403</v>
      </c>
      <c r="M246">
        <f ca="1">IF($C246-M$1&lt;År1,0,L245*(1-VLOOKUP($A246,[1]Hugst!$R$5:$W$9,MATCH(ROUNDUP((M$1)/10,0)*10,[1]Hugst!$R$4:$W$4,0))))</f>
        <v>651.89346917549801</v>
      </c>
      <c r="N246">
        <f ca="1">IF($C246-N$1&lt;År1,0,M245*(1-VLOOKUP($A246,[1]Hugst!$R$5:$W$9,MATCH(ROUNDUP((N$1)/10,0)*10,[1]Hugst!$R$4:$W$4,0))))</f>
        <v>652.07557194837727</v>
      </c>
      <c r="O246">
        <f ca="1">IF($C246-O$1&lt;År1,0,N245*(1-VLOOKUP($A246,[1]Hugst!$R$5:$W$9,MATCH(ROUNDUP((O$1)/10,0)*10,[1]Hugst!$R$4:$W$4,0))))</f>
        <v>651.34440210527418</v>
      </c>
      <c r="P246">
        <f ca="1">IF($C246-P$1&lt;År1,0,O245*(1-VLOOKUP($A246,[1]Hugst!$R$5:$W$9,MATCH(ROUNDUP((P$1)/10,0)*10,[1]Hugst!$R$4:$W$4,0))))</f>
        <v>649.18412080445614</v>
      </c>
      <c r="Q246">
        <f ca="1">IF($C246-Q$1&lt;År1,0,P245*(1-VLOOKUP($A246,[1]Hugst!$R$5:$W$9,MATCH(ROUNDUP((Q$1)/10,0)*10,[1]Hugst!$R$4:$W$4,0))))</f>
        <v>647.02925240744401</v>
      </c>
      <c r="R246">
        <f ca="1">IF($C246-R$1&lt;År1,0,Q245*(1-VLOOKUP($A246,[1]Hugst!$R$5:$W$9,MATCH(ROUNDUP((R$1)/10,0)*10,[1]Hugst!$R$4:$W$4,0))))</f>
        <v>644.87978692328011</v>
      </c>
      <c r="S246">
        <f ca="1">IF($C246-S$1&lt;År1,0,R245*(1-VLOOKUP($A246,[1]Hugst!$R$5:$W$9,MATCH(ROUNDUP((S$1)/10,0)*10,[1]Hugst!$R$4:$W$4,0))))</f>
        <v>642.73571438826286</v>
      </c>
      <c r="T246">
        <f ca="1">IF($C246-T$1&lt;År1,0,S245*(1-VLOOKUP($A246,[1]Hugst!$R$5:$W$9,MATCH(ROUNDUP((T$1)/10,0)*10,[1]Hugst!$R$4:$W$4,0))))</f>
        <v>640.59702486592948</v>
      </c>
      <c r="U246">
        <f ca="1">IF($C246-U$1&lt;År1,0,T245*(1-VLOOKUP($A246,[1]Hugst!$R$5:$W$9,MATCH(ROUNDUP((U$1)/10,0)*10,[1]Hugst!$R$4:$W$4,0))))</f>
        <v>638.46370844697969</v>
      </c>
      <c r="V246">
        <f ca="1">IF($C246-V$1&lt;År1,0,U245*(1-VLOOKUP($A246,[1]Hugst!$R$5:$W$9,MATCH(ROUNDUP((V$1)/10,0)*10,[1]Hugst!$R$4:$W$4,0))))</f>
        <v>636.33575524922651</v>
      </c>
      <c r="W246">
        <f ca="1">IF($C246-W$1&lt;År1,0,V245*(1-VLOOKUP($A246,[1]Hugst!$R$5:$W$9,MATCH(ROUNDUP((W$1)/10,0)*10,[1]Hugst!$R$4:$W$4,0))))</f>
        <v>932.33484331601733</v>
      </c>
      <c r="X246">
        <f ca="1">IF($C246-X$1&lt;År1,0,W245*(1-VLOOKUP($A246,[1]Hugst!$R$5:$W$9,MATCH(ROUNDUP((X$1)/10,0)*10,[1]Hugst!$R$4:$W$4,0))))</f>
        <v>929.56317356121838</v>
      </c>
      <c r="Y246">
        <f ca="1">IF($C246-Y$1&lt;År1,0,X245*(1-VLOOKUP($A246,[1]Hugst!$R$5:$W$9,MATCH(ROUNDUP((Y$1)/10,0)*10,[1]Hugst!$R$4:$W$4,0))))</f>
        <v>928.86907778399632</v>
      </c>
      <c r="Z246">
        <f ca="1">IF($C246-Z$1&lt;År1,0,Y245*(1-VLOOKUP($A246,[1]Hugst!$R$5:$W$9,MATCH(ROUNDUP((Z$1)/10,0)*10,[1]Hugst!$R$4:$W$4,0))))</f>
        <v>929.08783502622782</v>
      </c>
      <c r="AA246">
        <f ca="1">IF($C246-AA$1&lt;År1,0,Z245*(1-VLOOKUP($A246,[1]Hugst!$R$5:$W$9,MATCH(ROUNDUP((AA$1)/10,0)*10,[1]Hugst!$R$4:$W$4,0))))</f>
        <v>929.3114605883901</v>
      </c>
      <c r="AB246">
        <f ca="1">IF($C246-AB$1&lt;År1,0,AA245*(1-VLOOKUP($A246,[1]Hugst!$R$5:$W$9,MATCH(ROUNDUP((AB$1)/10,0)*10,[1]Hugst!$R$4:$W$4,0))))</f>
        <v>929.53996804418841</v>
      </c>
      <c r="AC246">
        <f ca="1">IF($C246-AC$1&lt;År1,0,AB245*(1-VLOOKUP($A246,[1]Hugst!$R$5:$W$9,MATCH(ROUNDUP((AC$1)/10,0)*10,[1]Hugst!$R$4:$W$4,0))))</f>
        <v>929.77337102499212</v>
      </c>
      <c r="AD246">
        <f ca="1">IF($C246-AD$1&lt;År1,0,AC245*(1-VLOOKUP($A246,[1]Hugst!$R$5:$W$9,MATCH(ROUNDUP((AD$1)/10,0)*10,[1]Hugst!$R$4:$W$4,0))))</f>
        <v>930.01168321988825</v>
      </c>
      <c r="AE246">
        <f ca="1">IF($C246-AE$1&lt;År1,0,AD245*(1-VLOOKUP($A246,[1]Hugst!$R$5:$W$9,MATCH(ROUNDUP((AE$1)/10,0)*10,[1]Hugst!$R$4:$W$4,0))))</f>
        <v>930.25491837602021</v>
      </c>
      <c r="AF246">
        <f ca="1">IF($C246-AF$1&lt;År1,0,AE245*(1-VLOOKUP($A246,[1]Hugst!$R$5:$W$9,MATCH(ROUNDUP((AF$1)/10,0)*10,[1]Hugst!$R$4:$W$4,0))))</f>
        <v>930.50309029869743</v>
      </c>
      <c r="AG246">
        <f ca="1">IF($C246-AG$1&lt;År1,0,AF245*(1-VLOOKUP($A246,[1]Hugst!$R$5:$W$9,MATCH(ROUNDUP((AG$1)/10,0)*10,[1]Hugst!$R$4:$W$4,0))))</f>
        <v>930.75621285168768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25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249.00743126839006</v>
      </c>
      <c r="E247">
        <f t="shared" ca="1" si="5"/>
        <v>25.598231249929086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645.43899585165263</v>
      </c>
      <c r="G247">
        <f ca="1">IF($C247-G$1&lt;År1,0,F246*(1-VLOOKUP($A247,[1]Hugst!$R$5:$W$9,MATCH(ROUNDUP((G$1)/10,0)*10,[1]Hugst!$R$4:$W$4,0))))</f>
        <v>646.21300458148062</v>
      </c>
      <c r="H247">
        <f ca="1">IF($C247-H$1&lt;År1,0,G246*(1-VLOOKUP($A247,[1]Hugst!$R$5:$W$9,MATCH(ROUNDUP((H$1)/10,0)*10,[1]Hugst!$R$4:$W$4,0))))</f>
        <v>646.99628458570851</v>
      </c>
      <c r="I247">
        <f ca="1">IF($C247-I$1&lt;År1,0,H246*(1-VLOOKUP($A247,[1]Hugst!$R$5:$W$9,MATCH(ROUNDUP((I$1)/10,0)*10,[1]Hugst!$R$4:$W$4,0))))</f>
        <v>647.78888570098252</v>
      </c>
      <c r="J247">
        <f ca="1">IF($C247-J$1&lt;År1,0,I246*(1-VLOOKUP($A247,[1]Hugst!$R$5:$W$9,MATCH(ROUNDUP((J$1)/10,0)*10,[1]Hugst!$R$4:$W$4,0))))</f>
        <v>648.59085800520052</v>
      </c>
      <c r="K247">
        <f ca="1">IF($C247-K$1&lt;År1,0,J246*(1-VLOOKUP($A247,[1]Hugst!$R$5:$W$9,MATCH(ROUNDUP((K$1)/10,0)*10,[1]Hugst!$R$4:$W$4,0))))</f>
        <v>649.40225181860978</v>
      </c>
      <c r="L247">
        <f ca="1">IF($C247-L$1&lt;År1,0,K246*(1-VLOOKUP($A247,[1]Hugst!$R$5:$W$9,MATCH(ROUNDUP((L$1)/10,0)*10,[1]Hugst!$R$4:$W$4,0))))</f>
        <v>650.2231177048684</v>
      </c>
      <c r="M247">
        <f ca="1">IF($C247-M$1&lt;År1,0,L246*(1-VLOOKUP($A247,[1]Hugst!$R$5:$W$9,MATCH(ROUNDUP((M$1)/10,0)*10,[1]Hugst!$R$4:$W$4,0))))</f>
        <v>651.05350647241403</v>
      </c>
      <c r="N247">
        <f ca="1">IF($C247-N$1&lt;År1,0,M246*(1-VLOOKUP($A247,[1]Hugst!$R$5:$W$9,MATCH(ROUNDUP((N$1)/10,0)*10,[1]Hugst!$R$4:$W$4,0))))</f>
        <v>651.89346917549801</v>
      </c>
      <c r="O247">
        <f ca="1">IF($C247-O$1&lt;År1,0,N246*(1-VLOOKUP($A247,[1]Hugst!$R$5:$W$9,MATCH(ROUNDUP((O$1)/10,0)*10,[1]Hugst!$R$4:$W$4,0))))</f>
        <v>652.07557194837727</v>
      </c>
      <c r="P247">
        <f ca="1">IF($C247-P$1&lt;År1,0,O246*(1-VLOOKUP($A247,[1]Hugst!$R$5:$W$9,MATCH(ROUNDUP((P$1)/10,0)*10,[1]Hugst!$R$4:$W$4,0))))</f>
        <v>649.91462171040894</v>
      </c>
      <c r="Q247">
        <f ca="1">IF($C247-Q$1&lt;År1,0,P246*(1-VLOOKUP($A247,[1]Hugst!$R$5:$W$9,MATCH(ROUNDUP((Q$1)/10,0)*10,[1]Hugst!$R$4:$W$4,0))))</f>
        <v>647.75908249049519</v>
      </c>
      <c r="R247">
        <f ca="1">IF($C247-R$1&lt;År1,0,Q246*(1-VLOOKUP($A247,[1]Hugst!$R$5:$W$9,MATCH(ROUNDUP((R$1)/10,0)*10,[1]Hugst!$R$4:$W$4,0))))</f>
        <v>645.60894429240329</v>
      </c>
      <c r="S247">
        <f ca="1">IF($C247-S$1&lt;År1,0,R246*(1-VLOOKUP($A247,[1]Hugst!$R$5:$W$9,MATCH(ROUNDUP((S$1)/10,0)*10,[1]Hugst!$R$4:$W$4,0))))</f>
        <v>643.46419714710703</v>
      </c>
      <c r="T247">
        <f ca="1">IF($C247-T$1&lt;År1,0,S246*(1-VLOOKUP($A247,[1]Hugst!$R$5:$W$9,MATCH(ROUNDUP((T$1)/10,0)*10,[1]Hugst!$R$4:$W$4,0))))</f>
        <v>641.32483111277645</v>
      </c>
      <c r="U247">
        <f ca="1">IF($C247-U$1&lt;År1,0,T246*(1-VLOOKUP($A247,[1]Hugst!$R$5:$W$9,MATCH(ROUNDUP((U$1)/10,0)*10,[1]Hugst!$R$4:$W$4,0))))</f>
        <v>639.19083627476039</v>
      </c>
      <c r="V247">
        <f ca="1">IF($C247-V$1&lt;År1,0,U246*(1-VLOOKUP($A247,[1]Hugst!$R$5:$W$9,MATCH(ROUNDUP((V$1)/10,0)*10,[1]Hugst!$R$4:$W$4,0))))</f>
        <v>637.06220274551072</v>
      </c>
      <c r="W247">
        <f ca="1">IF($C247-W$1&lt;År1,0,V246*(1-VLOOKUP($A247,[1]Hugst!$R$5:$W$9,MATCH(ROUNDUP((W$1)/10,0)*10,[1]Hugst!$R$4:$W$4,0))))</f>
        <v>634.93892066453304</v>
      </c>
      <c r="X247">
        <f ca="1">IF($C247-X$1&lt;År1,0,W246*(1-VLOOKUP($A247,[1]Hugst!$R$5:$W$9,MATCH(ROUNDUP((X$1)/10,0)*10,[1]Hugst!$R$4:$W$4,0))))</f>
        <v>930.28825463556757</v>
      </c>
      <c r="Y247">
        <f ca="1">IF($C247-Y$1&lt;År1,0,X246*(1-VLOOKUP($A247,[1]Hugst!$R$5:$W$9,MATCH(ROUNDUP((Y$1)/10,0)*10,[1]Hugst!$R$4:$W$4,0))))</f>
        <v>927.52266903388886</v>
      </c>
      <c r="Z247">
        <f ca="1">IF($C247-Z$1&lt;År1,0,Y246*(1-VLOOKUP($A247,[1]Hugst!$R$5:$W$9,MATCH(ROUNDUP((Z$1)/10,0)*10,[1]Hugst!$R$4:$W$4,0))))</f>
        <v>927.736310615967</v>
      </c>
      <c r="AA247">
        <f ca="1">IF($C247-AA$1&lt;År1,0,Z246*(1-VLOOKUP($A247,[1]Hugst!$R$5:$W$9,MATCH(ROUNDUP((AA$1)/10,0)*10,[1]Hugst!$R$4:$W$4,0))))</f>
        <v>927.95480108107392</v>
      </c>
      <c r="AB247">
        <f ca="1">IF($C247-AB$1&lt;År1,0,AA246*(1-VLOOKUP($A247,[1]Hugst!$R$5:$W$9,MATCH(ROUNDUP((AB$1)/10,0)*10,[1]Hugst!$R$4:$W$4,0))))</f>
        <v>928.17815392913599</v>
      </c>
      <c r="AC247">
        <f ca="1">IF($C247-AC$1&lt;År1,0,AB246*(1-VLOOKUP($A247,[1]Hugst!$R$5:$W$9,MATCH(ROUNDUP((AC$1)/10,0)*10,[1]Hugst!$R$4:$W$4,0))))</f>
        <v>928.40638271730529</v>
      </c>
      <c r="AD247">
        <f ca="1">IF($C247-AD$1&lt;År1,0,AC246*(1-VLOOKUP($A247,[1]Hugst!$R$5:$W$9,MATCH(ROUNDUP((AD$1)/10,0)*10,[1]Hugst!$R$4:$W$4,0))))</f>
        <v>928.63950106032746</v>
      </c>
      <c r="AE247">
        <f ca="1">IF($C247-AE$1&lt;År1,0,AD246*(1-VLOOKUP($A247,[1]Hugst!$R$5:$W$9,MATCH(ROUNDUP((AE$1)/10,0)*10,[1]Hugst!$R$4:$W$4,0))))</f>
        <v>928.87752263059576</v>
      </c>
      <c r="AF247">
        <f ca="1">IF($C247-AF$1&lt;År1,0,AE246*(1-VLOOKUP($A247,[1]Hugst!$R$5:$W$9,MATCH(ROUNDUP((AF$1)/10,0)*10,[1]Hugst!$R$4:$W$4,0))))</f>
        <v>929.12046115848852</v>
      </c>
      <c r="AG247">
        <f ca="1">IF($C247-AG$1&lt;År1,0,AF246*(1-VLOOKUP($A247,[1]Hugst!$R$5:$W$9,MATCH(ROUNDUP((AG$1)/10,0)*10,[1]Hugst!$R$4:$W$4,0))))</f>
        <v>929.36833043247952</v>
      </c>
      <c r="AH247">
        <f ca="1">IF($C247-AH$1&lt;År1,0,AG246*(1-VLOOKUP($A247,[1]Hugst!$R$5:$W$9,MATCH(ROUNDUP((AH$1)/10,0)*10,[1]Hugst!$R$4:$W$4,0))))</f>
        <v>929.62114429942949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25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247.76239411205734</v>
      </c>
      <c r="E248">
        <f t="shared" ca="1" si="5"/>
        <v>26.078481354139512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644.67420879953033</v>
      </c>
      <c r="G248">
        <f ca="1">IF($C248-G$1&lt;År1,0,F247*(1-VLOOKUP($A248,[1]Hugst!$R$5:$W$9,MATCH(ROUNDUP((G$1)/10,0)*10,[1]Hugst!$R$4:$W$4,0))))</f>
        <v>645.43899585165263</v>
      </c>
      <c r="H248">
        <f ca="1">IF($C248-H$1&lt;År1,0,G247*(1-VLOOKUP($A248,[1]Hugst!$R$5:$W$9,MATCH(ROUNDUP((H$1)/10,0)*10,[1]Hugst!$R$4:$W$4,0))))</f>
        <v>646.21300458148062</v>
      </c>
      <c r="I248">
        <f ca="1">IF($C248-I$1&lt;År1,0,H247*(1-VLOOKUP($A248,[1]Hugst!$R$5:$W$9,MATCH(ROUNDUP((I$1)/10,0)*10,[1]Hugst!$R$4:$W$4,0))))</f>
        <v>646.99628458570851</v>
      </c>
      <c r="J248">
        <f ca="1">IF($C248-J$1&lt;År1,0,I247*(1-VLOOKUP($A248,[1]Hugst!$R$5:$W$9,MATCH(ROUNDUP((J$1)/10,0)*10,[1]Hugst!$R$4:$W$4,0))))</f>
        <v>647.78888570098252</v>
      </c>
      <c r="K248">
        <f ca="1">IF($C248-K$1&lt;År1,0,J247*(1-VLOOKUP($A248,[1]Hugst!$R$5:$W$9,MATCH(ROUNDUP((K$1)/10,0)*10,[1]Hugst!$R$4:$W$4,0))))</f>
        <v>648.59085800520052</v>
      </c>
      <c r="L248">
        <f ca="1">IF($C248-L$1&lt;År1,0,K247*(1-VLOOKUP($A248,[1]Hugst!$R$5:$W$9,MATCH(ROUNDUP((L$1)/10,0)*10,[1]Hugst!$R$4:$W$4,0))))</f>
        <v>649.40225181860978</v>
      </c>
      <c r="M248">
        <f ca="1">IF($C248-M$1&lt;År1,0,L247*(1-VLOOKUP($A248,[1]Hugst!$R$5:$W$9,MATCH(ROUNDUP((M$1)/10,0)*10,[1]Hugst!$R$4:$W$4,0))))</f>
        <v>650.2231177048684</v>
      </c>
      <c r="N248">
        <f ca="1">IF($C248-N$1&lt;År1,0,M247*(1-VLOOKUP($A248,[1]Hugst!$R$5:$W$9,MATCH(ROUNDUP((N$1)/10,0)*10,[1]Hugst!$R$4:$W$4,0))))</f>
        <v>651.05350647241403</v>
      </c>
      <c r="O248">
        <f ca="1">IF($C248-O$1&lt;År1,0,N247*(1-VLOOKUP($A248,[1]Hugst!$R$5:$W$9,MATCH(ROUNDUP((O$1)/10,0)*10,[1]Hugst!$R$4:$W$4,0))))</f>
        <v>651.89346917549801</v>
      </c>
      <c r="P248">
        <f ca="1">IF($C248-P$1&lt;År1,0,O247*(1-VLOOKUP($A248,[1]Hugst!$R$5:$W$9,MATCH(ROUNDUP((P$1)/10,0)*10,[1]Hugst!$R$4:$W$4,0))))</f>
        <v>650.64418654653934</v>
      </c>
      <c r="Q248">
        <f ca="1">IF($C248-Q$1&lt;År1,0,P247*(1-VLOOKUP($A248,[1]Hugst!$R$5:$W$9,MATCH(ROUNDUP((Q$1)/10,0)*10,[1]Hugst!$R$4:$W$4,0))))</f>
        <v>648.48797985787394</v>
      </c>
      <c r="R248">
        <f ca="1">IF($C248-R$1&lt;År1,0,Q247*(1-VLOOKUP($A248,[1]Hugst!$R$5:$W$9,MATCH(ROUNDUP((R$1)/10,0)*10,[1]Hugst!$R$4:$W$4,0))))</f>
        <v>646.33717230941852</v>
      </c>
      <c r="S248">
        <f ca="1">IF($C248-S$1&lt;År1,0,R247*(1-VLOOKUP($A248,[1]Hugst!$R$5:$W$9,MATCH(ROUNDUP((S$1)/10,0)*10,[1]Hugst!$R$4:$W$4,0))))</f>
        <v>644.19175392688339</v>
      </c>
      <c r="T248">
        <f ca="1">IF($C248-T$1&lt;År1,0,S247*(1-VLOOKUP($A248,[1]Hugst!$R$5:$W$9,MATCH(ROUNDUP((T$1)/10,0)*10,[1]Hugst!$R$4:$W$4,0))))</f>
        <v>642.05171476312557</v>
      </c>
      <c r="U248">
        <f ca="1">IF($C248-U$1&lt;År1,0,T247*(1-VLOOKUP($A248,[1]Hugst!$R$5:$W$9,MATCH(ROUNDUP((U$1)/10,0)*10,[1]Hugst!$R$4:$W$4,0))))</f>
        <v>639.91704489813867</v>
      </c>
      <c r="V248">
        <f ca="1">IF($C248-V$1&lt;År1,0,U247*(1-VLOOKUP($A248,[1]Hugst!$R$5:$W$9,MATCH(ROUNDUP((V$1)/10,0)*10,[1]Hugst!$R$4:$W$4,0))))</f>
        <v>637.78773443903526</v>
      </c>
      <c r="W248">
        <f ca="1">IF($C248-W$1&lt;År1,0,V247*(1-VLOOKUP($A248,[1]Hugst!$R$5:$W$9,MATCH(ROUNDUP((W$1)/10,0)*10,[1]Hugst!$R$4:$W$4,0))))</f>
        <v>635.66377351997176</v>
      </c>
      <c r="X248">
        <f ca="1">IF($C248-X$1&lt;År1,0,W247*(1-VLOOKUP($A248,[1]Hugst!$R$5:$W$9,MATCH(ROUNDUP((X$1)/10,0)*10,[1]Hugst!$R$4:$W$4,0))))</f>
        <v>633.5451523020987</v>
      </c>
      <c r="Y248">
        <f ca="1">IF($C248-Y$1&lt;År1,0,X247*(1-VLOOKUP($A248,[1]Hugst!$R$5:$W$9,MATCH(ROUNDUP((Y$1)/10,0)*10,[1]Hugst!$R$4:$W$4,0))))</f>
        <v>928.24615846685538</v>
      </c>
      <c r="Z248">
        <f ca="1">IF($C248-Z$1&lt;År1,0,Y247*(1-VLOOKUP($A248,[1]Hugst!$R$5:$W$9,MATCH(ROUNDUP((Z$1)/10,0)*10,[1]Hugst!$R$4:$W$4,0))))</f>
        <v>926.39154382774996</v>
      </c>
      <c r="AA248">
        <f ca="1">IF($C248-AA$1&lt;År1,0,Z247*(1-VLOOKUP($A248,[1]Hugst!$R$5:$W$9,MATCH(ROUNDUP((AA$1)/10,0)*10,[1]Hugst!$R$4:$W$4,0))))</f>
        <v>926.60492487131341</v>
      </c>
      <c r="AB248">
        <f ca="1">IF($C248-AB$1&lt;År1,0,AA247*(1-VLOOKUP($A248,[1]Hugst!$R$5:$W$9,MATCH(ROUNDUP((AB$1)/10,0)*10,[1]Hugst!$R$4:$W$4,0))))</f>
        <v>926.82314888463361</v>
      </c>
      <c r="AC248">
        <f ca="1">IF($C248-AC$1&lt;År1,0,AB247*(1-VLOOKUP($A248,[1]Hugst!$R$5:$W$9,MATCH(ROUNDUP((AC$1)/10,0)*10,[1]Hugst!$R$4:$W$4,0))))</f>
        <v>927.04622935117368</v>
      </c>
      <c r="AD248">
        <f ca="1">IF($C248-AD$1&lt;År1,0,AC247*(1-VLOOKUP($A248,[1]Hugst!$R$5:$W$9,MATCH(ROUNDUP((AD$1)/10,0)*10,[1]Hugst!$R$4:$W$4,0))))</f>
        <v>927.27417981155247</v>
      </c>
      <c r="AE248">
        <f ca="1">IF($C248-AE$1&lt;År1,0,AD247*(1-VLOOKUP($A248,[1]Hugst!$R$5:$W$9,MATCH(ROUNDUP((AE$1)/10,0)*10,[1]Hugst!$R$4:$W$4,0))))</f>
        <v>927.50701386391245</v>
      </c>
      <c r="AF248">
        <f ca="1">IF($C248-AF$1&lt;År1,0,AE247*(1-VLOOKUP($A248,[1]Hugst!$R$5:$W$9,MATCH(ROUNDUP((AF$1)/10,0)*10,[1]Hugst!$R$4:$W$4,0))))</f>
        <v>927.74474516397311</v>
      </c>
      <c r="AG248">
        <f ca="1">IF($C248-AG$1&lt;År1,0,AF247*(1-VLOOKUP($A248,[1]Hugst!$R$5:$W$9,MATCH(ROUNDUP((AG$1)/10,0)*10,[1]Hugst!$R$4:$W$4,0))))</f>
        <v>927.98738742536841</v>
      </c>
      <c r="AH248">
        <f ca="1">IF($C248-AH$1&lt;År1,0,AG247*(1-VLOOKUP($A248,[1]Hugst!$R$5:$W$9,MATCH(ROUNDUP((AH$1)/10,0)*10,[1]Hugst!$R$4:$W$4,0))))</f>
        <v>928.23495441975695</v>
      </c>
      <c r="AI248">
        <f ca="1">IF($C248-AI$1&lt;År1,0,AH247*(1-VLOOKUP($A248,[1]Hugst!$R$5:$W$9,MATCH(ROUNDUP((AI$1)/10,0)*10,[1]Hugst!$R$4:$W$4,0))))</f>
        <v>928.48745997711308</v>
      </c>
      <c r="AJ248">
        <f>IF($C248-AJ$1&lt;År1,0,AI247*(1-VLOOKUP($A248,[1]Hugst!$R$5:$W$9,MATCH(ROUNDUP((AJ$1)/10,0)*10,[1]Hugst!$R$4:$W$4,0))))</f>
        <v>0</v>
      </c>
    </row>
    <row r="249" spans="1:36" x14ac:dyDescent="0.25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246.52358214149262</v>
      </c>
      <c r="E249">
        <f ca="1">IF(C249=2020,SUM(G249:AJ249),SUM(F248:AJ248)-SUM(G249:AJ249))</f>
        <v>26.048127263664355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643.40504273849047</v>
      </c>
      <c r="G249">
        <f ca="1">IF($C249-G$1&lt;År1,0,F248*(1-VLOOKUP($A249,[1]Hugst!$R$5:$W$9,MATCH(ROUNDUP((G$1)/10,0)*10,[1]Hugst!$R$4:$W$4,0))))</f>
        <v>644.67420879953033</v>
      </c>
      <c r="H249">
        <f ca="1">IF($C249-H$1&lt;År1,0,G248*(1-VLOOKUP($A249,[1]Hugst!$R$5:$W$9,MATCH(ROUNDUP((H$1)/10,0)*10,[1]Hugst!$R$4:$W$4,0))))</f>
        <v>645.43899585165263</v>
      </c>
      <c r="I249">
        <f ca="1">IF($C249-I$1&lt;År1,0,H248*(1-VLOOKUP($A249,[1]Hugst!$R$5:$W$9,MATCH(ROUNDUP((I$1)/10,0)*10,[1]Hugst!$R$4:$W$4,0))))</f>
        <v>646.21300458148062</v>
      </c>
      <c r="J249">
        <f ca="1">IF($C249-J$1&lt;År1,0,I248*(1-VLOOKUP($A249,[1]Hugst!$R$5:$W$9,MATCH(ROUNDUP((J$1)/10,0)*10,[1]Hugst!$R$4:$W$4,0))))</f>
        <v>646.99628458570851</v>
      </c>
      <c r="K249">
        <f ca="1">IF($C249-K$1&lt;År1,0,J248*(1-VLOOKUP($A249,[1]Hugst!$R$5:$W$9,MATCH(ROUNDUP((K$1)/10,0)*10,[1]Hugst!$R$4:$W$4,0))))</f>
        <v>647.78888570098252</v>
      </c>
      <c r="L249">
        <f ca="1">IF($C249-L$1&lt;År1,0,K248*(1-VLOOKUP($A249,[1]Hugst!$R$5:$W$9,MATCH(ROUNDUP((L$1)/10,0)*10,[1]Hugst!$R$4:$W$4,0))))</f>
        <v>648.59085800520052</v>
      </c>
      <c r="M249">
        <f ca="1">IF($C249-M$1&lt;År1,0,L248*(1-VLOOKUP($A249,[1]Hugst!$R$5:$W$9,MATCH(ROUNDUP((M$1)/10,0)*10,[1]Hugst!$R$4:$W$4,0))))</f>
        <v>649.40225181860978</v>
      </c>
      <c r="N249">
        <f ca="1">IF($C249-N$1&lt;År1,0,M248*(1-VLOOKUP($A249,[1]Hugst!$R$5:$W$9,MATCH(ROUNDUP((N$1)/10,0)*10,[1]Hugst!$R$4:$W$4,0))))</f>
        <v>650.2231177048684</v>
      </c>
      <c r="O249">
        <f ca="1">IF($C249-O$1&lt;År1,0,N248*(1-VLOOKUP($A249,[1]Hugst!$R$5:$W$9,MATCH(ROUNDUP((O$1)/10,0)*10,[1]Hugst!$R$4:$W$4,0))))</f>
        <v>651.05350647241403</v>
      </c>
      <c r="P249">
        <f ca="1">IF($C249-P$1&lt;År1,0,O248*(1-VLOOKUP($A249,[1]Hugst!$R$5:$W$9,MATCH(ROUNDUP((P$1)/10,0)*10,[1]Hugst!$R$4:$W$4,0))))</f>
        <v>650.46248351145425</v>
      </c>
      <c r="Q249">
        <f ca="1">IF($C249-Q$1&lt;År1,0,P248*(1-VLOOKUP($A249,[1]Hugst!$R$5:$W$9,MATCH(ROUNDUP((Q$1)/10,0)*10,[1]Hugst!$R$4:$W$4,0))))</f>
        <v>649.21594321021769</v>
      </c>
      <c r="R249">
        <f ca="1">IF($C249-R$1&lt;År1,0,Q248*(1-VLOOKUP($A249,[1]Hugst!$R$5:$W$9,MATCH(ROUNDUP((R$1)/10,0)*10,[1]Hugst!$R$4:$W$4,0))))</f>
        <v>647.06446965818589</v>
      </c>
      <c r="S249">
        <f ca="1">IF($C249-S$1&lt;År1,0,R248*(1-VLOOKUP($A249,[1]Hugst!$R$5:$W$9,MATCH(ROUNDUP((S$1)/10,0)*10,[1]Hugst!$R$4:$W$4,0))))</f>
        <v>644.91838339459298</v>
      </c>
      <c r="T249">
        <f ca="1">IF($C249-T$1&lt;År1,0,S248*(1-VLOOKUP($A249,[1]Hugst!$R$5:$W$9,MATCH(ROUNDUP((T$1)/10,0)*10,[1]Hugst!$R$4:$W$4,0))))</f>
        <v>642.77767446704388</v>
      </c>
      <c r="U249">
        <f ca="1">IF($C249-U$1&lt;År1,0,T248*(1-VLOOKUP($A249,[1]Hugst!$R$5:$W$9,MATCH(ROUNDUP((U$1)/10,0)*10,[1]Hugst!$R$4:$W$4,0))))</f>
        <v>640.64233295023087</v>
      </c>
      <c r="V249">
        <f ca="1">IF($C249-V$1&lt;År1,0,U248*(1-VLOOKUP($A249,[1]Hugst!$R$5:$W$9,MATCH(ROUNDUP((V$1)/10,0)*10,[1]Hugst!$R$4:$W$4,0))))</f>
        <v>638.51234894592324</v>
      </c>
      <c r="W249">
        <f ca="1">IF($C249-W$1&lt;År1,0,V248*(1-VLOOKUP($A249,[1]Hugst!$R$5:$W$9,MATCH(ROUNDUP((W$1)/10,0)*10,[1]Hugst!$R$4:$W$4,0))))</f>
        <v>636.38771258294958</v>
      </c>
      <c r="X249">
        <f ca="1">IF($C249-X$1&lt;År1,0,W248*(1-VLOOKUP($A249,[1]Hugst!$R$5:$W$9,MATCH(ROUNDUP((X$1)/10,0)*10,[1]Hugst!$R$4:$W$4,0))))</f>
        <v>634.26841401712306</v>
      </c>
      <c r="Y249">
        <f ca="1">IF($C249-Y$1&lt;År1,0,X248*(1-VLOOKUP($A249,[1]Hugst!$R$5:$W$9,MATCH(ROUNDUP((Y$1)/10,0)*10,[1]Hugst!$R$4:$W$4,0))))</f>
        <v>632.15444343119168</v>
      </c>
      <c r="Z249">
        <f ca="1">IF($C249-Z$1&lt;År1,0,Y248*(1-VLOOKUP($A249,[1]Hugst!$R$5:$W$9,MATCH(ROUNDUP((Z$1)/10,0)*10,[1]Hugst!$R$4:$W$4,0))))</f>
        <v>927.1141509565299</v>
      </c>
      <c r="AA249">
        <f ca="1">IF($C249-AA$1&lt;År1,0,Z248*(1-VLOOKUP($A249,[1]Hugst!$R$5:$W$9,MATCH(ROUNDUP((AA$1)/10,0)*10,[1]Hugst!$R$4:$W$4,0))))</f>
        <v>925.26179804259414</v>
      </c>
      <c r="AB249">
        <f ca="1">IF($C249-AB$1&lt;År1,0,AA248*(1-VLOOKUP($A249,[1]Hugst!$R$5:$W$9,MATCH(ROUNDUP((AB$1)/10,0)*10,[1]Hugst!$R$4:$W$4,0))))</f>
        <v>925.47491886537284</v>
      </c>
      <c r="AC249">
        <f ca="1">IF($C249-AC$1&lt;År1,0,AB248*(1-VLOOKUP($A249,[1]Hugst!$R$5:$W$9,MATCH(ROUNDUP((AC$1)/10,0)*10,[1]Hugst!$R$4:$W$4,0))))</f>
        <v>925.69287675184751</v>
      </c>
      <c r="AD249">
        <f ca="1">IF($C249-AD$1&lt;År1,0,AC248*(1-VLOOKUP($A249,[1]Hugst!$R$5:$W$9,MATCH(ROUNDUP((AD$1)/10,0)*10,[1]Hugst!$R$4:$W$4,0))))</f>
        <v>925.91568516903806</v>
      </c>
      <c r="AE249">
        <f ca="1">IF($C249-AE$1&lt;År1,0,AD248*(1-VLOOKUP($A249,[1]Hugst!$R$5:$W$9,MATCH(ROUNDUP((AE$1)/10,0)*10,[1]Hugst!$R$4:$W$4,0))))</f>
        <v>926.14335764105056</v>
      </c>
      <c r="AF249">
        <f ca="1">IF($C249-AF$1&lt;År1,0,AE248*(1-VLOOKUP($A249,[1]Hugst!$R$5:$W$9,MATCH(ROUNDUP((AF$1)/10,0)*10,[1]Hugst!$R$4:$W$4,0))))</f>
        <v>926.37590774944431</v>
      </c>
      <c r="AG249">
        <f ca="1">IF($C249-AG$1&lt;År1,0,AF248*(1-VLOOKUP($A249,[1]Hugst!$R$5:$W$9,MATCH(ROUNDUP((AG$1)/10,0)*10,[1]Hugst!$R$4:$W$4,0))))</f>
        <v>926.61334913328528</v>
      </c>
      <c r="AH249">
        <f ca="1">IF($C249-AH$1&lt;År1,0,AG248*(1-VLOOKUP($A249,[1]Hugst!$R$5:$W$9,MATCH(ROUNDUP((AH$1)/10,0)*10,[1]Hugst!$R$4:$W$4,0))))</f>
        <v>926.85569548948376</v>
      </c>
      <c r="AI249">
        <f ca="1">IF($C249-AI$1&lt;År1,0,AH248*(1-VLOOKUP($A249,[1]Hugst!$R$5:$W$9,MATCH(ROUNDUP((AI$1)/10,0)*10,[1]Hugst!$R$4:$W$4,0))))</f>
        <v>927.10296057290361</v>
      </c>
      <c r="AJ249">
        <f ca="1">IF($C249-AJ$1&lt;År1,0,AI248*(1-VLOOKUP($A249,[1]Hugst!$R$5:$W$9,MATCH(ROUNDUP((AJ$1)/10,0)*10,[1]Hugst!$R$4:$W$4,0))))</f>
        <v>927.86469399786017</v>
      </c>
    </row>
    <row r="250" spans="1:36" x14ac:dyDescent="0.25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25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>
        <f ca="1">IF($C251-G$1&lt;År1,0,F250*(1-VLOOKUP($A251,[1]Hugst!$R$5:$W$9,MATCH(ROUNDUP((G$1)/10,0)*10,[1]Hugst!$R$4:$W$4,0))))</f>
        <v>0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25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>
        <f ca="1">IF($C252-G$1&lt;År1,0,F251*(1-VLOOKUP($A252,[1]Hugst!$R$5:$W$9,MATCH(ROUNDUP((G$1)/10,0)*10,[1]Hugst!$R$4:$W$4,0))))</f>
        <v>0</v>
      </c>
      <c r="H252">
        <f ca="1">IF($C252-H$1&lt;År1,0,G251*(1-VLOOKUP($A252,[1]Hugst!$R$5:$W$9,MATCH(ROUNDUP((H$1)/10,0)*10,[1]Hugst!$R$4:$W$4,0))))</f>
        <v>0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25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>
        <f ca="1">IF($C253-G$1&lt;År1,0,F252*(1-VLOOKUP($A253,[1]Hugst!$R$5:$W$9,MATCH(ROUNDUP((G$1)/10,0)*10,[1]Hugst!$R$4:$W$4,0))))</f>
        <v>0</v>
      </c>
      <c r="H253">
        <f ca="1">IF($C253-H$1&lt;År1,0,G252*(1-VLOOKUP($A253,[1]Hugst!$R$5:$W$9,MATCH(ROUNDUP((H$1)/10,0)*10,[1]Hugst!$R$4:$W$4,0))))</f>
        <v>0</v>
      </c>
      <c r="I253">
        <f ca="1">IF($C253-I$1&lt;År1,0,H252*(1-VLOOKUP($A253,[1]Hugst!$R$5:$W$9,MATCH(ROUNDUP((I$1)/10,0)*10,[1]Hugst!$R$4:$W$4,0))))</f>
        <v>0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25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>
        <f ca="1">IF($C254-G$1&lt;År1,0,F253*(1-VLOOKUP($A254,[1]Hugst!$R$5:$W$9,MATCH(ROUNDUP((G$1)/10,0)*10,[1]Hugst!$R$4:$W$4,0))))</f>
        <v>0</v>
      </c>
      <c r="H254">
        <f ca="1">IF($C254-H$1&lt;År1,0,G253*(1-VLOOKUP($A254,[1]Hugst!$R$5:$W$9,MATCH(ROUNDUP((H$1)/10,0)*10,[1]Hugst!$R$4:$W$4,0))))</f>
        <v>0</v>
      </c>
      <c r="I254">
        <f ca="1">IF($C254-I$1&lt;År1,0,H253*(1-VLOOKUP($A254,[1]Hugst!$R$5:$W$9,MATCH(ROUNDUP((I$1)/10,0)*10,[1]Hugst!$R$4:$W$4,0))))</f>
        <v>0</v>
      </c>
      <c r="J254">
        <f ca="1">IF($C254-J$1&lt;År1,0,I253*(1-VLOOKUP($A254,[1]Hugst!$R$5:$W$9,MATCH(ROUNDUP((J$1)/10,0)*10,[1]Hugst!$R$4:$W$4,0))))</f>
        <v>0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25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>
        <f ca="1">IF($C255-G$1&lt;År1,0,F254*(1-VLOOKUP($A255,[1]Hugst!$R$5:$W$9,MATCH(ROUNDUP((G$1)/10,0)*10,[1]Hugst!$R$4:$W$4,0))))</f>
        <v>0</v>
      </c>
      <c r="H255">
        <f ca="1">IF($C255-H$1&lt;År1,0,G254*(1-VLOOKUP($A255,[1]Hugst!$R$5:$W$9,MATCH(ROUNDUP((H$1)/10,0)*10,[1]Hugst!$R$4:$W$4,0))))</f>
        <v>0</v>
      </c>
      <c r="I255">
        <f ca="1">IF($C255-I$1&lt;År1,0,H254*(1-VLOOKUP($A255,[1]Hugst!$R$5:$W$9,MATCH(ROUNDUP((I$1)/10,0)*10,[1]Hugst!$R$4:$W$4,0))))</f>
        <v>0</v>
      </c>
      <c r="J255">
        <f ca="1">IF($C255-J$1&lt;År1,0,I254*(1-VLOOKUP($A255,[1]Hugst!$R$5:$W$9,MATCH(ROUNDUP((J$1)/10,0)*10,[1]Hugst!$R$4:$W$4,0))))</f>
        <v>0</v>
      </c>
      <c r="K255">
        <f ca="1">IF($C255-K$1&lt;År1,0,J254*(1-VLOOKUP($A255,[1]Hugst!$R$5:$W$9,MATCH(ROUNDUP((K$1)/10,0)*10,[1]Hugst!$R$4:$W$4,0))))</f>
        <v>0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25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>
        <f ca="1">IF($C256-G$1&lt;År1,0,F255*(1-VLOOKUP($A256,[1]Hugst!$R$5:$W$9,MATCH(ROUNDUP((G$1)/10,0)*10,[1]Hugst!$R$4:$W$4,0))))</f>
        <v>0</v>
      </c>
      <c r="H256">
        <f ca="1">IF($C256-H$1&lt;År1,0,G255*(1-VLOOKUP($A256,[1]Hugst!$R$5:$W$9,MATCH(ROUNDUP((H$1)/10,0)*10,[1]Hugst!$R$4:$W$4,0))))</f>
        <v>0</v>
      </c>
      <c r="I256">
        <f ca="1">IF($C256-I$1&lt;År1,0,H255*(1-VLOOKUP($A256,[1]Hugst!$R$5:$W$9,MATCH(ROUNDUP((I$1)/10,0)*10,[1]Hugst!$R$4:$W$4,0))))</f>
        <v>0</v>
      </c>
      <c r="J256">
        <f ca="1">IF($C256-J$1&lt;År1,0,I255*(1-VLOOKUP($A256,[1]Hugst!$R$5:$W$9,MATCH(ROUNDUP((J$1)/10,0)*10,[1]Hugst!$R$4:$W$4,0))))</f>
        <v>0</v>
      </c>
      <c r="K256">
        <f ca="1">IF($C256-K$1&lt;År1,0,J255*(1-VLOOKUP($A256,[1]Hugst!$R$5:$W$9,MATCH(ROUNDUP((K$1)/10,0)*10,[1]Hugst!$R$4:$W$4,0))))</f>
        <v>0</v>
      </c>
      <c r="L256">
        <f ca="1">IF($C256-L$1&lt;År1,0,K255*(1-VLOOKUP($A256,[1]Hugst!$R$5:$W$9,MATCH(ROUNDUP((L$1)/10,0)*10,[1]Hugst!$R$4:$W$4,0))))</f>
        <v>0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25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>
        <f ca="1">IF($C257-G$1&lt;År1,0,F256*(1-VLOOKUP($A257,[1]Hugst!$R$5:$W$9,MATCH(ROUNDUP((G$1)/10,0)*10,[1]Hugst!$R$4:$W$4,0))))</f>
        <v>0</v>
      </c>
      <c r="H257">
        <f ca="1">IF($C257-H$1&lt;År1,0,G256*(1-VLOOKUP($A257,[1]Hugst!$R$5:$W$9,MATCH(ROUNDUP((H$1)/10,0)*10,[1]Hugst!$R$4:$W$4,0))))</f>
        <v>0</v>
      </c>
      <c r="I257">
        <f ca="1">IF($C257-I$1&lt;År1,0,H256*(1-VLOOKUP($A257,[1]Hugst!$R$5:$W$9,MATCH(ROUNDUP((I$1)/10,0)*10,[1]Hugst!$R$4:$W$4,0))))</f>
        <v>0</v>
      </c>
      <c r="J257">
        <f ca="1">IF($C257-J$1&lt;År1,0,I256*(1-VLOOKUP($A257,[1]Hugst!$R$5:$W$9,MATCH(ROUNDUP((J$1)/10,0)*10,[1]Hugst!$R$4:$W$4,0))))</f>
        <v>0</v>
      </c>
      <c r="K257">
        <f ca="1">IF($C257-K$1&lt;År1,0,J256*(1-VLOOKUP($A257,[1]Hugst!$R$5:$W$9,MATCH(ROUNDUP((K$1)/10,0)*10,[1]Hugst!$R$4:$W$4,0))))</f>
        <v>0</v>
      </c>
      <c r="L257">
        <f ca="1">IF($C257-L$1&lt;År1,0,K256*(1-VLOOKUP($A257,[1]Hugst!$R$5:$W$9,MATCH(ROUNDUP((L$1)/10,0)*10,[1]Hugst!$R$4:$W$4,0))))</f>
        <v>0</v>
      </c>
      <c r="M257">
        <f ca="1">IF($C257-M$1&lt;År1,0,L256*(1-VLOOKUP($A257,[1]Hugst!$R$5:$W$9,MATCH(ROUNDUP((M$1)/10,0)*10,[1]Hugst!$R$4:$W$4,0))))</f>
        <v>0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25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>
        <f ca="1">IF($C258-G$1&lt;År1,0,F257*(1-VLOOKUP($A258,[1]Hugst!$R$5:$W$9,MATCH(ROUNDUP((G$1)/10,0)*10,[1]Hugst!$R$4:$W$4,0))))</f>
        <v>0</v>
      </c>
      <c r="H258">
        <f ca="1">IF($C258-H$1&lt;År1,0,G257*(1-VLOOKUP($A258,[1]Hugst!$R$5:$W$9,MATCH(ROUNDUP((H$1)/10,0)*10,[1]Hugst!$R$4:$W$4,0))))</f>
        <v>0</v>
      </c>
      <c r="I258">
        <f ca="1">IF($C258-I$1&lt;År1,0,H257*(1-VLOOKUP($A258,[1]Hugst!$R$5:$W$9,MATCH(ROUNDUP((I$1)/10,0)*10,[1]Hugst!$R$4:$W$4,0))))</f>
        <v>0</v>
      </c>
      <c r="J258">
        <f ca="1">IF($C258-J$1&lt;År1,0,I257*(1-VLOOKUP($A258,[1]Hugst!$R$5:$W$9,MATCH(ROUNDUP((J$1)/10,0)*10,[1]Hugst!$R$4:$W$4,0))))</f>
        <v>0</v>
      </c>
      <c r="K258">
        <f ca="1">IF($C258-K$1&lt;År1,0,J257*(1-VLOOKUP($A258,[1]Hugst!$R$5:$W$9,MATCH(ROUNDUP((K$1)/10,0)*10,[1]Hugst!$R$4:$W$4,0))))</f>
        <v>0</v>
      </c>
      <c r="L258">
        <f ca="1">IF($C258-L$1&lt;År1,0,K257*(1-VLOOKUP($A258,[1]Hugst!$R$5:$W$9,MATCH(ROUNDUP((L$1)/10,0)*10,[1]Hugst!$R$4:$W$4,0))))</f>
        <v>0</v>
      </c>
      <c r="M258">
        <f ca="1">IF($C258-M$1&lt;År1,0,L257*(1-VLOOKUP($A258,[1]Hugst!$R$5:$W$9,MATCH(ROUNDUP((M$1)/10,0)*10,[1]Hugst!$R$4:$W$4,0))))</f>
        <v>0</v>
      </c>
      <c r="N258">
        <f ca="1">IF($C258-N$1&lt;År1,0,M257*(1-VLOOKUP($A258,[1]Hugst!$R$5:$W$9,MATCH(ROUNDUP((N$1)/10,0)*10,[1]Hugst!$R$4:$W$4,0))))</f>
        <v>0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25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>
        <f ca="1">IF($C259-G$1&lt;År1,0,F258*(1-VLOOKUP($A259,[1]Hugst!$R$5:$W$9,MATCH(ROUNDUP((G$1)/10,0)*10,[1]Hugst!$R$4:$W$4,0))))</f>
        <v>0</v>
      </c>
      <c r="H259">
        <f ca="1">IF($C259-H$1&lt;År1,0,G258*(1-VLOOKUP($A259,[1]Hugst!$R$5:$W$9,MATCH(ROUNDUP((H$1)/10,0)*10,[1]Hugst!$R$4:$W$4,0))))</f>
        <v>0</v>
      </c>
      <c r="I259">
        <f ca="1">IF($C259-I$1&lt;År1,0,H258*(1-VLOOKUP($A259,[1]Hugst!$R$5:$W$9,MATCH(ROUNDUP((I$1)/10,0)*10,[1]Hugst!$R$4:$W$4,0))))</f>
        <v>0</v>
      </c>
      <c r="J259">
        <f ca="1">IF($C259-J$1&lt;År1,0,I258*(1-VLOOKUP($A259,[1]Hugst!$R$5:$W$9,MATCH(ROUNDUP((J$1)/10,0)*10,[1]Hugst!$R$4:$W$4,0))))</f>
        <v>0</v>
      </c>
      <c r="K259">
        <f ca="1">IF($C259-K$1&lt;År1,0,J258*(1-VLOOKUP($A259,[1]Hugst!$R$5:$W$9,MATCH(ROUNDUP((K$1)/10,0)*10,[1]Hugst!$R$4:$W$4,0))))</f>
        <v>0</v>
      </c>
      <c r="L259">
        <f ca="1">IF($C259-L$1&lt;År1,0,K258*(1-VLOOKUP($A259,[1]Hugst!$R$5:$W$9,MATCH(ROUNDUP((L$1)/10,0)*10,[1]Hugst!$R$4:$W$4,0))))</f>
        <v>0</v>
      </c>
      <c r="M259">
        <f ca="1">IF($C259-M$1&lt;År1,0,L258*(1-VLOOKUP($A259,[1]Hugst!$R$5:$W$9,MATCH(ROUNDUP((M$1)/10,0)*10,[1]Hugst!$R$4:$W$4,0))))</f>
        <v>0</v>
      </c>
      <c r="N259">
        <f ca="1">IF($C259-N$1&lt;År1,0,M258*(1-VLOOKUP($A259,[1]Hugst!$R$5:$W$9,MATCH(ROUNDUP((N$1)/10,0)*10,[1]Hugst!$R$4:$W$4,0))))</f>
        <v>0</v>
      </c>
      <c r="O259">
        <f ca="1">IF($C259-O$1&lt;År1,0,N258*(1-VLOOKUP($A259,[1]Hugst!$R$5:$W$9,MATCH(ROUNDUP((O$1)/10,0)*10,[1]Hugst!$R$4:$W$4,0))))</f>
        <v>0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25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>
        <f ca="1">IF($C260-G$1&lt;År1,0,F259*(1-VLOOKUP($A260,[1]Hugst!$R$5:$W$9,MATCH(ROUNDUP((G$1)/10,0)*10,[1]Hugst!$R$4:$W$4,0))))</f>
        <v>0</v>
      </c>
      <c r="H260">
        <f ca="1">IF($C260-H$1&lt;År1,0,G259*(1-VLOOKUP($A260,[1]Hugst!$R$5:$W$9,MATCH(ROUNDUP((H$1)/10,0)*10,[1]Hugst!$R$4:$W$4,0))))</f>
        <v>0</v>
      </c>
      <c r="I260">
        <f ca="1">IF($C260-I$1&lt;År1,0,H259*(1-VLOOKUP($A260,[1]Hugst!$R$5:$W$9,MATCH(ROUNDUP((I$1)/10,0)*10,[1]Hugst!$R$4:$W$4,0))))</f>
        <v>0</v>
      </c>
      <c r="J260">
        <f ca="1">IF($C260-J$1&lt;År1,0,I259*(1-VLOOKUP($A260,[1]Hugst!$R$5:$W$9,MATCH(ROUNDUP((J$1)/10,0)*10,[1]Hugst!$R$4:$W$4,0))))</f>
        <v>0</v>
      </c>
      <c r="K260">
        <f ca="1">IF($C260-K$1&lt;År1,0,J259*(1-VLOOKUP($A260,[1]Hugst!$R$5:$W$9,MATCH(ROUNDUP((K$1)/10,0)*10,[1]Hugst!$R$4:$W$4,0))))</f>
        <v>0</v>
      </c>
      <c r="L260">
        <f ca="1">IF($C260-L$1&lt;År1,0,K259*(1-VLOOKUP($A260,[1]Hugst!$R$5:$W$9,MATCH(ROUNDUP((L$1)/10,0)*10,[1]Hugst!$R$4:$W$4,0))))</f>
        <v>0</v>
      </c>
      <c r="M260">
        <f ca="1">IF($C260-M$1&lt;År1,0,L259*(1-VLOOKUP($A260,[1]Hugst!$R$5:$W$9,MATCH(ROUNDUP((M$1)/10,0)*10,[1]Hugst!$R$4:$W$4,0))))</f>
        <v>0</v>
      </c>
      <c r="N260">
        <f ca="1">IF($C260-N$1&lt;År1,0,M259*(1-VLOOKUP($A260,[1]Hugst!$R$5:$W$9,MATCH(ROUNDUP((N$1)/10,0)*10,[1]Hugst!$R$4:$W$4,0))))</f>
        <v>0</v>
      </c>
      <c r="O260">
        <f ca="1">IF($C260-O$1&lt;År1,0,N259*(1-VLOOKUP($A260,[1]Hugst!$R$5:$W$9,MATCH(ROUNDUP((O$1)/10,0)*10,[1]Hugst!$R$4:$W$4,0))))</f>
        <v>0</v>
      </c>
      <c r="P260">
        <f ca="1">IF($C260-P$1&lt;År1,0,O259*(1-VLOOKUP($A260,[1]Hugst!$R$5:$W$9,MATCH(ROUNDUP((P$1)/10,0)*10,[1]Hugst!$R$4:$W$4,0))))</f>
        <v>0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25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>
        <f ca="1">IF($C261-G$1&lt;År1,0,F260*(1-VLOOKUP($A261,[1]Hugst!$R$5:$W$9,MATCH(ROUNDUP((G$1)/10,0)*10,[1]Hugst!$R$4:$W$4,0))))</f>
        <v>0</v>
      </c>
      <c r="H261">
        <f ca="1">IF($C261-H$1&lt;År1,0,G260*(1-VLOOKUP($A261,[1]Hugst!$R$5:$W$9,MATCH(ROUNDUP((H$1)/10,0)*10,[1]Hugst!$R$4:$W$4,0))))</f>
        <v>0</v>
      </c>
      <c r="I261">
        <f ca="1">IF($C261-I$1&lt;År1,0,H260*(1-VLOOKUP($A261,[1]Hugst!$R$5:$W$9,MATCH(ROUNDUP((I$1)/10,0)*10,[1]Hugst!$R$4:$W$4,0))))</f>
        <v>0</v>
      </c>
      <c r="J261">
        <f ca="1">IF($C261-J$1&lt;År1,0,I260*(1-VLOOKUP($A261,[1]Hugst!$R$5:$W$9,MATCH(ROUNDUP((J$1)/10,0)*10,[1]Hugst!$R$4:$W$4,0))))</f>
        <v>0</v>
      </c>
      <c r="K261">
        <f ca="1">IF($C261-K$1&lt;År1,0,J260*(1-VLOOKUP($A261,[1]Hugst!$R$5:$W$9,MATCH(ROUNDUP((K$1)/10,0)*10,[1]Hugst!$R$4:$W$4,0))))</f>
        <v>0</v>
      </c>
      <c r="L261">
        <f ca="1">IF($C261-L$1&lt;År1,0,K260*(1-VLOOKUP($A261,[1]Hugst!$R$5:$W$9,MATCH(ROUNDUP((L$1)/10,0)*10,[1]Hugst!$R$4:$W$4,0))))</f>
        <v>0</v>
      </c>
      <c r="M261">
        <f ca="1">IF($C261-M$1&lt;År1,0,L260*(1-VLOOKUP($A261,[1]Hugst!$R$5:$W$9,MATCH(ROUNDUP((M$1)/10,0)*10,[1]Hugst!$R$4:$W$4,0))))</f>
        <v>0</v>
      </c>
      <c r="N261">
        <f ca="1">IF($C261-N$1&lt;År1,0,M260*(1-VLOOKUP($A261,[1]Hugst!$R$5:$W$9,MATCH(ROUNDUP((N$1)/10,0)*10,[1]Hugst!$R$4:$W$4,0))))</f>
        <v>0</v>
      </c>
      <c r="O261">
        <f ca="1">IF($C261-O$1&lt;År1,0,N260*(1-VLOOKUP($A261,[1]Hugst!$R$5:$W$9,MATCH(ROUNDUP((O$1)/10,0)*10,[1]Hugst!$R$4:$W$4,0))))</f>
        <v>0</v>
      </c>
      <c r="P261">
        <f ca="1">IF($C261-P$1&lt;År1,0,O260*(1-VLOOKUP($A261,[1]Hugst!$R$5:$W$9,MATCH(ROUNDUP((P$1)/10,0)*10,[1]Hugst!$R$4:$W$4,0))))</f>
        <v>0</v>
      </c>
      <c r="Q261">
        <f ca="1">IF($C261-Q$1&lt;År1,0,P260*(1-VLOOKUP($A261,[1]Hugst!$R$5:$W$9,MATCH(ROUNDUP((Q$1)/10,0)*10,[1]Hugst!$R$4:$W$4,0))))</f>
        <v>0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25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>
        <f ca="1">IF($C262-G$1&lt;År1,0,F261*(1-VLOOKUP($A262,[1]Hugst!$R$5:$W$9,MATCH(ROUNDUP((G$1)/10,0)*10,[1]Hugst!$R$4:$W$4,0))))</f>
        <v>0</v>
      </c>
      <c r="H262">
        <f ca="1">IF($C262-H$1&lt;År1,0,G261*(1-VLOOKUP($A262,[1]Hugst!$R$5:$W$9,MATCH(ROUNDUP((H$1)/10,0)*10,[1]Hugst!$R$4:$W$4,0))))</f>
        <v>0</v>
      </c>
      <c r="I262">
        <f ca="1">IF($C262-I$1&lt;År1,0,H261*(1-VLOOKUP($A262,[1]Hugst!$R$5:$W$9,MATCH(ROUNDUP((I$1)/10,0)*10,[1]Hugst!$R$4:$W$4,0))))</f>
        <v>0</v>
      </c>
      <c r="J262">
        <f ca="1">IF($C262-J$1&lt;År1,0,I261*(1-VLOOKUP($A262,[1]Hugst!$R$5:$W$9,MATCH(ROUNDUP((J$1)/10,0)*10,[1]Hugst!$R$4:$W$4,0))))</f>
        <v>0</v>
      </c>
      <c r="K262">
        <f ca="1">IF($C262-K$1&lt;År1,0,J261*(1-VLOOKUP($A262,[1]Hugst!$R$5:$W$9,MATCH(ROUNDUP((K$1)/10,0)*10,[1]Hugst!$R$4:$W$4,0))))</f>
        <v>0</v>
      </c>
      <c r="L262">
        <f ca="1">IF($C262-L$1&lt;År1,0,K261*(1-VLOOKUP($A262,[1]Hugst!$R$5:$W$9,MATCH(ROUNDUP((L$1)/10,0)*10,[1]Hugst!$R$4:$W$4,0))))</f>
        <v>0</v>
      </c>
      <c r="M262">
        <f ca="1">IF($C262-M$1&lt;År1,0,L261*(1-VLOOKUP($A262,[1]Hugst!$R$5:$W$9,MATCH(ROUNDUP((M$1)/10,0)*10,[1]Hugst!$R$4:$W$4,0))))</f>
        <v>0</v>
      </c>
      <c r="N262">
        <f ca="1">IF($C262-N$1&lt;År1,0,M261*(1-VLOOKUP($A262,[1]Hugst!$R$5:$W$9,MATCH(ROUNDUP((N$1)/10,0)*10,[1]Hugst!$R$4:$W$4,0))))</f>
        <v>0</v>
      </c>
      <c r="O262">
        <f ca="1">IF($C262-O$1&lt;År1,0,N261*(1-VLOOKUP($A262,[1]Hugst!$R$5:$W$9,MATCH(ROUNDUP((O$1)/10,0)*10,[1]Hugst!$R$4:$W$4,0))))</f>
        <v>0</v>
      </c>
      <c r="P262">
        <f ca="1">IF($C262-P$1&lt;År1,0,O261*(1-VLOOKUP($A262,[1]Hugst!$R$5:$W$9,MATCH(ROUNDUP((P$1)/10,0)*10,[1]Hugst!$R$4:$W$4,0))))</f>
        <v>0</v>
      </c>
      <c r="Q262">
        <f ca="1">IF($C262-Q$1&lt;År1,0,P261*(1-VLOOKUP($A262,[1]Hugst!$R$5:$W$9,MATCH(ROUNDUP((Q$1)/10,0)*10,[1]Hugst!$R$4:$W$4,0))))</f>
        <v>0</v>
      </c>
      <c r="R262">
        <f ca="1">IF($C262-R$1&lt;År1,0,Q261*(1-VLOOKUP($A262,[1]Hugst!$R$5:$W$9,MATCH(ROUNDUP((R$1)/10,0)*10,[1]Hugst!$R$4:$W$4,0))))</f>
        <v>0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25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>
        <f ca="1">IF($C263-G$1&lt;År1,0,F262*(1-VLOOKUP($A263,[1]Hugst!$R$5:$W$9,MATCH(ROUNDUP((G$1)/10,0)*10,[1]Hugst!$R$4:$W$4,0))))</f>
        <v>0</v>
      </c>
      <c r="H263">
        <f ca="1">IF($C263-H$1&lt;År1,0,G262*(1-VLOOKUP($A263,[1]Hugst!$R$5:$W$9,MATCH(ROUNDUP((H$1)/10,0)*10,[1]Hugst!$R$4:$W$4,0))))</f>
        <v>0</v>
      </c>
      <c r="I263">
        <f ca="1">IF($C263-I$1&lt;År1,0,H262*(1-VLOOKUP($A263,[1]Hugst!$R$5:$W$9,MATCH(ROUNDUP((I$1)/10,0)*10,[1]Hugst!$R$4:$W$4,0))))</f>
        <v>0</v>
      </c>
      <c r="J263">
        <f ca="1">IF($C263-J$1&lt;År1,0,I262*(1-VLOOKUP($A263,[1]Hugst!$R$5:$W$9,MATCH(ROUNDUP((J$1)/10,0)*10,[1]Hugst!$R$4:$W$4,0))))</f>
        <v>0</v>
      </c>
      <c r="K263">
        <f ca="1">IF($C263-K$1&lt;År1,0,J262*(1-VLOOKUP($A263,[1]Hugst!$R$5:$W$9,MATCH(ROUNDUP((K$1)/10,0)*10,[1]Hugst!$R$4:$W$4,0))))</f>
        <v>0</v>
      </c>
      <c r="L263">
        <f ca="1">IF($C263-L$1&lt;År1,0,K262*(1-VLOOKUP($A263,[1]Hugst!$R$5:$W$9,MATCH(ROUNDUP((L$1)/10,0)*10,[1]Hugst!$R$4:$W$4,0))))</f>
        <v>0</v>
      </c>
      <c r="M263">
        <f ca="1">IF($C263-M$1&lt;År1,0,L262*(1-VLOOKUP($A263,[1]Hugst!$R$5:$W$9,MATCH(ROUNDUP((M$1)/10,0)*10,[1]Hugst!$R$4:$W$4,0))))</f>
        <v>0</v>
      </c>
      <c r="N263">
        <f ca="1">IF($C263-N$1&lt;År1,0,M262*(1-VLOOKUP($A263,[1]Hugst!$R$5:$W$9,MATCH(ROUNDUP((N$1)/10,0)*10,[1]Hugst!$R$4:$W$4,0))))</f>
        <v>0</v>
      </c>
      <c r="O263">
        <f ca="1">IF($C263-O$1&lt;År1,0,N262*(1-VLOOKUP($A263,[1]Hugst!$R$5:$W$9,MATCH(ROUNDUP((O$1)/10,0)*10,[1]Hugst!$R$4:$W$4,0))))</f>
        <v>0</v>
      </c>
      <c r="P263">
        <f ca="1">IF($C263-P$1&lt;År1,0,O262*(1-VLOOKUP($A263,[1]Hugst!$R$5:$W$9,MATCH(ROUNDUP((P$1)/10,0)*10,[1]Hugst!$R$4:$W$4,0))))</f>
        <v>0</v>
      </c>
      <c r="Q263">
        <f ca="1">IF($C263-Q$1&lt;År1,0,P262*(1-VLOOKUP($A263,[1]Hugst!$R$5:$W$9,MATCH(ROUNDUP((Q$1)/10,0)*10,[1]Hugst!$R$4:$W$4,0))))</f>
        <v>0</v>
      </c>
      <c r="R263">
        <f ca="1">IF($C263-R$1&lt;År1,0,Q262*(1-VLOOKUP($A263,[1]Hugst!$R$5:$W$9,MATCH(ROUNDUP((R$1)/10,0)*10,[1]Hugst!$R$4:$W$4,0))))</f>
        <v>0</v>
      </c>
      <c r="S263">
        <f ca="1">IF($C263-S$1&lt;År1,0,R262*(1-VLOOKUP($A263,[1]Hugst!$R$5:$W$9,MATCH(ROUNDUP((S$1)/10,0)*10,[1]Hugst!$R$4:$W$4,0))))</f>
        <v>0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25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>
        <f ca="1">IF($C264-G$1&lt;År1,0,F263*(1-VLOOKUP($A264,[1]Hugst!$R$5:$W$9,MATCH(ROUNDUP((G$1)/10,0)*10,[1]Hugst!$R$4:$W$4,0))))</f>
        <v>0</v>
      </c>
      <c r="H264">
        <f ca="1">IF($C264-H$1&lt;År1,0,G263*(1-VLOOKUP($A264,[1]Hugst!$R$5:$W$9,MATCH(ROUNDUP((H$1)/10,0)*10,[1]Hugst!$R$4:$W$4,0))))</f>
        <v>0</v>
      </c>
      <c r="I264">
        <f ca="1">IF($C264-I$1&lt;År1,0,H263*(1-VLOOKUP($A264,[1]Hugst!$R$5:$W$9,MATCH(ROUNDUP((I$1)/10,0)*10,[1]Hugst!$R$4:$W$4,0))))</f>
        <v>0</v>
      </c>
      <c r="J264">
        <f ca="1">IF($C264-J$1&lt;År1,0,I263*(1-VLOOKUP($A264,[1]Hugst!$R$5:$W$9,MATCH(ROUNDUP((J$1)/10,0)*10,[1]Hugst!$R$4:$W$4,0))))</f>
        <v>0</v>
      </c>
      <c r="K264">
        <f ca="1">IF($C264-K$1&lt;År1,0,J263*(1-VLOOKUP($A264,[1]Hugst!$R$5:$W$9,MATCH(ROUNDUP((K$1)/10,0)*10,[1]Hugst!$R$4:$W$4,0))))</f>
        <v>0</v>
      </c>
      <c r="L264">
        <f ca="1">IF($C264-L$1&lt;År1,0,K263*(1-VLOOKUP($A264,[1]Hugst!$R$5:$W$9,MATCH(ROUNDUP((L$1)/10,0)*10,[1]Hugst!$R$4:$W$4,0))))</f>
        <v>0</v>
      </c>
      <c r="M264">
        <f ca="1">IF($C264-M$1&lt;År1,0,L263*(1-VLOOKUP($A264,[1]Hugst!$R$5:$W$9,MATCH(ROUNDUP((M$1)/10,0)*10,[1]Hugst!$R$4:$W$4,0))))</f>
        <v>0</v>
      </c>
      <c r="N264">
        <f ca="1">IF($C264-N$1&lt;År1,0,M263*(1-VLOOKUP($A264,[1]Hugst!$R$5:$W$9,MATCH(ROUNDUP((N$1)/10,0)*10,[1]Hugst!$R$4:$W$4,0))))</f>
        <v>0</v>
      </c>
      <c r="O264">
        <f ca="1">IF($C264-O$1&lt;År1,0,N263*(1-VLOOKUP($A264,[1]Hugst!$R$5:$W$9,MATCH(ROUNDUP((O$1)/10,0)*10,[1]Hugst!$R$4:$W$4,0))))</f>
        <v>0</v>
      </c>
      <c r="P264">
        <f ca="1">IF($C264-P$1&lt;År1,0,O263*(1-VLOOKUP($A264,[1]Hugst!$R$5:$W$9,MATCH(ROUNDUP((P$1)/10,0)*10,[1]Hugst!$R$4:$W$4,0))))</f>
        <v>0</v>
      </c>
      <c r="Q264">
        <f ca="1">IF($C264-Q$1&lt;År1,0,P263*(1-VLOOKUP($A264,[1]Hugst!$R$5:$W$9,MATCH(ROUNDUP((Q$1)/10,0)*10,[1]Hugst!$R$4:$W$4,0))))</f>
        <v>0</v>
      </c>
      <c r="R264">
        <f ca="1">IF($C264-R$1&lt;År1,0,Q263*(1-VLOOKUP($A264,[1]Hugst!$R$5:$W$9,MATCH(ROUNDUP((R$1)/10,0)*10,[1]Hugst!$R$4:$W$4,0))))</f>
        <v>0</v>
      </c>
      <c r="S264">
        <f ca="1">IF($C264-S$1&lt;År1,0,R263*(1-VLOOKUP($A264,[1]Hugst!$R$5:$W$9,MATCH(ROUNDUP((S$1)/10,0)*10,[1]Hugst!$R$4:$W$4,0))))</f>
        <v>0</v>
      </c>
      <c r="T264">
        <f ca="1">IF($C264-T$1&lt;År1,0,S263*(1-VLOOKUP($A264,[1]Hugst!$R$5:$W$9,MATCH(ROUNDUP((T$1)/10,0)*10,[1]Hugst!$R$4:$W$4,0))))</f>
        <v>0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25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>
        <f ca="1">IF($C265-G$1&lt;År1,0,F264*(1-VLOOKUP($A265,[1]Hugst!$R$5:$W$9,MATCH(ROUNDUP((G$1)/10,0)*10,[1]Hugst!$R$4:$W$4,0))))</f>
        <v>0</v>
      </c>
      <c r="H265">
        <f ca="1">IF($C265-H$1&lt;År1,0,G264*(1-VLOOKUP($A265,[1]Hugst!$R$5:$W$9,MATCH(ROUNDUP((H$1)/10,0)*10,[1]Hugst!$R$4:$W$4,0))))</f>
        <v>0</v>
      </c>
      <c r="I265">
        <f ca="1">IF($C265-I$1&lt;År1,0,H264*(1-VLOOKUP($A265,[1]Hugst!$R$5:$W$9,MATCH(ROUNDUP((I$1)/10,0)*10,[1]Hugst!$R$4:$W$4,0))))</f>
        <v>0</v>
      </c>
      <c r="J265">
        <f ca="1">IF($C265-J$1&lt;År1,0,I264*(1-VLOOKUP($A265,[1]Hugst!$R$5:$W$9,MATCH(ROUNDUP((J$1)/10,0)*10,[1]Hugst!$R$4:$W$4,0))))</f>
        <v>0</v>
      </c>
      <c r="K265">
        <f ca="1">IF($C265-K$1&lt;År1,0,J264*(1-VLOOKUP($A265,[1]Hugst!$R$5:$W$9,MATCH(ROUNDUP((K$1)/10,0)*10,[1]Hugst!$R$4:$W$4,0))))</f>
        <v>0</v>
      </c>
      <c r="L265">
        <f ca="1">IF($C265-L$1&lt;År1,0,K264*(1-VLOOKUP($A265,[1]Hugst!$R$5:$W$9,MATCH(ROUNDUP((L$1)/10,0)*10,[1]Hugst!$R$4:$W$4,0))))</f>
        <v>0</v>
      </c>
      <c r="M265">
        <f ca="1">IF($C265-M$1&lt;År1,0,L264*(1-VLOOKUP($A265,[1]Hugst!$R$5:$W$9,MATCH(ROUNDUP((M$1)/10,0)*10,[1]Hugst!$R$4:$W$4,0))))</f>
        <v>0</v>
      </c>
      <c r="N265">
        <f ca="1">IF($C265-N$1&lt;År1,0,M264*(1-VLOOKUP($A265,[1]Hugst!$R$5:$W$9,MATCH(ROUNDUP((N$1)/10,0)*10,[1]Hugst!$R$4:$W$4,0))))</f>
        <v>0</v>
      </c>
      <c r="O265">
        <f ca="1">IF($C265-O$1&lt;År1,0,N264*(1-VLOOKUP($A265,[1]Hugst!$R$5:$W$9,MATCH(ROUNDUP((O$1)/10,0)*10,[1]Hugst!$R$4:$W$4,0))))</f>
        <v>0</v>
      </c>
      <c r="P265">
        <f ca="1">IF($C265-P$1&lt;År1,0,O264*(1-VLOOKUP($A265,[1]Hugst!$R$5:$W$9,MATCH(ROUNDUP((P$1)/10,0)*10,[1]Hugst!$R$4:$W$4,0))))</f>
        <v>0</v>
      </c>
      <c r="Q265">
        <f ca="1">IF($C265-Q$1&lt;År1,0,P264*(1-VLOOKUP($A265,[1]Hugst!$R$5:$W$9,MATCH(ROUNDUP((Q$1)/10,0)*10,[1]Hugst!$R$4:$W$4,0))))</f>
        <v>0</v>
      </c>
      <c r="R265">
        <f ca="1">IF($C265-R$1&lt;År1,0,Q264*(1-VLOOKUP($A265,[1]Hugst!$R$5:$W$9,MATCH(ROUNDUP((R$1)/10,0)*10,[1]Hugst!$R$4:$W$4,0))))</f>
        <v>0</v>
      </c>
      <c r="S265">
        <f ca="1">IF($C265-S$1&lt;År1,0,R264*(1-VLOOKUP($A265,[1]Hugst!$R$5:$W$9,MATCH(ROUNDUP((S$1)/10,0)*10,[1]Hugst!$R$4:$W$4,0))))</f>
        <v>0</v>
      </c>
      <c r="T265">
        <f ca="1">IF($C265-T$1&lt;År1,0,S264*(1-VLOOKUP($A265,[1]Hugst!$R$5:$W$9,MATCH(ROUNDUP((T$1)/10,0)*10,[1]Hugst!$R$4:$W$4,0))))</f>
        <v>0</v>
      </c>
      <c r="U265">
        <f ca="1">IF($C265-U$1&lt;År1,0,T264*(1-VLOOKUP($A265,[1]Hugst!$R$5:$W$9,MATCH(ROUNDUP((U$1)/10,0)*10,[1]Hugst!$R$4:$W$4,0))))</f>
        <v>0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25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>
        <f ca="1">IF($C266-G$1&lt;År1,0,F265*(1-VLOOKUP($A266,[1]Hugst!$R$5:$W$9,MATCH(ROUNDUP((G$1)/10,0)*10,[1]Hugst!$R$4:$W$4,0))))</f>
        <v>0</v>
      </c>
      <c r="H266">
        <f ca="1">IF($C266-H$1&lt;År1,0,G265*(1-VLOOKUP($A266,[1]Hugst!$R$5:$W$9,MATCH(ROUNDUP((H$1)/10,0)*10,[1]Hugst!$R$4:$W$4,0))))</f>
        <v>0</v>
      </c>
      <c r="I266">
        <f ca="1">IF($C266-I$1&lt;År1,0,H265*(1-VLOOKUP($A266,[1]Hugst!$R$5:$W$9,MATCH(ROUNDUP((I$1)/10,0)*10,[1]Hugst!$R$4:$W$4,0))))</f>
        <v>0</v>
      </c>
      <c r="J266">
        <f ca="1">IF($C266-J$1&lt;År1,0,I265*(1-VLOOKUP($A266,[1]Hugst!$R$5:$W$9,MATCH(ROUNDUP((J$1)/10,0)*10,[1]Hugst!$R$4:$W$4,0))))</f>
        <v>0</v>
      </c>
      <c r="K266">
        <f ca="1">IF($C266-K$1&lt;År1,0,J265*(1-VLOOKUP($A266,[1]Hugst!$R$5:$W$9,MATCH(ROUNDUP((K$1)/10,0)*10,[1]Hugst!$R$4:$W$4,0))))</f>
        <v>0</v>
      </c>
      <c r="L266">
        <f ca="1">IF($C266-L$1&lt;År1,0,K265*(1-VLOOKUP($A266,[1]Hugst!$R$5:$W$9,MATCH(ROUNDUP((L$1)/10,0)*10,[1]Hugst!$R$4:$W$4,0))))</f>
        <v>0</v>
      </c>
      <c r="M266">
        <f ca="1">IF($C266-M$1&lt;År1,0,L265*(1-VLOOKUP($A266,[1]Hugst!$R$5:$W$9,MATCH(ROUNDUP((M$1)/10,0)*10,[1]Hugst!$R$4:$W$4,0))))</f>
        <v>0</v>
      </c>
      <c r="N266">
        <f ca="1">IF($C266-N$1&lt;År1,0,M265*(1-VLOOKUP($A266,[1]Hugst!$R$5:$W$9,MATCH(ROUNDUP((N$1)/10,0)*10,[1]Hugst!$R$4:$W$4,0))))</f>
        <v>0</v>
      </c>
      <c r="O266">
        <f ca="1">IF($C266-O$1&lt;År1,0,N265*(1-VLOOKUP($A266,[1]Hugst!$R$5:$W$9,MATCH(ROUNDUP((O$1)/10,0)*10,[1]Hugst!$R$4:$W$4,0))))</f>
        <v>0</v>
      </c>
      <c r="P266">
        <f ca="1">IF($C266-P$1&lt;År1,0,O265*(1-VLOOKUP($A266,[1]Hugst!$R$5:$W$9,MATCH(ROUNDUP((P$1)/10,0)*10,[1]Hugst!$R$4:$W$4,0))))</f>
        <v>0</v>
      </c>
      <c r="Q266">
        <f ca="1">IF($C266-Q$1&lt;År1,0,P265*(1-VLOOKUP($A266,[1]Hugst!$R$5:$W$9,MATCH(ROUNDUP((Q$1)/10,0)*10,[1]Hugst!$R$4:$W$4,0))))</f>
        <v>0</v>
      </c>
      <c r="R266">
        <f ca="1">IF($C266-R$1&lt;År1,0,Q265*(1-VLOOKUP($A266,[1]Hugst!$R$5:$W$9,MATCH(ROUNDUP((R$1)/10,0)*10,[1]Hugst!$R$4:$W$4,0))))</f>
        <v>0</v>
      </c>
      <c r="S266">
        <f ca="1">IF($C266-S$1&lt;År1,0,R265*(1-VLOOKUP($A266,[1]Hugst!$R$5:$W$9,MATCH(ROUNDUP((S$1)/10,0)*10,[1]Hugst!$R$4:$W$4,0))))</f>
        <v>0</v>
      </c>
      <c r="T266">
        <f ca="1">IF($C266-T$1&lt;År1,0,S265*(1-VLOOKUP($A266,[1]Hugst!$R$5:$W$9,MATCH(ROUNDUP((T$1)/10,0)*10,[1]Hugst!$R$4:$W$4,0))))</f>
        <v>0</v>
      </c>
      <c r="U266">
        <f ca="1">IF($C266-U$1&lt;År1,0,T265*(1-VLOOKUP($A266,[1]Hugst!$R$5:$W$9,MATCH(ROUNDUP((U$1)/10,0)*10,[1]Hugst!$R$4:$W$4,0))))</f>
        <v>0</v>
      </c>
      <c r="V266">
        <f ca="1">IF($C266-V$1&lt;År1,0,U265*(1-VLOOKUP($A266,[1]Hugst!$R$5:$W$9,MATCH(ROUNDUP((V$1)/10,0)*10,[1]Hugst!$R$4:$W$4,0))))</f>
        <v>0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25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>
        <f ca="1">IF($C267-G$1&lt;År1,0,F266*(1-VLOOKUP($A267,[1]Hugst!$R$5:$W$9,MATCH(ROUNDUP((G$1)/10,0)*10,[1]Hugst!$R$4:$W$4,0))))</f>
        <v>0</v>
      </c>
      <c r="H267">
        <f ca="1">IF($C267-H$1&lt;År1,0,G266*(1-VLOOKUP($A267,[1]Hugst!$R$5:$W$9,MATCH(ROUNDUP((H$1)/10,0)*10,[1]Hugst!$R$4:$W$4,0))))</f>
        <v>0</v>
      </c>
      <c r="I267">
        <f ca="1">IF($C267-I$1&lt;År1,0,H266*(1-VLOOKUP($A267,[1]Hugst!$R$5:$W$9,MATCH(ROUNDUP((I$1)/10,0)*10,[1]Hugst!$R$4:$W$4,0))))</f>
        <v>0</v>
      </c>
      <c r="J267">
        <f ca="1">IF($C267-J$1&lt;År1,0,I266*(1-VLOOKUP($A267,[1]Hugst!$R$5:$W$9,MATCH(ROUNDUP((J$1)/10,0)*10,[1]Hugst!$R$4:$W$4,0))))</f>
        <v>0</v>
      </c>
      <c r="K267">
        <f ca="1">IF($C267-K$1&lt;År1,0,J266*(1-VLOOKUP($A267,[1]Hugst!$R$5:$W$9,MATCH(ROUNDUP((K$1)/10,0)*10,[1]Hugst!$R$4:$W$4,0))))</f>
        <v>0</v>
      </c>
      <c r="L267">
        <f ca="1">IF($C267-L$1&lt;År1,0,K266*(1-VLOOKUP($A267,[1]Hugst!$R$5:$W$9,MATCH(ROUNDUP((L$1)/10,0)*10,[1]Hugst!$R$4:$W$4,0))))</f>
        <v>0</v>
      </c>
      <c r="M267">
        <f ca="1">IF($C267-M$1&lt;År1,0,L266*(1-VLOOKUP($A267,[1]Hugst!$R$5:$W$9,MATCH(ROUNDUP((M$1)/10,0)*10,[1]Hugst!$R$4:$W$4,0))))</f>
        <v>0</v>
      </c>
      <c r="N267">
        <f ca="1">IF($C267-N$1&lt;År1,0,M266*(1-VLOOKUP($A267,[1]Hugst!$R$5:$W$9,MATCH(ROUNDUP((N$1)/10,0)*10,[1]Hugst!$R$4:$W$4,0))))</f>
        <v>0</v>
      </c>
      <c r="O267">
        <f ca="1">IF($C267-O$1&lt;År1,0,N266*(1-VLOOKUP($A267,[1]Hugst!$R$5:$W$9,MATCH(ROUNDUP((O$1)/10,0)*10,[1]Hugst!$R$4:$W$4,0))))</f>
        <v>0</v>
      </c>
      <c r="P267">
        <f ca="1">IF($C267-P$1&lt;År1,0,O266*(1-VLOOKUP($A267,[1]Hugst!$R$5:$W$9,MATCH(ROUNDUP((P$1)/10,0)*10,[1]Hugst!$R$4:$W$4,0))))</f>
        <v>0</v>
      </c>
      <c r="Q267">
        <f ca="1">IF($C267-Q$1&lt;År1,0,P266*(1-VLOOKUP($A267,[1]Hugst!$R$5:$W$9,MATCH(ROUNDUP((Q$1)/10,0)*10,[1]Hugst!$R$4:$W$4,0))))</f>
        <v>0</v>
      </c>
      <c r="R267">
        <f ca="1">IF($C267-R$1&lt;År1,0,Q266*(1-VLOOKUP($A267,[1]Hugst!$R$5:$W$9,MATCH(ROUNDUP((R$1)/10,0)*10,[1]Hugst!$R$4:$W$4,0))))</f>
        <v>0</v>
      </c>
      <c r="S267">
        <f ca="1">IF($C267-S$1&lt;År1,0,R266*(1-VLOOKUP($A267,[1]Hugst!$R$5:$W$9,MATCH(ROUNDUP((S$1)/10,0)*10,[1]Hugst!$R$4:$W$4,0))))</f>
        <v>0</v>
      </c>
      <c r="T267">
        <f ca="1">IF($C267-T$1&lt;År1,0,S266*(1-VLOOKUP($A267,[1]Hugst!$R$5:$W$9,MATCH(ROUNDUP((T$1)/10,0)*10,[1]Hugst!$R$4:$W$4,0))))</f>
        <v>0</v>
      </c>
      <c r="U267">
        <f ca="1">IF($C267-U$1&lt;År1,0,T266*(1-VLOOKUP($A267,[1]Hugst!$R$5:$W$9,MATCH(ROUNDUP((U$1)/10,0)*10,[1]Hugst!$R$4:$W$4,0))))</f>
        <v>0</v>
      </c>
      <c r="V267">
        <f ca="1">IF($C267-V$1&lt;År1,0,U266*(1-VLOOKUP($A267,[1]Hugst!$R$5:$W$9,MATCH(ROUNDUP((V$1)/10,0)*10,[1]Hugst!$R$4:$W$4,0))))</f>
        <v>0</v>
      </c>
      <c r="W267">
        <f ca="1">IF($C267-W$1&lt;År1,0,V266*(1-VLOOKUP($A267,[1]Hugst!$R$5:$W$9,MATCH(ROUNDUP((W$1)/10,0)*10,[1]Hugst!$R$4:$W$4,0))))</f>
        <v>0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25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>
        <f ca="1">IF($C268-G$1&lt;År1,0,F267*(1-VLOOKUP($A268,[1]Hugst!$R$5:$W$9,MATCH(ROUNDUP((G$1)/10,0)*10,[1]Hugst!$R$4:$W$4,0))))</f>
        <v>0</v>
      </c>
      <c r="H268">
        <f ca="1">IF($C268-H$1&lt;År1,0,G267*(1-VLOOKUP($A268,[1]Hugst!$R$5:$W$9,MATCH(ROUNDUP((H$1)/10,0)*10,[1]Hugst!$R$4:$W$4,0))))</f>
        <v>0</v>
      </c>
      <c r="I268">
        <f ca="1">IF($C268-I$1&lt;År1,0,H267*(1-VLOOKUP($A268,[1]Hugst!$R$5:$W$9,MATCH(ROUNDUP((I$1)/10,0)*10,[1]Hugst!$R$4:$W$4,0))))</f>
        <v>0</v>
      </c>
      <c r="J268">
        <f ca="1">IF($C268-J$1&lt;År1,0,I267*(1-VLOOKUP($A268,[1]Hugst!$R$5:$W$9,MATCH(ROUNDUP((J$1)/10,0)*10,[1]Hugst!$R$4:$W$4,0))))</f>
        <v>0</v>
      </c>
      <c r="K268">
        <f ca="1">IF($C268-K$1&lt;År1,0,J267*(1-VLOOKUP($A268,[1]Hugst!$R$5:$W$9,MATCH(ROUNDUP((K$1)/10,0)*10,[1]Hugst!$R$4:$W$4,0))))</f>
        <v>0</v>
      </c>
      <c r="L268">
        <f ca="1">IF($C268-L$1&lt;År1,0,K267*(1-VLOOKUP($A268,[1]Hugst!$R$5:$W$9,MATCH(ROUNDUP((L$1)/10,0)*10,[1]Hugst!$R$4:$W$4,0))))</f>
        <v>0</v>
      </c>
      <c r="M268">
        <f ca="1">IF($C268-M$1&lt;År1,0,L267*(1-VLOOKUP($A268,[1]Hugst!$R$5:$W$9,MATCH(ROUNDUP((M$1)/10,0)*10,[1]Hugst!$R$4:$W$4,0))))</f>
        <v>0</v>
      </c>
      <c r="N268">
        <f ca="1">IF($C268-N$1&lt;År1,0,M267*(1-VLOOKUP($A268,[1]Hugst!$R$5:$W$9,MATCH(ROUNDUP((N$1)/10,0)*10,[1]Hugst!$R$4:$W$4,0))))</f>
        <v>0</v>
      </c>
      <c r="O268">
        <f ca="1">IF($C268-O$1&lt;År1,0,N267*(1-VLOOKUP($A268,[1]Hugst!$R$5:$W$9,MATCH(ROUNDUP((O$1)/10,0)*10,[1]Hugst!$R$4:$W$4,0))))</f>
        <v>0</v>
      </c>
      <c r="P268">
        <f ca="1">IF($C268-P$1&lt;År1,0,O267*(1-VLOOKUP($A268,[1]Hugst!$R$5:$W$9,MATCH(ROUNDUP((P$1)/10,0)*10,[1]Hugst!$R$4:$W$4,0))))</f>
        <v>0</v>
      </c>
      <c r="Q268">
        <f ca="1">IF($C268-Q$1&lt;År1,0,P267*(1-VLOOKUP($A268,[1]Hugst!$R$5:$W$9,MATCH(ROUNDUP((Q$1)/10,0)*10,[1]Hugst!$R$4:$W$4,0))))</f>
        <v>0</v>
      </c>
      <c r="R268">
        <f ca="1">IF($C268-R$1&lt;År1,0,Q267*(1-VLOOKUP($A268,[1]Hugst!$R$5:$W$9,MATCH(ROUNDUP((R$1)/10,0)*10,[1]Hugst!$R$4:$W$4,0))))</f>
        <v>0</v>
      </c>
      <c r="S268">
        <f ca="1">IF($C268-S$1&lt;År1,0,R267*(1-VLOOKUP($A268,[1]Hugst!$R$5:$W$9,MATCH(ROUNDUP((S$1)/10,0)*10,[1]Hugst!$R$4:$W$4,0))))</f>
        <v>0</v>
      </c>
      <c r="T268">
        <f ca="1">IF($C268-T$1&lt;År1,0,S267*(1-VLOOKUP($A268,[1]Hugst!$R$5:$W$9,MATCH(ROUNDUP((T$1)/10,0)*10,[1]Hugst!$R$4:$W$4,0))))</f>
        <v>0</v>
      </c>
      <c r="U268">
        <f ca="1">IF($C268-U$1&lt;År1,0,T267*(1-VLOOKUP($A268,[1]Hugst!$R$5:$W$9,MATCH(ROUNDUP((U$1)/10,0)*10,[1]Hugst!$R$4:$W$4,0))))</f>
        <v>0</v>
      </c>
      <c r="V268">
        <f ca="1">IF($C268-V$1&lt;År1,0,U267*(1-VLOOKUP($A268,[1]Hugst!$R$5:$W$9,MATCH(ROUNDUP((V$1)/10,0)*10,[1]Hugst!$R$4:$W$4,0))))</f>
        <v>0</v>
      </c>
      <c r="W268">
        <f ca="1">IF($C268-W$1&lt;År1,0,V267*(1-VLOOKUP($A268,[1]Hugst!$R$5:$W$9,MATCH(ROUNDUP((W$1)/10,0)*10,[1]Hugst!$R$4:$W$4,0))))</f>
        <v>0</v>
      </c>
      <c r="X268">
        <f ca="1">IF($C268-X$1&lt;År1,0,W267*(1-VLOOKUP($A268,[1]Hugst!$R$5:$W$9,MATCH(ROUNDUP((X$1)/10,0)*10,[1]Hugst!$R$4:$W$4,0))))</f>
        <v>0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25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>
        <f ca="1">IF($C269-G$1&lt;År1,0,F268*(1-VLOOKUP($A269,[1]Hugst!$R$5:$W$9,MATCH(ROUNDUP((G$1)/10,0)*10,[1]Hugst!$R$4:$W$4,0))))</f>
        <v>0</v>
      </c>
      <c r="H269">
        <f ca="1">IF($C269-H$1&lt;År1,0,G268*(1-VLOOKUP($A269,[1]Hugst!$R$5:$W$9,MATCH(ROUNDUP((H$1)/10,0)*10,[1]Hugst!$R$4:$W$4,0))))</f>
        <v>0</v>
      </c>
      <c r="I269">
        <f ca="1">IF($C269-I$1&lt;År1,0,H268*(1-VLOOKUP($A269,[1]Hugst!$R$5:$W$9,MATCH(ROUNDUP((I$1)/10,0)*10,[1]Hugst!$R$4:$W$4,0))))</f>
        <v>0</v>
      </c>
      <c r="J269">
        <f ca="1">IF($C269-J$1&lt;År1,0,I268*(1-VLOOKUP($A269,[1]Hugst!$R$5:$W$9,MATCH(ROUNDUP((J$1)/10,0)*10,[1]Hugst!$R$4:$W$4,0))))</f>
        <v>0</v>
      </c>
      <c r="K269">
        <f ca="1">IF($C269-K$1&lt;År1,0,J268*(1-VLOOKUP($A269,[1]Hugst!$R$5:$W$9,MATCH(ROUNDUP((K$1)/10,0)*10,[1]Hugst!$R$4:$W$4,0))))</f>
        <v>0</v>
      </c>
      <c r="L269">
        <f ca="1">IF($C269-L$1&lt;År1,0,K268*(1-VLOOKUP($A269,[1]Hugst!$R$5:$W$9,MATCH(ROUNDUP((L$1)/10,0)*10,[1]Hugst!$R$4:$W$4,0))))</f>
        <v>0</v>
      </c>
      <c r="M269">
        <f ca="1">IF($C269-M$1&lt;År1,0,L268*(1-VLOOKUP($A269,[1]Hugst!$R$5:$W$9,MATCH(ROUNDUP((M$1)/10,0)*10,[1]Hugst!$R$4:$W$4,0))))</f>
        <v>0</v>
      </c>
      <c r="N269">
        <f ca="1">IF($C269-N$1&lt;År1,0,M268*(1-VLOOKUP($A269,[1]Hugst!$R$5:$W$9,MATCH(ROUNDUP((N$1)/10,0)*10,[1]Hugst!$R$4:$W$4,0))))</f>
        <v>0</v>
      </c>
      <c r="O269">
        <f ca="1">IF($C269-O$1&lt;År1,0,N268*(1-VLOOKUP($A269,[1]Hugst!$R$5:$W$9,MATCH(ROUNDUP((O$1)/10,0)*10,[1]Hugst!$R$4:$W$4,0))))</f>
        <v>0</v>
      </c>
      <c r="P269">
        <f ca="1">IF($C269-P$1&lt;År1,0,O268*(1-VLOOKUP($A269,[1]Hugst!$R$5:$W$9,MATCH(ROUNDUP((P$1)/10,0)*10,[1]Hugst!$R$4:$W$4,0))))</f>
        <v>0</v>
      </c>
      <c r="Q269">
        <f ca="1">IF($C269-Q$1&lt;År1,0,P268*(1-VLOOKUP($A269,[1]Hugst!$R$5:$W$9,MATCH(ROUNDUP((Q$1)/10,0)*10,[1]Hugst!$R$4:$W$4,0))))</f>
        <v>0</v>
      </c>
      <c r="R269">
        <f ca="1">IF($C269-R$1&lt;År1,0,Q268*(1-VLOOKUP($A269,[1]Hugst!$R$5:$W$9,MATCH(ROUNDUP((R$1)/10,0)*10,[1]Hugst!$R$4:$W$4,0))))</f>
        <v>0</v>
      </c>
      <c r="S269">
        <f ca="1">IF($C269-S$1&lt;År1,0,R268*(1-VLOOKUP($A269,[1]Hugst!$R$5:$W$9,MATCH(ROUNDUP((S$1)/10,0)*10,[1]Hugst!$R$4:$W$4,0))))</f>
        <v>0</v>
      </c>
      <c r="T269">
        <f ca="1">IF($C269-T$1&lt;År1,0,S268*(1-VLOOKUP($A269,[1]Hugst!$R$5:$W$9,MATCH(ROUNDUP((T$1)/10,0)*10,[1]Hugst!$R$4:$W$4,0))))</f>
        <v>0</v>
      </c>
      <c r="U269">
        <f ca="1">IF($C269-U$1&lt;År1,0,T268*(1-VLOOKUP($A269,[1]Hugst!$R$5:$W$9,MATCH(ROUNDUP((U$1)/10,0)*10,[1]Hugst!$R$4:$W$4,0))))</f>
        <v>0</v>
      </c>
      <c r="V269">
        <f ca="1">IF($C269-V$1&lt;År1,0,U268*(1-VLOOKUP($A269,[1]Hugst!$R$5:$W$9,MATCH(ROUNDUP((V$1)/10,0)*10,[1]Hugst!$R$4:$W$4,0))))</f>
        <v>0</v>
      </c>
      <c r="W269">
        <f ca="1">IF($C269-W$1&lt;År1,0,V268*(1-VLOOKUP($A269,[1]Hugst!$R$5:$W$9,MATCH(ROUNDUP((W$1)/10,0)*10,[1]Hugst!$R$4:$W$4,0))))</f>
        <v>0</v>
      </c>
      <c r="X269">
        <f ca="1">IF($C269-X$1&lt;År1,0,W268*(1-VLOOKUP($A269,[1]Hugst!$R$5:$W$9,MATCH(ROUNDUP((X$1)/10,0)*10,[1]Hugst!$R$4:$W$4,0))))</f>
        <v>0</v>
      </c>
      <c r="Y269">
        <f ca="1">IF($C269-Y$1&lt;År1,0,X268*(1-VLOOKUP($A269,[1]Hugst!$R$5:$W$9,MATCH(ROUNDUP((Y$1)/10,0)*10,[1]Hugst!$R$4:$W$4,0))))</f>
        <v>0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25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>
        <f ca="1">IF($C270-G$1&lt;År1,0,F269*(1-VLOOKUP($A270,[1]Hugst!$R$5:$W$9,MATCH(ROUNDUP((G$1)/10,0)*10,[1]Hugst!$R$4:$W$4,0))))</f>
        <v>0</v>
      </c>
      <c r="H270">
        <f ca="1">IF($C270-H$1&lt;År1,0,G269*(1-VLOOKUP($A270,[1]Hugst!$R$5:$W$9,MATCH(ROUNDUP((H$1)/10,0)*10,[1]Hugst!$R$4:$W$4,0))))</f>
        <v>0</v>
      </c>
      <c r="I270">
        <f ca="1">IF($C270-I$1&lt;År1,0,H269*(1-VLOOKUP($A270,[1]Hugst!$R$5:$W$9,MATCH(ROUNDUP((I$1)/10,0)*10,[1]Hugst!$R$4:$W$4,0))))</f>
        <v>0</v>
      </c>
      <c r="J270">
        <f ca="1">IF($C270-J$1&lt;År1,0,I269*(1-VLOOKUP($A270,[1]Hugst!$R$5:$W$9,MATCH(ROUNDUP((J$1)/10,0)*10,[1]Hugst!$R$4:$W$4,0))))</f>
        <v>0</v>
      </c>
      <c r="K270">
        <f ca="1">IF($C270-K$1&lt;År1,0,J269*(1-VLOOKUP($A270,[1]Hugst!$R$5:$W$9,MATCH(ROUNDUP((K$1)/10,0)*10,[1]Hugst!$R$4:$W$4,0))))</f>
        <v>0</v>
      </c>
      <c r="L270">
        <f ca="1">IF($C270-L$1&lt;År1,0,K269*(1-VLOOKUP($A270,[1]Hugst!$R$5:$W$9,MATCH(ROUNDUP((L$1)/10,0)*10,[1]Hugst!$R$4:$W$4,0))))</f>
        <v>0</v>
      </c>
      <c r="M270">
        <f ca="1">IF($C270-M$1&lt;År1,0,L269*(1-VLOOKUP($A270,[1]Hugst!$R$5:$W$9,MATCH(ROUNDUP((M$1)/10,0)*10,[1]Hugst!$R$4:$W$4,0))))</f>
        <v>0</v>
      </c>
      <c r="N270">
        <f ca="1">IF($C270-N$1&lt;År1,0,M269*(1-VLOOKUP($A270,[1]Hugst!$R$5:$W$9,MATCH(ROUNDUP((N$1)/10,0)*10,[1]Hugst!$R$4:$W$4,0))))</f>
        <v>0</v>
      </c>
      <c r="O270">
        <f ca="1">IF($C270-O$1&lt;År1,0,N269*(1-VLOOKUP($A270,[1]Hugst!$R$5:$W$9,MATCH(ROUNDUP((O$1)/10,0)*10,[1]Hugst!$R$4:$W$4,0))))</f>
        <v>0</v>
      </c>
      <c r="P270">
        <f ca="1">IF($C270-P$1&lt;År1,0,O269*(1-VLOOKUP($A270,[1]Hugst!$R$5:$W$9,MATCH(ROUNDUP((P$1)/10,0)*10,[1]Hugst!$R$4:$W$4,0))))</f>
        <v>0</v>
      </c>
      <c r="Q270">
        <f ca="1">IF($C270-Q$1&lt;År1,0,P269*(1-VLOOKUP($A270,[1]Hugst!$R$5:$W$9,MATCH(ROUNDUP((Q$1)/10,0)*10,[1]Hugst!$R$4:$W$4,0))))</f>
        <v>0</v>
      </c>
      <c r="R270">
        <f ca="1">IF($C270-R$1&lt;År1,0,Q269*(1-VLOOKUP($A270,[1]Hugst!$R$5:$W$9,MATCH(ROUNDUP((R$1)/10,0)*10,[1]Hugst!$R$4:$W$4,0))))</f>
        <v>0</v>
      </c>
      <c r="S270">
        <f ca="1">IF($C270-S$1&lt;År1,0,R269*(1-VLOOKUP($A270,[1]Hugst!$R$5:$W$9,MATCH(ROUNDUP((S$1)/10,0)*10,[1]Hugst!$R$4:$W$4,0))))</f>
        <v>0</v>
      </c>
      <c r="T270">
        <f ca="1">IF($C270-T$1&lt;År1,0,S269*(1-VLOOKUP($A270,[1]Hugst!$R$5:$W$9,MATCH(ROUNDUP((T$1)/10,0)*10,[1]Hugst!$R$4:$W$4,0))))</f>
        <v>0</v>
      </c>
      <c r="U270">
        <f ca="1">IF($C270-U$1&lt;År1,0,T269*(1-VLOOKUP($A270,[1]Hugst!$R$5:$W$9,MATCH(ROUNDUP((U$1)/10,0)*10,[1]Hugst!$R$4:$W$4,0))))</f>
        <v>0</v>
      </c>
      <c r="V270">
        <f ca="1">IF($C270-V$1&lt;År1,0,U269*(1-VLOOKUP($A270,[1]Hugst!$R$5:$W$9,MATCH(ROUNDUP((V$1)/10,0)*10,[1]Hugst!$R$4:$W$4,0))))</f>
        <v>0</v>
      </c>
      <c r="W270">
        <f ca="1">IF($C270-W$1&lt;År1,0,V269*(1-VLOOKUP($A270,[1]Hugst!$R$5:$W$9,MATCH(ROUNDUP((W$1)/10,0)*10,[1]Hugst!$R$4:$W$4,0))))</f>
        <v>0</v>
      </c>
      <c r="X270">
        <f ca="1">IF($C270-X$1&lt;År1,0,W269*(1-VLOOKUP($A270,[1]Hugst!$R$5:$W$9,MATCH(ROUNDUP((X$1)/10,0)*10,[1]Hugst!$R$4:$W$4,0))))</f>
        <v>0</v>
      </c>
      <c r="Y270">
        <f ca="1">IF($C270-Y$1&lt;År1,0,X269*(1-VLOOKUP($A270,[1]Hugst!$R$5:$W$9,MATCH(ROUNDUP((Y$1)/10,0)*10,[1]Hugst!$R$4:$W$4,0))))</f>
        <v>0</v>
      </c>
      <c r="Z270">
        <f ca="1">IF($C270-Z$1&lt;År1,0,Y269*(1-VLOOKUP($A270,[1]Hugst!$R$5:$W$9,MATCH(ROUNDUP((Z$1)/10,0)*10,[1]Hugst!$R$4:$W$4,0))))</f>
        <v>0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25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>
        <f ca="1">IF($C271-G$1&lt;År1,0,F270*(1-VLOOKUP($A271,[1]Hugst!$R$5:$W$9,MATCH(ROUNDUP((G$1)/10,0)*10,[1]Hugst!$R$4:$W$4,0))))</f>
        <v>0</v>
      </c>
      <c r="H271">
        <f ca="1">IF($C271-H$1&lt;År1,0,G270*(1-VLOOKUP($A271,[1]Hugst!$R$5:$W$9,MATCH(ROUNDUP((H$1)/10,0)*10,[1]Hugst!$R$4:$W$4,0))))</f>
        <v>0</v>
      </c>
      <c r="I271">
        <f ca="1">IF($C271-I$1&lt;År1,0,H270*(1-VLOOKUP($A271,[1]Hugst!$R$5:$W$9,MATCH(ROUNDUP((I$1)/10,0)*10,[1]Hugst!$R$4:$W$4,0))))</f>
        <v>0</v>
      </c>
      <c r="J271">
        <f ca="1">IF($C271-J$1&lt;År1,0,I270*(1-VLOOKUP($A271,[1]Hugst!$R$5:$W$9,MATCH(ROUNDUP((J$1)/10,0)*10,[1]Hugst!$R$4:$W$4,0))))</f>
        <v>0</v>
      </c>
      <c r="K271">
        <f ca="1">IF($C271-K$1&lt;År1,0,J270*(1-VLOOKUP($A271,[1]Hugst!$R$5:$W$9,MATCH(ROUNDUP((K$1)/10,0)*10,[1]Hugst!$R$4:$W$4,0))))</f>
        <v>0</v>
      </c>
      <c r="L271">
        <f ca="1">IF($C271-L$1&lt;År1,0,K270*(1-VLOOKUP($A271,[1]Hugst!$R$5:$W$9,MATCH(ROUNDUP((L$1)/10,0)*10,[1]Hugst!$R$4:$W$4,0))))</f>
        <v>0</v>
      </c>
      <c r="M271">
        <f ca="1">IF($C271-M$1&lt;År1,0,L270*(1-VLOOKUP($A271,[1]Hugst!$R$5:$W$9,MATCH(ROUNDUP((M$1)/10,0)*10,[1]Hugst!$R$4:$W$4,0))))</f>
        <v>0</v>
      </c>
      <c r="N271">
        <f ca="1">IF($C271-N$1&lt;År1,0,M270*(1-VLOOKUP($A271,[1]Hugst!$R$5:$W$9,MATCH(ROUNDUP((N$1)/10,0)*10,[1]Hugst!$R$4:$W$4,0))))</f>
        <v>0</v>
      </c>
      <c r="O271">
        <f ca="1">IF($C271-O$1&lt;År1,0,N270*(1-VLOOKUP($A271,[1]Hugst!$R$5:$W$9,MATCH(ROUNDUP((O$1)/10,0)*10,[1]Hugst!$R$4:$W$4,0))))</f>
        <v>0</v>
      </c>
      <c r="P271">
        <f ca="1">IF($C271-P$1&lt;År1,0,O270*(1-VLOOKUP($A271,[1]Hugst!$R$5:$W$9,MATCH(ROUNDUP((P$1)/10,0)*10,[1]Hugst!$R$4:$W$4,0))))</f>
        <v>0</v>
      </c>
      <c r="Q271">
        <f ca="1">IF($C271-Q$1&lt;År1,0,P270*(1-VLOOKUP($A271,[1]Hugst!$R$5:$W$9,MATCH(ROUNDUP((Q$1)/10,0)*10,[1]Hugst!$R$4:$W$4,0))))</f>
        <v>0</v>
      </c>
      <c r="R271">
        <f ca="1">IF($C271-R$1&lt;År1,0,Q270*(1-VLOOKUP($A271,[1]Hugst!$R$5:$W$9,MATCH(ROUNDUP((R$1)/10,0)*10,[1]Hugst!$R$4:$W$4,0))))</f>
        <v>0</v>
      </c>
      <c r="S271">
        <f ca="1">IF($C271-S$1&lt;År1,0,R270*(1-VLOOKUP($A271,[1]Hugst!$R$5:$W$9,MATCH(ROUNDUP((S$1)/10,0)*10,[1]Hugst!$R$4:$W$4,0))))</f>
        <v>0</v>
      </c>
      <c r="T271">
        <f ca="1">IF($C271-T$1&lt;År1,0,S270*(1-VLOOKUP($A271,[1]Hugst!$R$5:$W$9,MATCH(ROUNDUP((T$1)/10,0)*10,[1]Hugst!$R$4:$W$4,0))))</f>
        <v>0</v>
      </c>
      <c r="U271">
        <f ca="1">IF($C271-U$1&lt;År1,0,T270*(1-VLOOKUP($A271,[1]Hugst!$R$5:$W$9,MATCH(ROUNDUP((U$1)/10,0)*10,[1]Hugst!$R$4:$W$4,0))))</f>
        <v>0</v>
      </c>
      <c r="V271">
        <f ca="1">IF($C271-V$1&lt;År1,0,U270*(1-VLOOKUP($A271,[1]Hugst!$R$5:$W$9,MATCH(ROUNDUP((V$1)/10,0)*10,[1]Hugst!$R$4:$W$4,0))))</f>
        <v>0</v>
      </c>
      <c r="W271">
        <f ca="1">IF($C271-W$1&lt;År1,0,V270*(1-VLOOKUP($A271,[1]Hugst!$R$5:$W$9,MATCH(ROUNDUP((W$1)/10,0)*10,[1]Hugst!$R$4:$W$4,0))))</f>
        <v>0</v>
      </c>
      <c r="X271">
        <f ca="1">IF($C271-X$1&lt;År1,0,W270*(1-VLOOKUP($A271,[1]Hugst!$R$5:$W$9,MATCH(ROUNDUP((X$1)/10,0)*10,[1]Hugst!$R$4:$W$4,0))))</f>
        <v>0</v>
      </c>
      <c r="Y271">
        <f ca="1">IF($C271-Y$1&lt;År1,0,X270*(1-VLOOKUP($A271,[1]Hugst!$R$5:$W$9,MATCH(ROUNDUP((Y$1)/10,0)*10,[1]Hugst!$R$4:$W$4,0))))</f>
        <v>0</v>
      </c>
      <c r="Z271">
        <f ca="1">IF($C271-Z$1&lt;År1,0,Y270*(1-VLOOKUP($A271,[1]Hugst!$R$5:$W$9,MATCH(ROUNDUP((Z$1)/10,0)*10,[1]Hugst!$R$4:$W$4,0))))</f>
        <v>0</v>
      </c>
      <c r="AA271">
        <f ca="1">IF($C271-AA$1&lt;År1,0,Z270*(1-VLOOKUP($A271,[1]Hugst!$R$5:$W$9,MATCH(ROUNDUP((AA$1)/10,0)*10,[1]Hugst!$R$4:$W$4,0))))</f>
        <v>0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25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>
        <f ca="1">IF($C272-G$1&lt;År1,0,F271*(1-VLOOKUP($A272,[1]Hugst!$R$5:$W$9,MATCH(ROUNDUP((G$1)/10,0)*10,[1]Hugst!$R$4:$W$4,0))))</f>
        <v>0</v>
      </c>
      <c r="H272">
        <f ca="1">IF($C272-H$1&lt;År1,0,G271*(1-VLOOKUP($A272,[1]Hugst!$R$5:$W$9,MATCH(ROUNDUP((H$1)/10,0)*10,[1]Hugst!$R$4:$W$4,0))))</f>
        <v>0</v>
      </c>
      <c r="I272">
        <f ca="1">IF($C272-I$1&lt;År1,0,H271*(1-VLOOKUP($A272,[1]Hugst!$R$5:$W$9,MATCH(ROUNDUP((I$1)/10,0)*10,[1]Hugst!$R$4:$W$4,0))))</f>
        <v>0</v>
      </c>
      <c r="J272">
        <f ca="1">IF($C272-J$1&lt;År1,0,I271*(1-VLOOKUP($A272,[1]Hugst!$R$5:$W$9,MATCH(ROUNDUP((J$1)/10,0)*10,[1]Hugst!$R$4:$W$4,0))))</f>
        <v>0</v>
      </c>
      <c r="K272">
        <f ca="1">IF($C272-K$1&lt;År1,0,J271*(1-VLOOKUP($A272,[1]Hugst!$R$5:$W$9,MATCH(ROUNDUP((K$1)/10,0)*10,[1]Hugst!$R$4:$W$4,0))))</f>
        <v>0</v>
      </c>
      <c r="L272">
        <f ca="1">IF($C272-L$1&lt;År1,0,K271*(1-VLOOKUP($A272,[1]Hugst!$R$5:$W$9,MATCH(ROUNDUP((L$1)/10,0)*10,[1]Hugst!$R$4:$W$4,0))))</f>
        <v>0</v>
      </c>
      <c r="M272">
        <f ca="1">IF($C272-M$1&lt;År1,0,L271*(1-VLOOKUP($A272,[1]Hugst!$R$5:$W$9,MATCH(ROUNDUP((M$1)/10,0)*10,[1]Hugst!$R$4:$W$4,0))))</f>
        <v>0</v>
      </c>
      <c r="N272">
        <f ca="1">IF($C272-N$1&lt;År1,0,M271*(1-VLOOKUP($A272,[1]Hugst!$R$5:$W$9,MATCH(ROUNDUP((N$1)/10,0)*10,[1]Hugst!$R$4:$W$4,0))))</f>
        <v>0</v>
      </c>
      <c r="O272">
        <f ca="1">IF($C272-O$1&lt;År1,0,N271*(1-VLOOKUP($A272,[1]Hugst!$R$5:$W$9,MATCH(ROUNDUP((O$1)/10,0)*10,[1]Hugst!$R$4:$W$4,0))))</f>
        <v>0</v>
      </c>
      <c r="P272">
        <f ca="1">IF($C272-P$1&lt;År1,0,O271*(1-VLOOKUP($A272,[1]Hugst!$R$5:$W$9,MATCH(ROUNDUP((P$1)/10,0)*10,[1]Hugst!$R$4:$W$4,0))))</f>
        <v>0</v>
      </c>
      <c r="Q272">
        <f ca="1">IF($C272-Q$1&lt;År1,0,P271*(1-VLOOKUP($A272,[1]Hugst!$R$5:$W$9,MATCH(ROUNDUP((Q$1)/10,0)*10,[1]Hugst!$R$4:$W$4,0))))</f>
        <v>0</v>
      </c>
      <c r="R272">
        <f ca="1">IF($C272-R$1&lt;År1,0,Q271*(1-VLOOKUP($A272,[1]Hugst!$R$5:$W$9,MATCH(ROUNDUP((R$1)/10,0)*10,[1]Hugst!$R$4:$W$4,0))))</f>
        <v>0</v>
      </c>
      <c r="S272">
        <f ca="1">IF($C272-S$1&lt;År1,0,R271*(1-VLOOKUP($A272,[1]Hugst!$R$5:$W$9,MATCH(ROUNDUP((S$1)/10,0)*10,[1]Hugst!$R$4:$W$4,0))))</f>
        <v>0</v>
      </c>
      <c r="T272">
        <f ca="1">IF($C272-T$1&lt;År1,0,S271*(1-VLOOKUP($A272,[1]Hugst!$R$5:$W$9,MATCH(ROUNDUP((T$1)/10,0)*10,[1]Hugst!$R$4:$W$4,0))))</f>
        <v>0</v>
      </c>
      <c r="U272">
        <f ca="1">IF($C272-U$1&lt;År1,0,T271*(1-VLOOKUP($A272,[1]Hugst!$R$5:$W$9,MATCH(ROUNDUP((U$1)/10,0)*10,[1]Hugst!$R$4:$W$4,0))))</f>
        <v>0</v>
      </c>
      <c r="V272">
        <f ca="1">IF($C272-V$1&lt;År1,0,U271*(1-VLOOKUP($A272,[1]Hugst!$R$5:$W$9,MATCH(ROUNDUP((V$1)/10,0)*10,[1]Hugst!$R$4:$W$4,0))))</f>
        <v>0</v>
      </c>
      <c r="W272">
        <f ca="1">IF($C272-W$1&lt;År1,0,V271*(1-VLOOKUP($A272,[1]Hugst!$R$5:$W$9,MATCH(ROUNDUP((W$1)/10,0)*10,[1]Hugst!$R$4:$W$4,0))))</f>
        <v>0</v>
      </c>
      <c r="X272">
        <f ca="1">IF($C272-X$1&lt;År1,0,W271*(1-VLOOKUP($A272,[1]Hugst!$R$5:$W$9,MATCH(ROUNDUP((X$1)/10,0)*10,[1]Hugst!$R$4:$W$4,0))))</f>
        <v>0</v>
      </c>
      <c r="Y272">
        <f ca="1">IF($C272-Y$1&lt;År1,0,X271*(1-VLOOKUP($A272,[1]Hugst!$R$5:$W$9,MATCH(ROUNDUP((Y$1)/10,0)*10,[1]Hugst!$R$4:$W$4,0))))</f>
        <v>0</v>
      </c>
      <c r="Z272">
        <f ca="1">IF($C272-Z$1&lt;År1,0,Y271*(1-VLOOKUP($A272,[1]Hugst!$R$5:$W$9,MATCH(ROUNDUP((Z$1)/10,0)*10,[1]Hugst!$R$4:$W$4,0))))</f>
        <v>0</v>
      </c>
      <c r="AA272">
        <f ca="1">IF($C272-AA$1&lt;År1,0,Z271*(1-VLOOKUP($A272,[1]Hugst!$R$5:$W$9,MATCH(ROUNDUP((AA$1)/10,0)*10,[1]Hugst!$R$4:$W$4,0))))</f>
        <v>0</v>
      </c>
      <c r="AB272">
        <f ca="1">IF($C272-AB$1&lt;År1,0,AA271*(1-VLOOKUP($A272,[1]Hugst!$R$5:$W$9,MATCH(ROUNDUP((AB$1)/10,0)*10,[1]Hugst!$R$4:$W$4,0))))</f>
        <v>0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25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>
        <f ca="1">IF($C273-G$1&lt;År1,0,F272*(1-VLOOKUP($A273,[1]Hugst!$R$5:$W$9,MATCH(ROUNDUP((G$1)/10,0)*10,[1]Hugst!$R$4:$W$4,0))))</f>
        <v>0</v>
      </c>
      <c r="H273">
        <f ca="1">IF($C273-H$1&lt;År1,0,G272*(1-VLOOKUP($A273,[1]Hugst!$R$5:$W$9,MATCH(ROUNDUP((H$1)/10,0)*10,[1]Hugst!$R$4:$W$4,0))))</f>
        <v>0</v>
      </c>
      <c r="I273">
        <f ca="1">IF($C273-I$1&lt;År1,0,H272*(1-VLOOKUP($A273,[1]Hugst!$R$5:$W$9,MATCH(ROUNDUP((I$1)/10,0)*10,[1]Hugst!$R$4:$W$4,0))))</f>
        <v>0</v>
      </c>
      <c r="J273">
        <f ca="1">IF($C273-J$1&lt;År1,0,I272*(1-VLOOKUP($A273,[1]Hugst!$R$5:$W$9,MATCH(ROUNDUP((J$1)/10,0)*10,[1]Hugst!$R$4:$W$4,0))))</f>
        <v>0</v>
      </c>
      <c r="K273">
        <f ca="1">IF($C273-K$1&lt;År1,0,J272*(1-VLOOKUP($A273,[1]Hugst!$R$5:$W$9,MATCH(ROUNDUP((K$1)/10,0)*10,[1]Hugst!$R$4:$W$4,0))))</f>
        <v>0</v>
      </c>
      <c r="L273">
        <f ca="1">IF($C273-L$1&lt;År1,0,K272*(1-VLOOKUP($A273,[1]Hugst!$R$5:$W$9,MATCH(ROUNDUP((L$1)/10,0)*10,[1]Hugst!$R$4:$W$4,0))))</f>
        <v>0</v>
      </c>
      <c r="M273">
        <f ca="1">IF($C273-M$1&lt;År1,0,L272*(1-VLOOKUP($A273,[1]Hugst!$R$5:$W$9,MATCH(ROUNDUP((M$1)/10,0)*10,[1]Hugst!$R$4:$W$4,0))))</f>
        <v>0</v>
      </c>
      <c r="N273">
        <f ca="1">IF($C273-N$1&lt;År1,0,M272*(1-VLOOKUP($A273,[1]Hugst!$R$5:$W$9,MATCH(ROUNDUP((N$1)/10,0)*10,[1]Hugst!$R$4:$W$4,0))))</f>
        <v>0</v>
      </c>
      <c r="O273">
        <f ca="1">IF($C273-O$1&lt;År1,0,N272*(1-VLOOKUP($A273,[1]Hugst!$R$5:$W$9,MATCH(ROUNDUP((O$1)/10,0)*10,[1]Hugst!$R$4:$W$4,0))))</f>
        <v>0</v>
      </c>
      <c r="P273">
        <f ca="1">IF($C273-P$1&lt;År1,0,O272*(1-VLOOKUP($A273,[1]Hugst!$R$5:$W$9,MATCH(ROUNDUP((P$1)/10,0)*10,[1]Hugst!$R$4:$W$4,0))))</f>
        <v>0</v>
      </c>
      <c r="Q273">
        <f ca="1">IF($C273-Q$1&lt;År1,0,P272*(1-VLOOKUP($A273,[1]Hugst!$R$5:$W$9,MATCH(ROUNDUP((Q$1)/10,0)*10,[1]Hugst!$R$4:$W$4,0))))</f>
        <v>0</v>
      </c>
      <c r="R273">
        <f ca="1">IF($C273-R$1&lt;År1,0,Q272*(1-VLOOKUP($A273,[1]Hugst!$R$5:$W$9,MATCH(ROUNDUP((R$1)/10,0)*10,[1]Hugst!$R$4:$W$4,0))))</f>
        <v>0</v>
      </c>
      <c r="S273">
        <f ca="1">IF($C273-S$1&lt;År1,0,R272*(1-VLOOKUP($A273,[1]Hugst!$R$5:$W$9,MATCH(ROUNDUP((S$1)/10,0)*10,[1]Hugst!$R$4:$W$4,0))))</f>
        <v>0</v>
      </c>
      <c r="T273">
        <f ca="1">IF($C273-T$1&lt;År1,0,S272*(1-VLOOKUP($A273,[1]Hugst!$R$5:$W$9,MATCH(ROUNDUP((T$1)/10,0)*10,[1]Hugst!$R$4:$W$4,0))))</f>
        <v>0</v>
      </c>
      <c r="U273">
        <f ca="1">IF($C273-U$1&lt;År1,0,T272*(1-VLOOKUP($A273,[1]Hugst!$R$5:$W$9,MATCH(ROUNDUP((U$1)/10,0)*10,[1]Hugst!$R$4:$W$4,0))))</f>
        <v>0</v>
      </c>
      <c r="V273">
        <f ca="1">IF($C273-V$1&lt;År1,0,U272*(1-VLOOKUP($A273,[1]Hugst!$R$5:$W$9,MATCH(ROUNDUP((V$1)/10,0)*10,[1]Hugst!$R$4:$W$4,0))))</f>
        <v>0</v>
      </c>
      <c r="W273">
        <f ca="1">IF($C273-W$1&lt;År1,0,V272*(1-VLOOKUP($A273,[1]Hugst!$R$5:$W$9,MATCH(ROUNDUP((W$1)/10,0)*10,[1]Hugst!$R$4:$W$4,0))))</f>
        <v>0</v>
      </c>
      <c r="X273">
        <f ca="1">IF($C273-X$1&lt;År1,0,W272*(1-VLOOKUP($A273,[1]Hugst!$R$5:$W$9,MATCH(ROUNDUP((X$1)/10,0)*10,[1]Hugst!$R$4:$W$4,0))))</f>
        <v>0</v>
      </c>
      <c r="Y273">
        <f ca="1">IF($C273-Y$1&lt;År1,0,X272*(1-VLOOKUP($A273,[1]Hugst!$R$5:$W$9,MATCH(ROUNDUP((Y$1)/10,0)*10,[1]Hugst!$R$4:$W$4,0))))</f>
        <v>0</v>
      </c>
      <c r="Z273">
        <f ca="1">IF($C273-Z$1&lt;År1,0,Y272*(1-VLOOKUP($A273,[1]Hugst!$R$5:$W$9,MATCH(ROUNDUP((Z$1)/10,0)*10,[1]Hugst!$R$4:$W$4,0))))</f>
        <v>0</v>
      </c>
      <c r="AA273">
        <f ca="1">IF($C273-AA$1&lt;År1,0,Z272*(1-VLOOKUP($A273,[1]Hugst!$R$5:$W$9,MATCH(ROUNDUP((AA$1)/10,0)*10,[1]Hugst!$R$4:$W$4,0))))</f>
        <v>0</v>
      </c>
      <c r="AB273">
        <f ca="1">IF($C273-AB$1&lt;År1,0,AA272*(1-VLOOKUP($A273,[1]Hugst!$R$5:$W$9,MATCH(ROUNDUP((AB$1)/10,0)*10,[1]Hugst!$R$4:$W$4,0))))</f>
        <v>0</v>
      </c>
      <c r="AC273">
        <f ca="1">IF($C273-AC$1&lt;År1,0,AB272*(1-VLOOKUP($A273,[1]Hugst!$R$5:$W$9,MATCH(ROUNDUP((AC$1)/10,0)*10,[1]Hugst!$R$4:$W$4,0))))</f>
        <v>0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25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>
        <f ca="1">IF($C274-G$1&lt;År1,0,F273*(1-VLOOKUP($A274,[1]Hugst!$R$5:$W$9,MATCH(ROUNDUP((G$1)/10,0)*10,[1]Hugst!$R$4:$W$4,0))))</f>
        <v>0</v>
      </c>
      <c r="H274">
        <f ca="1">IF($C274-H$1&lt;År1,0,G273*(1-VLOOKUP($A274,[1]Hugst!$R$5:$W$9,MATCH(ROUNDUP((H$1)/10,0)*10,[1]Hugst!$R$4:$W$4,0))))</f>
        <v>0</v>
      </c>
      <c r="I274">
        <f ca="1">IF($C274-I$1&lt;År1,0,H273*(1-VLOOKUP($A274,[1]Hugst!$R$5:$W$9,MATCH(ROUNDUP((I$1)/10,0)*10,[1]Hugst!$R$4:$W$4,0))))</f>
        <v>0</v>
      </c>
      <c r="J274">
        <f ca="1">IF($C274-J$1&lt;År1,0,I273*(1-VLOOKUP($A274,[1]Hugst!$R$5:$W$9,MATCH(ROUNDUP((J$1)/10,0)*10,[1]Hugst!$R$4:$W$4,0))))</f>
        <v>0</v>
      </c>
      <c r="K274">
        <f ca="1">IF($C274-K$1&lt;År1,0,J273*(1-VLOOKUP($A274,[1]Hugst!$R$5:$W$9,MATCH(ROUNDUP((K$1)/10,0)*10,[1]Hugst!$R$4:$W$4,0))))</f>
        <v>0</v>
      </c>
      <c r="L274">
        <f ca="1">IF($C274-L$1&lt;År1,0,K273*(1-VLOOKUP($A274,[1]Hugst!$R$5:$W$9,MATCH(ROUNDUP((L$1)/10,0)*10,[1]Hugst!$R$4:$W$4,0))))</f>
        <v>0</v>
      </c>
      <c r="M274">
        <f ca="1">IF($C274-M$1&lt;År1,0,L273*(1-VLOOKUP($A274,[1]Hugst!$R$5:$W$9,MATCH(ROUNDUP((M$1)/10,0)*10,[1]Hugst!$R$4:$W$4,0))))</f>
        <v>0</v>
      </c>
      <c r="N274">
        <f ca="1">IF($C274-N$1&lt;År1,0,M273*(1-VLOOKUP($A274,[1]Hugst!$R$5:$W$9,MATCH(ROUNDUP((N$1)/10,0)*10,[1]Hugst!$R$4:$W$4,0))))</f>
        <v>0</v>
      </c>
      <c r="O274">
        <f ca="1">IF($C274-O$1&lt;År1,0,N273*(1-VLOOKUP($A274,[1]Hugst!$R$5:$W$9,MATCH(ROUNDUP((O$1)/10,0)*10,[1]Hugst!$R$4:$W$4,0))))</f>
        <v>0</v>
      </c>
      <c r="P274">
        <f ca="1">IF($C274-P$1&lt;År1,0,O273*(1-VLOOKUP($A274,[1]Hugst!$R$5:$W$9,MATCH(ROUNDUP((P$1)/10,0)*10,[1]Hugst!$R$4:$W$4,0))))</f>
        <v>0</v>
      </c>
      <c r="Q274">
        <f ca="1">IF($C274-Q$1&lt;År1,0,P273*(1-VLOOKUP($A274,[1]Hugst!$R$5:$W$9,MATCH(ROUNDUP((Q$1)/10,0)*10,[1]Hugst!$R$4:$W$4,0))))</f>
        <v>0</v>
      </c>
      <c r="R274">
        <f ca="1">IF($C274-R$1&lt;År1,0,Q273*(1-VLOOKUP($A274,[1]Hugst!$R$5:$W$9,MATCH(ROUNDUP((R$1)/10,0)*10,[1]Hugst!$R$4:$W$4,0))))</f>
        <v>0</v>
      </c>
      <c r="S274">
        <f ca="1">IF($C274-S$1&lt;År1,0,R273*(1-VLOOKUP($A274,[1]Hugst!$R$5:$W$9,MATCH(ROUNDUP((S$1)/10,0)*10,[1]Hugst!$R$4:$W$4,0))))</f>
        <v>0</v>
      </c>
      <c r="T274">
        <f ca="1">IF($C274-T$1&lt;År1,0,S273*(1-VLOOKUP($A274,[1]Hugst!$R$5:$W$9,MATCH(ROUNDUP((T$1)/10,0)*10,[1]Hugst!$R$4:$W$4,0))))</f>
        <v>0</v>
      </c>
      <c r="U274">
        <f ca="1">IF($C274-U$1&lt;År1,0,T273*(1-VLOOKUP($A274,[1]Hugst!$R$5:$W$9,MATCH(ROUNDUP((U$1)/10,0)*10,[1]Hugst!$R$4:$W$4,0))))</f>
        <v>0</v>
      </c>
      <c r="V274">
        <f ca="1">IF($C274-V$1&lt;År1,0,U273*(1-VLOOKUP($A274,[1]Hugst!$R$5:$W$9,MATCH(ROUNDUP((V$1)/10,0)*10,[1]Hugst!$R$4:$W$4,0))))</f>
        <v>0</v>
      </c>
      <c r="W274">
        <f ca="1">IF($C274-W$1&lt;År1,0,V273*(1-VLOOKUP($A274,[1]Hugst!$R$5:$W$9,MATCH(ROUNDUP((W$1)/10,0)*10,[1]Hugst!$R$4:$W$4,0))))</f>
        <v>0</v>
      </c>
      <c r="X274">
        <f ca="1">IF($C274-X$1&lt;År1,0,W273*(1-VLOOKUP($A274,[1]Hugst!$R$5:$W$9,MATCH(ROUNDUP((X$1)/10,0)*10,[1]Hugst!$R$4:$W$4,0))))</f>
        <v>0</v>
      </c>
      <c r="Y274">
        <f ca="1">IF($C274-Y$1&lt;År1,0,X273*(1-VLOOKUP($A274,[1]Hugst!$R$5:$W$9,MATCH(ROUNDUP((Y$1)/10,0)*10,[1]Hugst!$R$4:$W$4,0))))</f>
        <v>0</v>
      </c>
      <c r="Z274">
        <f ca="1">IF($C274-Z$1&lt;År1,0,Y273*(1-VLOOKUP($A274,[1]Hugst!$R$5:$W$9,MATCH(ROUNDUP((Z$1)/10,0)*10,[1]Hugst!$R$4:$W$4,0))))</f>
        <v>0</v>
      </c>
      <c r="AA274">
        <f ca="1">IF($C274-AA$1&lt;År1,0,Z273*(1-VLOOKUP($A274,[1]Hugst!$R$5:$W$9,MATCH(ROUNDUP((AA$1)/10,0)*10,[1]Hugst!$R$4:$W$4,0))))</f>
        <v>0</v>
      </c>
      <c r="AB274">
        <f ca="1">IF($C274-AB$1&lt;År1,0,AA273*(1-VLOOKUP($A274,[1]Hugst!$R$5:$W$9,MATCH(ROUNDUP((AB$1)/10,0)*10,[1]Hugst!$R$4:$W$4,0))))</f>
        <v>0</v>
      </c>
      <c r="AC274">
        <f ca="1">IF($C274-AC$1&lt;År1,0,AB273*(1-VLOOKUP($A274,[1]Hugst!$R$5:$W$9,MATCH(ROUNDUP((AC$1)/10,0)*10,[1]Hugst!$R$4:$W$4,0))))</f>
        <v>0</v>
      </c>
      <c r="AD274">
        <f ca="1">IF($C274-AD$1&lt;År1,0,AC273*(1-VLOOKUP($A274,[1]Hugst!$R$5:$W$9,MATCH(ROUNDUP((AD$1)/10,0)*10,[1]Hugst!$R$4:$W$4,0))))</f>
        <v>0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25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>
        <f ca="1">IF($C275-G$1&lt;År1,0,F274*(1-VLOOKUP($A275,[1]Hugst!$R$5:$W$9,MATCH(ROUNDUP((G$1)/10,0)*10,[1]Hugst!$R$4:$W$4,0))))</f>
        <v>0</v>
      </c>
      <c r="H275">
        <f ca="1">IF($C275-H$1&lt;År1,0,G274*(1-VLOOKUP($A275,[1]Hugst!$R$5:$W$9,MATCH(ROUNDUP((H$1)/10,0)*10,[1]Hugst!$R$4:$W$4,0))))</f>
        <v>0</v>
      </c>
      <c r="I275">
        <f ca="1">IF($C275-I$1&lt;År1,0,H274*(1-VLOOKUP($A275,[1]Hugst!$R$5:$W$9,MATCH(ROUNDUP((I$1)/10,0)*10,[1]Hugst!$R$4:$W$4,0))))</f>
        <v>0</v>
      </c>
      <c r="J275">
        <f ca="1">IF($C275-J$1&lt;År1,0,I274*(1-VLOOKUP($A275,[1]Hugst!$R$5:$W$9,MATCH(ROUNDUP((J$1)/10,0)*10,[1]Hugst!$R$4:$W$4,0))))</f>
        <v>0</v>
      </c>
      <c r="K275">
        <f ca="1">IF($C275-K$1&lt;År1,0,J274*(1-VLOOKUP($A275,[1]Hugst!$R$5:$W$9,MATCH(ROUNDUP((K$1)/10,0)*10,[1]Hugst!$R$4:$W$4,0))))</f>
        <v>0</v>
      </c>
      <c r="L275">
        <f ca="1">IF($C275-L$1&lt;År1,0,K274*(1-VLOOKUP($A275,[1]Hugst!$R$5:$W$9,MATCH(ROUNDUP((L$1)/10,0)*10,[1]Hugst!$R$4:$W$4,0))))</f>
        <v>0</v>
      </c>
      <c r="M275">
        <f ca="1">IF($C275-M$1&lt;År1,0,L274*(1-VLOOKUP($A275,[1]Hugst!$R$5:$W$9,MATCH(ROUNDUP((M$1)/10,0)*10,[1]Hugst!$R$4:$W$4,0))))</f>
        <v>0</v>
      </c>
      <c r="N275">
        <f ca="1">IF($C275-N$1&lt;År1,0,M274*(1-VLOOKUP($A275,[1]Hugst!$R$5:$W$9,MATCH(ROUNDUP((N$1)/10,0)*10,[1]Hugst!$R$4:$W$4,0))))</f>
        <v>0</v>
      </c>
      <c r="O275">
        <f ca="1">IF($C275-O$1&lt;År1,0,N274*(1-VLOOKUP($A275,[1]Hugst!$R$5:$W$9,MATCH(ROUNDUP((O$1)/10,0)*10,[1]Hugst!$R$4:$W$4,0))))</f>
        <v>0</v>
      </c>
      <c r="P275">
        <f ca="1">IF($C275-P$1&lt;År1,0,O274*(1-VLOOKUP($A275,[1]Hugst!$R$5:$W$9,MATCH(ROUNDUP((P$1)/10,0)*10,[1]Hugst!$R$4:$W$4,0))))</f>
        <v>0</v>
      </c>
      <c r="Q275">
        <f ca="1">IF($C275-Q$1&lt;År1,0,P274*(1-VLOOKUP($A275,[1]Hugst!$R$5:$W$9,MATCH(ROUNDUP((Q$1)/10,0)*10,[1]Hugst!$R$4:$W$4,0))))</f>
        <v>0</v>
      </c>
      <c r="R275">
        <f ca="1">IF($C275-R$1&lt;År1,0,Q274*(1-VLOOKUP($A275,[1]Hugst!$R$5:$W$9,MATCH(ROUNDUP((R$1)/10,0)*10,[1]Hugst!$R$4:$W$4,0))))</f>
        <v>0</v>
      </c>
      <c r="S275">
        <f ca="1">IF($C275-S$1&lt;År1,0,R274*(1-VLOOKUP($A275,[1]Hugst!$R$5:$W$9,MATCH(ROUNDUP((S$1)/10,0)*10,[1]Hugst!$R$4:$W$4,0))))</f>
        <v>0</v>
      </c>
      <c r="T275">
        <f ca="1">IF($C275-T$1&lt;År1,0,S274*(1-VLOOKUP($A275,[1]Hugst!$R$5:$W$9,MATCH(ROUNDUP((T$1)/10,0)*10,[1]Hugst!$R$4:$W$4,0))))</f>
        <v>0</v>
      </c>
      <c r="U275">
        <f ca="1">IF($C275-U$1&lt;År1,0,T274*(1-VLOOKUP($A275,[1]Hugst!$R$5:$W$9,MATCH(ROUNDUP((U$1)/10,0)*10,[1]Hugst!$R$4:$W$4,0))))</f>
        <v>0</v>
      </c>
      <c r="V275">
        <f ca="1">IF($C275-V$1&lt;År1,0,U274*(1-VLOOKUP($A275,[1]Hugst!$R$5:$W$9,MATCH(ROUNDUP((V$1)/10,0)*10,[1]Hugst!$R$4:$W$4,0))))</f>
        <v>0</v>
      </c>
      <c r="W275">
        <f ca="1">IF($C275-W$1&lt;År1,0,V274*(1-VLOOKUP($A275,[1]Hugst!$R$5:$W$9,MATCH(ROUNDUP((W$1)/10,0)*10,[1]Hugst!$R$4:$W$4,0))))</f>
        <v>0</v>
      </c>
      <c r="X275">
        <f ca="1">IF($C275-X$1&lt;År1,0,W274*(1-VLOOKUP($A275,[1]Hugst!$R$5:$W$9,MATCH(ROUNDUP((X$1)/10,0)*10,[1]Hugst!$R$4:$W$4,0))))</f>
        <v>0</v>
      </c>
      <c r="Y275">
        <f ca="1">IF($C275-Y$1&lt;År1,0,X274*(1-VLOOKUP($A275,[1]Hugst!$R$5:$W$9,MATCH(ROUNDUP((Y$1)/10,0)*10,[1]Hugst!$R$4:$W$4,0))))</f>
        <v>0</v>
      </c>
      <c r="Z275">
        <f ca="1">IF($C275-Z$1&lt;År1,0,Y274*(1-VLOOKUP($A275,[1]Hugst!$R$5:$W$9,MATCH(ROUNDUP((Z$1)/10,0)*10,[1]Hugst!$R$4:$W$4,0))))</f>
        <v>0</v>
      </c>
      <c r="AA275">
        <f ca="1">IF($C275-AA$1&lt;År1,0,Z274*(1-VLOOKUP($A275,[1]Hugst!$R$5:$W$9,MATCH(ROUNDUP((AA$1)/10,0)*10,[1]Hugst!$R$4:$W$4,0))))</f>
        <v>0</v>
      </c>
      <c r="AB275">
        <f ca="1">IF($C275-AB$1&lt;År1,0,AA274*(1-VLOOKUP($A275,[1]Hugst!$R$5:$W$9,MATCH(ROUNDUP((AB$1)/10,0)*10,[1]Hugst!$R$4:$W$4,0))))</f>
        <v>0</v>
      </c>
      <c r="AC275">
        <f ca="1">IF($C275-AC$1&lt;År1,0,AB274*(1-VLOOKUP($A275,[1]Hugst!$R$5:$W$9,MATCH(ROUNDUP((AC$1)/10,0)*10,[1]Hugst!$R$4:$W$4,0))))</f>
        <v>0</v>
      </c>
      <c r="AD275">
        <f ca="1">IF($C275-AD$1&lt;År1,0,AC274*(1-VLOOKUP($A275,[1]Hugst!$R$5:$W$9,MATCH(ROUNDUP((AD$1)/10,0)*10,[1]Hugst!$R$4:$W$4,0))))</f>
        <v>0</v>
      </c>
      <c r="AE275">
        <f ca="1">IF($C275-AE$1&lt;År1,0,AD274*(1-VLOOKUP($A275,[1]Hugst!$R$5:$W$9,MATCH(ROUNDUP((AE$1)/10,0)*10,[1]Hugst!$R$4:$W$4,0))))</f>
        <v>0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25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>
        <f ca="1">IF($C276-G$1&lt;År1,0,F275*(1-VLOOKUP($A276,[1]Hugst!$R$5:$W$9,MATCH(ROUNDUP((G$1)/10,0)*10,[1]Hugst!$R$4:$W$4,0))))</f>
        <v>0</v>
      </c>
      <c r="H276">
        <f ca="1">IF($C276-H$1&lt;År1,0,G275*(1-VLOOKUP($A276,[1]Hugst!$R$5:$W$9,MATCH(ROUNDUP((H$1)/10,0)*10,[1]Hugst!$R$4:$W$4,0))))</f>
        <v>0</v>
      </c>
      <c r="I276">
        <f ca="1">IF($C276-I$1&lt;År1,0,H275*(1-VLOOKUP($A276,[1]Hugst!$R$5:$W$9,MATCH(ROUNDUP((I$1)/10,0)*10,[1]Hugst!$R$4:$W$4,0))))</f>
        <v>0</v>
      </c>
      <c r="J276">
        <f ca="1">IF($C276-J$1&lt;År1,0,I275*(1-VLOOKUP($A276,[1]Hugst!$R$5:$W$9,MATCH(ROUNDUP((J$1)/10,0)*10,[1]Hugst!$R$4:$W$4,0))))</f>
        <v>0</v>
      </c>
      <c r="K276">
        <f ca="1">IF($C276-K$1&lt;År1,0,J275*(1-VLOOKUP($A276,[1]Hugst!$R$5:$W$9,MATCH(ROUNDUP((K$1)/10,0)*10,[1]Hugst!$R$4:$W$4,0))))</f>
        <v>0</v>
      </c>
      <c r="L276">
        <f ca="1">IF($C276-L$1&lt;År1,0,K275*(1-VLOOKUP($A276,[1]Hugst!$R$5:$W$9,MATCH(ROUNDUP((L$1)/10,0)*10,[1]Hugst!$R$4:$W$4,0))))</f>
        <v>0</v>
      </c>
      <c r="M276">
        <f ca="1">IF($C276-M$1&lt;År1,0,L275*(1-VLOOKUP($A276,[1]Hugst!$R$5:$W$9,MATCH(ROUNDUP((M$1)/10,0)*10,[1]Hugst!$R$4:$W$4,0))))</f>
        <v>0</v>
      </c>
      <c r="N276">
        <f ca="1">IF($C276-N$1&lt;År1,0,M275*(1-VLOOKUP($A276,[1]Hugst!$R$5:$W$9,MATCH(ROUNDUP((N$1)/10,0)*10,[1]Hugst!$R$4:$W$4,0))))</f>
        <v>0</v>
      </c>
      <c r="O276">
        <f ca="1">IF($C276-O$1&lt;År1,0,N275*(1-VLOOKUP($A276,[1]Hugst!$R$5:$W$9,MATCH(ROUNDUP((O$1)/10,0)*10,[1]Hugst!$R$4:$W$4,0))))</f>
        <v>0</v>
      </c>
      <c r="P276">
        <f ca="1">IF($C276-P$1&lt;År1,0,O275*(1-VLOOKUP($A276,[1]Hugst!$R$5:$W$9,MATCH(ROUNDUP((P$1)/10,0)*10,[1]Hugst!$R$4:$W$4,0))))</f>
        <v>0</v>
      </c>
      <c r="Q276">
        <f ca="1">IF($C276-Q$1&lt;År1,0,P275*(1-VLOOKUP($A276,[1]Hugst!$R$5:$W$9,MATCH(ROUNDUP((Q$1)/10,0)*10,[1]Hugst!$R$4:$W$4,0))))</f>
        <v>0</v>
      </c>
      <c r="R276">
        <f ca="1">IF($C276-R$1&lt;År1,0,Q275*(1-VLOOKUP($A276,[1]Hugst!$R$5:$W$9,MATCH(ROUNDUP((R$1)/10,0)*10,[1]Hugst!$R$4:$W$4,0))))</f>
        <v>0</v>
      </c>
      <c r="S276">
        <f ca="1">IF($C276-S$1&lt;År1,0,R275*(1-VLOOKUP($A276,[1]Hugst!$R$5:$W$9,MATCH(ROUNDUP((S$1)/10,0)*10,[1]Hugst!$R$4:$W$4,0))))</f>
        <v>0</v>
      </c>
      <c r="T276">
        <f ca="1">IF($C276-T$1&lt;År1,0,S275*(1-VLOOKUP($A276,[1]Hugst!$R$5:$W$9,MATCH(ROUNDUP((T$1)/10,0)*10,[1]Hugst!$R$4:$W$4,0))))</f>
        <v>0</v>
      </c>
      <c r="U276">
        <f ca="1">IF($C276-U$1&lt;År1,0,T275*(1-VLOOKUP($A276,[1]Hugst!$R$5:$W$9,MATCH(ROUNDUP((U$1)/10,0)*10,[1]Hugst!$R$4:$W$4,0))))</f>
        <v>0</v>
      </c>
      <c r="V276">
        <f ca="1">IF($C276-V$1&lt;År1,0,U275*(1-VLOOKUP($A276,[1]Hugst!$R$5:$W$9,MATCH(ROUNDUP((V$1)/10,0)*10,[1]Hugst!$R$4:$W$4,0))))</f>
        <v>0</v>
      </c>
      <c r="W276">
        <f ca="1">IF($C276-W$1&lt;År1,0,V275*(1-VLOOKUP($A276,[1]Hugst!$R$5:$W$9,MATCH(ROUNDUP((W$1)/10,0)*10,[1]Hugst!$R$4:$W$4,0))))</f>
        <v>0</v>
      </c>
      <c r="X276">
        <f ca="1">IF($C276-X$1&lt;År1,0,W275*(1-VLOOKUP($A276,[1]Hugst!$R$5:$W$9,MATCH(ROUNDUP((X$1)/10,0)*10,[1]Hugst!$R$4:$W$4,0))))</f>
        <v>0</v>
      </c>
      <c r="Y276">
        <f ca="1">IF($C276-Y$1&lt;År1,0,X275*(1-VLOOKUP($A276,[1]Hugst!$R$5:$W$9,MATCH(ROUNDUP((Y$1)/10,0)*10,[1]Hugst!$R$4:$W$4,0))))</f>
        <v>0</v>
      </c>
      <c r="Z276">
        <f ca="1">IF($C276-Z$1&lt;År1,0,Y275*(1-VLOOKUP($A276,[1]Hugst!$R$5:$W$9,MATCH(ROUNDUP((Z$1)/10,0)*10,[1]Hugst!$R$4:$W$4,0))))</f>
        <v>0</v>
      </c>
      <c r="AA276">
        <f ca="1">IF($C276-AA$1&lt;År1,0,Z275*(1-VLOOKUP($A276,[1]Hugst!$R$5:$W$9,MATCH(ROUNDUP((AA$1)/10,0)*10,[1]Hugst!$R$4:$W$4,0))))</f>
        <v>0</v>
      </c>
      <c r="AB276">
        <f ca="1">IF($C276-AB$1&lt;År1,0,AA275*(1-VLOOKUP($A276,[1]Hugst!$R$5:$W$9,MATCH(ROUNDUP((AB$1)/10,0)*10,[1]Hugst!$R$4:$W$4,0))))</f>
        <v>0</v>
      </c>
      <c r="AC276">
        <f ca="1">IF($C276-AC$1&lt;År1,0,AB275*(1-VLOOKUP($A276,[1]Hugst!$R$5:$W$9,MATCH(ROUNDUP((AC$1)/10,0)*10,[1]Hugst!$R$4:$W$4,0))))</f>
        <v>0</v>
      </c>
      <c r="AD276">
        <f ca="1">IF($C276-AD$1&lt;År1,0,AC275*(1-VLOOKUP($A276,[1]Hugst!$R$5:$W$9,MATCH(ROUNDUP((AD$1)/10,0)*10,[1]Hugst!$R$4:$W$4,0))))</f>
        <v>0</v>
      </c>
      <c r="AE276">
        <f ca="1">IF($C276-AE$1&lt;År1,0,AD275*(1-VLOOKUP($A276,[1]Hugst!$R$5:$W$9,MATCH(ROUNDUP((AE$1)/10,0)*10,[1]Hugst!$R$4:$W$4,0))))</f>
        <v>0</v>
      </c>
      <c r="AF276">
        <f ca="1">IF($C276-AF$1&lt;År1,0,AE275*(1-VLOOKUP($A276,[1]Hugst!$R$5:$W$9,MATCH(ROUNDUP((AF$1)/10,0)*10,[1]Hugst!$R$4:$W$4,0))))</f>
        <v>0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25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>
        <f ca="1">IF($C277-G$1&lt;År1,0,F276*(1-VLOOKUP($A277,[1]Hugst!$R$5:$W$9,MATCH(ROUNDUP((G$1)/10,0)*10,[1]Hugst!$R$4:$W$4,0))))</f>
        <v>0</v>
      </c>
      <c r="H277">
        <f ca="1">IF($C277-H$1&lt;År1,0,G276*(1-VLOOKUP($A277,[1]Hugst!$R$5:$W$9,MATCH(ROUNDUP((H$1)/10,0)*10,[1]Hugst!$R$4:$W$4,0))))</f>
        <v>0</v>
      </c>
      <c r="I277">
        <f ca="1">IF($C277-I$1&lt;År1,0,H276*(1-VLOOKUP($A277,[1]Hugst!$R$5:$W$9,MATCH(ROUNDUP((I$1)/10,0)*10,[1]Hugst!$R$4:$W$4,0))))</f>
        <v>0</v>
      </c>
      <c r="J277">
        <f ca="1">IF($C277-J$1&lt;År1,0,I276*(1-VLOOKUP($A277,[1]Hugst!$R$5:$W$9,MATCH(ROUNDUP((J$1)/10,0)*10,[1]Hugst!$R$4:$W$4,0))))</f>
        <v>0</v>
      </c>
      <c r="K277">
        <f ca="1">IF($C277-K$1&lt;År1,0,J276*(1-VLOOKUP($A277,[1]Hugst!$R$5:$W$9,MATCH(ROUNDUP((K$1)/10,0)*10,[1]Hugst!$R$4:$W$4,0))))</f>
        <v>0</v>
      </c>
      <c r="L277">
        <f ca="1">IF($C277-L$1&lt;År1,0,K276*(1-VLOOKUP($A277,[1]Hugst!$R$5:$W$9,MATCH(ROUNDUP((L$1)/10,0)*10,[1]Hugst!$R$4:$W$4,0))))</f>
        <v>0</v>
      </c>
      <c r="M277">
        <f ca="1">IF($C277-M$1&lt;År1,0,L276*(1-VLOOKUP($A277,[1]Hugst!$R$5:$W$9,MATCH(ROUNDUP((M$1)/10,0)*10,[1]Hugst!$R$4:$W$4,0))))</f>
        <v>0</v>
      </c>
      <c r="N277">
        <f ca="1">IF($C277-N$1&lt;År1,0,M276*(1-VLOOKUP($A277,[1]Hugst!$R$5:$W$9,MATCH(ROUNDUP((N$1)/10,0)*10,[1]Hugst!$R$4:$W$4,0))))</f>
        <v>0</v>
      </c>
      <c r="O277">
        <f ca="1">IF($C277-O$1&lt;År1,0,N276*(1-VLOOKUP($A277,[1]Hugst!$R$5:$W$9,MATCH(ROUNDUP((O$1)/10,0)*10,[1]Hugst!$R$4:$W$4,0))))</f>
        <v>0</v>
      </c>
      <c r="P277">
        <f ca="1">IF($C277-P$1&lt;År1,0,O276*(1-VLOOKUP($A277,[1]Hugst!$R$5:$W$9,MATCH(ROUNDUP((P$1)/10,0)*10,[1]Hugst!$R$4:$W$4,0))))</f>
        <v>0</v>
      </c>
      <c r="Q277">
        <f ca="1">IF($C277-Q$1&lt;År1,0,P276*(1-VLOOKUP($A277,[1]Hugst!$R$5:$W$9,MATCH(ROUNDUP((Q$1)/10,0)*10,[1]Hugst!$R$4:$W$4,0))))</f>
        <v>0</v>
      </c>
      <c r="R277">
        <f ca="1">IF($C277-R$1&lt;År1,0,Q276*(1-VLOOKUP($A277,[1]Hugst!$R$5:$W$9,MATCH(ROUNDUP((R$1)/10,0)*10,[1]Hugst!$R$4:$W$4,0))))</f>
        <v>0</v>
      </c>
      <c r="S277">
        <f ca="1">IF($C277-S$1&lt;År1,0,R276*(1-VLOOKUP($A277,[1]Hugst!$R$5:$W$9,MATCH(ROUNDUP((S$1)/10,0)*10,[1]Hugst!$R$4:$W$4,0))))</f>
        <v>0</v>
      </c>
      <c r="T277">
        <f ca="1">IF($C277-T$1&lt;År1,0,S276*(1-VLOOKUP($A277,[1]Hugst!$R$5:$W$9,MATCH(ROUNDUP((T$1)/10,0)*10,[1]Hugst!$R$4:$W$4,0))))</f>
        <v>0</v>
      </c>
      <c r="U277">
        <f ca="1">IF($C277-U$1&lt;År1,0,T276*(1-VLOOKUP($A277,[1]Hugst!$R$5:$W$9,MATCH(ROUNDUP((U$1)/10,0)*10,[1]Hugst!$R$4:$W$4,0))))</f>
        <v>0</v>
      </c>
      <c r="V277">
        <f ca="1">IF($C277-V$1&lt;År1,0,U276*(1-VLOOKUP($A277,[1]Hugst!$R$5:$W$9,MATCH(ROUNDUP((V$1)/10,0)*10,[1]Hugst!$R$4:$W$4,0))))</f>
        <v>0</v>
      </c>
      <c r="W277">
        <f ca="1">IF($C277-W$1&lt;År1,0,V276*(1-VLOOKUP($A277,[1]Hugst!$R$5:$W$9,MATCH(ROUNDUP((W$1)/10,0)*10,[1]Hugst!$R$4:$W$4,0))))</f>
        <v>0</v>
      </c>
      <c r="X277">
        <f ca="1">IF($C277-X$1&lt;År1,0,W276*(1-VLOOKUP($A277,[1]Hugst!$R$5:$W$9,MATCH(ROUNDUP((X$1)/10,0)*10,[1]Hugst!$R$4:$W$4,0))))</f>
        <v>0</v>
      </c>
      <c r="Y277">
        <f ca="1">IF($C277-Y$1&lt;År1,0,X276*(1-VLOOKUP($A277,[1]Hugst!$R$5:$W$9,MATCH(ROUNDUP((Y$1)/10,0)*10,[1]Hugst!$R$4:$W$4,0))))</f>
        <v>0</v>
      </c>
      <c r="Z277">
        <f ca="1">IF($C277-Z$1&lt;År1,0,Y276*(1-VLOOKUP($A277,[1]Hugst!$R$5:$W$9,MATCH(ROUNDUP((Z$1)/10,0)*10,[1]Hugst!$R$4:$W$4,0))))</f>
        <v>0</v>
      </c>
      <c r="AA277">
        <f ca="1">IF($C277-AA$1&lt;År1,0,Z276*(1-VLOOKUP($A277,[1]Hugst!$R$5:$W$9,MATCH(ROUNDUP((AA$1)/10,0)*10,[1]Hugst!$R$4:$W$4,0))))</f>
        <v>0</v>
      </c>
      <c r="AB277">
        <f ca="1">IF($C277-AB$1&lt;År1,0,AA276*(1-VLOOKUP($A277,[1]Hugst!$R$5:$W$9,MATCH(ROUNDUP((AB$1)/10,0)*10,[1]Hugst!$R$4:$W$4,0))))</f>
        <v>0</v>
      </c>
      <c r="AC277">
        <f ca="1">IF($C277-AC$1&lt;År1,0,AB276*(1-VLOOKUP($A277,[1]Hugst!$R$5:$W$9,MATCH(ROUNDUP((AC$1)/10,0)*10,[1]Hugst!$R$4:$W$4,0))))</f>
        <v>0</v>
      </c>
      <c r="AD277">
        <f ca="1">IF($C277-AD$1&lt;År1,0,AC276*(1-VLOOKUP($A277,[1]Hugst!$R$5:$W$9,MATCH(ROUNDUP((AD$1)/10,0)*10,[1]Hugst!$R$4:$W$4,0))))</f>
        <v>0</v>
      </c>
      <c r="AE277">
        <f ca="1">IF($C277-AE$1&lt;År1,0,AD276*(1-VLOOKUP($A277,[1]Hugst!$R$5:$W$9,MATCH(ROUNDUP((AE$1)/10,0)*10,[1]Hugst!$R$4:$W$4,0))))</f>
        <v>0</v>
      </c>
      <c r="AF277">
        <f ca="1">IF($C277-AF$1&lt;År1,0,AE276*(1-VLOOKUP($A277,[1]Hugst!$R$5:$W$9,MATCH(ROUNDUP((AF$1)/10,0)*10,[1]Hugst!$R$4:$W$4,0))))</f>
        <v>0</v>
      </c>
      <c r="AG277">
        <f ca="1">IF($C277-AG$1&lt;År1,0,AF276*(1-VLOOKUP($A277,[1]Hugst!$R$5:$W$9,MATCH(ROUNDUP((AG$1)/10,0)*10,[1]Hugst!$R$4:$W$4,0))))</f>
        <v>0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25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>
        <f ca="1">IF($C278-G$1&lt;År1,0,F277*(1-VLOOKUP($A278,[1]Hugst!$R$5:$W$9,MATCH(ROUNDUP((G$1)/10,0)*10,[1]Hugst!$R$4:$W$4,0))))</f>
        <v>0</v>
      </c>
      <c r="H278">
        <f ca="1">IF($C278-H$1&lt;År1,0,G277*(1-VLOOKUP($A278,[1]Hugst!$R$5:$W$9,MATCH(ROUNDUP((H$1)/10,0)*10,[1]Hugst!$R$4:$W$4,0))))</f>
        <v>0</v>
      </c>
      <c r="I278">
        <f ca="1">IF($C278-I$1&lt;År1,0,H277*(1-VLOOKUP($A278,[1]Hugst!$R$5:$W$9,MATCH(ROUNDUP((I$1)/10,0)*10,[1]Hugst!$R$4:$W$4,0))))</f>
        <v>0</v>
      </c>
      <c r="J278">
        <f ca="1">IF($C278-J$1&lt;År1,0,I277*(1-VLOOKUP($A278,[1]Hugst!$R$5:$W$9,MATCH(ROUNDUP((J$1)/10,0)*10,[1]Hugst!$R$4:$W$4,0))))</f>
        <v>0</v>
      </c>
      <c r="K278">
        <f ca="1">IF($C278-K$1&lt;År1,0,J277*(1-VLOOKUP($A278,[1]Hugst!$R$5:$W$9,MATCH(ROUNDUP((K$1)/10,0)*10,[1]Hugst!$R$4:$W$4,0))))</f>
        <v>0</v>
      </c>
      <c r="L278">
        <f ca="1">IF($C278-L$1&lt;År1,0,K277*(1-VLOOKUP($A278,[1]Hugst!$R$5:$W$9,MATCH(ROUNDUP((L$1)/10,0)*10,[1]Hugst!$R$4:$W$4,0))))</f>
        <v>0</v>
      </c>
      <c r="M278">
        <f ca="1">IF($C278-M$1&lt;År1,0,L277*(1-VLOOKUP($A278,[1]Hugst!$R$5:$W$9,MATCH(ROUNDUP((M$1)/10,0)*10,[1]Hugst!$R$4:$W$4,0))))</f>
        <v>0</v>
      </c>
      <c r="N278">
        <f ca="1">IF($C278-N$1&lt;År1,0,M277*(1-VLOOKUP($A278,[1]Hugst!$R$5:$W$9,MATCH(ROUNDUP((N$1)/10,0)*10,[1]Hugst!$R$4:$W$4,0))))</f>
        <v>0</v>
      </c>
      <c r="O278">
        <f ca="1">IF($C278-O$1&lt;År1,0,N277*(1-VLOOKUP($A278,[1]Hugst!$R$5:$W$9,MATCH(ROUNDUP((O$1)/10,0)*10,[1]Hugst!$R$4:$W$4,0))))</f>
        <v>0</v>
      </c>
      <c r="P278">
        <f ca="1">IF($C278-P$1&lt;År1,0,O277*(1-VLOOKUP($A278,[1]Hugst!$R$5:$W$9,MATCH(ROUNDUP((P$1)/10,0)*10,[1]Hugst!$R$4:$W$4,0))))</f>
        <v>0</v>
      </c>
      <c r="Q278">
        <f ca="1">IF($C278-Q$1&lt;År1,0,P277*(1-VLOOKUP($A278,[1]Hugst!$R$5:$W$9,MATCH(ROUNDUP((Q$1)/10,0)*10,[1]Hugst!$R$4:$W$4,0))))</f>
        <v>0</v>
      </c>
      <c r="R278">
        <f ca="1">IF($C278-R$1&lt;År1,0,Q277*(1-VLOOKUP($A278,[1]Hugst!$R$5:$W$9,MATCH(ROUNDUP((R$1)/10,0)*10,[1]Hugst!$R$4:$W$4,0))))</f>
        <v>0</v>
      </c>
      <c r="S278">
        <f ca="1">IF($C278-S$1&lt;År1,0,R277*(1-VLOOKUP($A278,[1]Hugst!$R$5:$W$9,MATCH(ROUNDUP((S$1)/10,0)*10,[1]Hugst!$R$4:$W$4,0))))</f>
        <v>0</v>
      </c>
      <c r="T278">
        <f ca="1">IF($C278-T$1&lt;År1,0,S277*(1-VLOOKUP($A278,[1]Hugst!$R$5:$W$9,MATCH(ROUNDUP((T$1)/10,0)*10,[1]Hugst!$R$4:$W$4,0))))</f>
        <v>0</v>
      </c>
      <c r="U278">
        <f ca="1">IF($C278-U$1&lt;År1,0,T277*(1-VLOOKUP($A278,[1]Hugst!$R$5:$W$9,MATCH(ROUNDUP((U$1)/10,0)*10,[1]Hugst!$R$4:$W$4,0))))</f>
        <v>0</v>
      </c>
      <c r="V278">
        <f ca="1">IF($C278-V$1&lt;År1,0,U277*(1-VLOOKUP($A278,[1]Hugst!$R$5:$W$9,MATCH(ROUNDUP((V$1)/10,0)*10,[1]Hugst!$R$4:$W$4,0))))</f>
        <v>0</v>
      </c>
      <c r="W278">
        <f ca="1">IF($C278-W$1&lt;År1,0,V277*(1-VLOOKUP($A278,[1]Hugst!$R$5:$W$9,MATCH(ROUNDUP((W$1)/10,0)*10,[1]Hugst!$R$4:$W$4,0))))</f>
        <v>0</v>
      </c>
      <c r="X278">
        <f ca="1">IF($C278-X$1&lt;År1,0,W277*(1-VLOOKUP($A278,[1]Hugst!$R$5:$W$9,MATCH(ROUNDUP((X$1)/10,0)*10,[1]Hugst!$R$4:$W$4,0))))</f>
        <v>0</v>
      </c>
      <c r="Y278">
        <f ca="1">IF($C278-Y$1&lt;År1,0,X277*(1-VLOOKUP($A278,[1]Hugst!$R$5:$W$9,MATCH(ROUNDUP((Y$1)/10,0)*10,[1]Hugst!$R$4:$W$4,0))))</f>
        <v>0</v>
      </c>
      <c r="Z278">
        <f ca="1">IF($C278-Z$1&lt;År1,0,Y277*(1-VLOOKUP($A278,[1]Hugst!$R$5:$W$9,MATCH(ROUNDUP((Z$1)/10,0)*10,[1]Hugst!$R$4:$W$4,0))))</f>
        <v>0</v>
      </c>
      <c r="AA278">
        <f ca="1">IF($C278-AA$1&lt;År1,0,Z277*(1-VLOOKUP($A278,[1]Hugst!$R$5:$W$9,MATCH(ROUNDUP((AA$1)/10,0)*10,[1]Hugst!$R$4:$W$4,0))))</f>
        <v>0</v>
      </c>
      <c r="AB278">
        <f ca="1">IF($C278-AB$1&lt;År1,0,AA277*(1-VLOOKUP($A278,[1]Hugst!$R$5:$W$9,MATCH(ROUNDUP((AB$1)/10,0)*10,[1]Hugst!$R$4:$W$4,0))))</f>
        <v>0</v>
      </c>
      <c r="AC278">
        <f ca="1">IF($C278-AC$1&lt;År1,0,AB277*(1-VLOOKUP($A278,[1]Hugst!$R$5:$W$9,MATCH(ROUNDUP((AC$1)/10,0)*10,[1]Hugst!$R$4:$W$4,0))))</f>
        <v>0</v>
      </c>
      <c r="AD278">
        <f ca="1">IF($C278-AD$1&lt;År1,0,AC277*(1-VLOOKUP($A278,[1]Hugst!$R$5:$W$9,MATCH(ROUNDUP((AD$1)/10,0)*10,[1]Hugst!$R$4:$W$4,0))))</f>
        <v>0</v>
      </c>
      <c r="AE278">
        <f ca="1">IF($C278-AE$1&lt;År1,0,AD277*(1-VLOOKUP($A278,[1]Hugst!$R$5:$W$9,MATCH(ROUNDUP((AE$1)/10,0)*10,[1]Hugst!$R$4:$W$4,0))))</f>
        <v>0</v>
      </c>
      <c r="AF278">
        <f ca="1">IF($C278-AF$1&lt;År1,0,AE277*(1-VLOOKUP($A278,[1]Hugst!$R$5:$W$9,MATCH(ROUNDUP((AF$1)/10,0)*10,[1]Hugst!$R$4:$W$4,0))))</f>
        <v>0</v>
      </c>
      <c r="AG278">
        <f ca="1">IF($C278-AG$1&lt;År1,0,AF277*(1-VLOOKUP($A278,[1]Hugst!$R$5:$W$9,MATCH(ROUNDUP((AG$1)/10,0)*10,[1]Hugst!$R$4:$W$4,0))))</f>
        <v>0</v>
      </c>
      <c r="AH278">
        <f ca="1">IF($C278-AH$1&lt;År1,0,AG277*(1-VLOOKUP($A278,[1]Hugst!$R$5:$W$9,MATCH(ROUNDUP((AH$1)/10,0)*10,[1]Hugst!$R$4:$W$4,0))))</f>
        <v>0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25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>
        <f ca="1">IF($C279-G$1&lt;År1,0,F278*(1-VLOOKUP($A279,[1]Hugst!$R$5:$W$9,MATCH(ROUNDUP((G$1)/10,0)*10,[1]Hugst!$R$4:$W$4,0))))</f>
        <v>0</v>
      </c>
      <c r="H279">
        <f ca="1">IF($C279-H$1&lt;År1,0,G278*(1-VLOOKUP($A279,[1]Hugst!$R$5:$W$9,MATCH(ROUNDUP((H$1)/10,0)*10,[1]Hugst!$R$4:$W$4,0))))</f>
        <v>0</v>
      </c>
      <c r="I279">
        <f ca="1">IF($C279-I$1&lt;År1,0,H278*(1-VLOOKUP($A279,[1]Hugst!$R$5:$W$9,MATCH(ROUNDUP((I$1)/10,0)*10,[1]Hugst!$R$4:$W$4,0))))</f>
        <v>0</v>
      </c>
      <c r="J279">
        <f ca="1">IF($C279-J$1&lt;År1,0,I278*(1-VLOOKUP($A279,[1]Hugst!$R$5:$W$9,MATCH(ROUNDUP((J$1)/10,0)*10,[1]Hugst!$R$4:$W$4,0))))</f>
        <v>0</v>
      </c>
      <c r="K279">
        <f ca="1">IF($C279-K$1&lt;År1,0,J278*(1-VLOOKUP($A279,[1]Hugst!$R$5:$W$9,MATCH(ROUNDUP((K$1)/10,0)*10,[1]Hugst!$R$4:$W$4,0))))</f>
        <v>0</v>
      </c>
      <c r="L279">
        <f ca="1">IF($C279-L$1&lt;År1,0,K278*(1-VLOOKUP($A279,[1]Hugst!$R$5:$W$9,MATCH(ROUNDUP((L$1)/10,0)*10,[1]Hugst!$R$4:$W$4,0))))</f>
        <v>0</v>
      </c>
      <c r="M279">
        <f ca="1">IF($C279-M$1&lt;År1,0,L278*(1-VLOOKUP($A279,[1]Hugst!$R$5:$W$9,MATCH(ROUNDUP((M$1)/10,0)*10,[1]Hugst!$R$4:$W$4,0))))</f>
        <v>0</v>
      </c>
      <c r="N279">
        <f ca="1">IF($C279-N$1&lt;År1,0,M278*(1-VLOOKUP($A279,[1]Hugst!$R$5:$W$9,MATCH(ROUNDUP((N$1)/10,0)*10,[1]Hugst!$R$4:$W$4,0))))</f>
        <v>0</v>
      </c>
      <c r="O279">
        <f ca="1">IF($C279-O$1&lt;År1,0,N278*(1-VLOOKUP($A279,[1]Hugst!$R$5:$W$9,MATCH(ROUNDUP((O$1)/10,0)*10,[1]Hugst!$R$4:$W$4,0))))</f>
        <v>0</v>
      </c>
      <c r="P279">
        <f ca="1">IF($C279-P$1&lt;År1,0,O278*(1-VLOOKUP($A279,[1]Hugst!$R$5:$W$9,MATCH(ROUNDUP((P$1)/10,0)*10,[1]Hugst!$R$4:$W$4,0))))</f>
        <v>0</v>
      </c>
      <c r="Q279">
        <f ca="1">IF($C279-Q$1&lt;År1,0,P278*(1-VLOOKUP($A279,[1]Hugst!$R$5:$W$9,MATCH(ROUNDUP((Q$1)/10,0)*10,[1]Hugst!$R$4:$W$4,0))))</f>
        <v>0</v>
      </c>
      <c r="R279">
        <f ca="1">IF($C279-R$1&lt;År1,0,Q278*(1-VLOOKUP($A279,[1]Hugst!$R$5:$W$9,MATCH(ROUNDUP((R$1)/10,0)*10,[1]Hugst!$R$4:$W$4,0))))</f>
        <v>0</v>
      </c>
      <c r="S279">
        <f ca="1">IF($C279-S$1&lt;År1,0,R278*(1-VLOOKUP($A279,[1]Hugst!$R$5:$W$9,MATCH(ROUNDUP((S$1)/10,0)*10,[1]Hugst!$R$4:$W$4,0))))</f>
        <v>0</v>
      </c>
      <c r="T279">
        <f ca="1">IF($C279-T$1&lt;År1,0,S278*(1-VLOOKUP($A279,[1]Hugst!$R$5:$W$9,MATCH(ROUNDUP((T$1)/10,0)*10,[1]Hugst!$R$4:$W$4,0))))</f>
        <v>0</v>
      </c>
      <c r="U279">
        <f ca="1">IF($C279-U$1&lt;År1,0,T278*(1-VLOOKUP($A279,[1]Hugst!$R$5:$W$9,MATCH(ROUNDUP((U$1)/10,0)*10,[1]Hugst!$R$4:$W$4,0))))</f>
        <v>0</v>
      </c>
      <c r="V279">
        <f ca="1">IF($C279-V$1&lt;År1,0,U278*(1-VLOOKUP($A279,[1]Hugst!$R$5:$W$9,MATCH(ROUNDUP((V$1)/10,0)*10,[1]Hugst!$R$4:$W$4,0))))</f>
        <v>0</v>
      </c>
      <c r="W279">
        <f ca="1">IF($C279-W$1&lt;År1,0,V278*(1-VLOOKUP($A279,[1]Hugst!$R$5:$W$9,MATCH(ROUNDUP((W$1)/10,0)*10,[1]Hugst!$R$4:$W$4,0))))</f>
        <v>0</v>
      </c>
      <c r="X279">
        <f ca="1">IF($C279-X$1&lt;År1,0,W278*(1-VLOOKUP($A279,[1]Hugst!$R$5:$W$9,MATCH(ROUNDUP((X$1)/10,0)*10,[1]Hugst!$R$4:$W$4,0))))</f>
        <v>0</v>
      </c>
      <c r="Y279">
        <f ca="1">IF($C279-Y$1&lt;År1,0,X278*(1-VLOOKUP($A279,[1]Hugst!$R$5:$W$9,MATCH(ROUNDUP((Y$1)/10,0)*10,[1]Hugst!$R$4:$W$4,0))))</f>
        <v>0</v>
      </c>
      <c r="Z279">
        <f ca="1">IF($C279-Z$1&lt;År1,0,Y278*(1-VLOOKUP($A279,[1]Hugst!$R$5:$W$9,MATCH(ROUNDUP((Z$1)/10,0)*10,[1]Hugst!$R$4:$W$4,0))))</f>
        <v>0</v>
      </c>
      <c r="AA279">
        <f ca="1">IF($C279-AA$1&lt;År1,0,Z278*(1-VLOOKUP($A279,[1]Hugst!$R$5:$W$9,MATCH(ROUNDUP((AA$1)/10,0)*10,[1]Hugst!$R$4:$W$4,0))))</f>
        <v>0</v>
      </c>
      <c r="AB279">
        <f ca="1">IF($C279-AB$1&lt;År1,0,AA278*(1-VLOOKUP($A279,[1]Hugst!$R$5:$W$9,MATCH(ROUNDUP((AB$1)/10,0)*10,[1]Hugst!$R$4:$W$4,0))))</f>
        <v>0</v>
      </c>
      <c r="AC279">
        <f ca="1">IF($C279-AC$1&lt;År1,0,AB278*(1-VLOOKUP($A279,[1]Hugst!$R$5:$W$9,MATCH(ROUNDUP((AC$1)/10,0)*10,[1]Hugst!$R$4:$W$4,0))))</f>
        <v>0</v>
      </c>
      <c r="AD279">
        <f ca="1">IF($C279-AD$1&lt;År1,0,AC278*(1-VLOOKUP($A279,[1]Hugst!$R$5:$W$9,MATCH(ROUNDUP((AD$1)/10,0)*10,[1]Hugst!$R$4:$W$4,0))))</f>
        <v>0</v>
      </c>
      <c r="AE279">
        <f ca="1">IF($C279-AE$1&lt;År1,0,AD278*(1-VLOOKUP($A279,[1]Hugst!$R$5:$W$9,MATCH(ROUNDUP((AE$1)/10,0)*10,[1]Hugst!$R$4:$W$4,0))))</f>
        <v>0</v>
      </c>
      <c r="AF279">
        <f ca="1">IF($C279-AF$1&lt;År1,0,AE278*(1-VLOOKUP($A279,[1]Hugst!$R$5:$W$9,MATCH(ROUNDUP((AF$1)/10,0)*10,[1]Hugst!$R$4:$W$4,0))))</f>
        <v>0</v>
      </c>
      <c r="AG279">
        <f ca="1">IF($C279-AG$1&lt;År1,0,AF278*(1-VLOOKUP($A279,[1]Hugst!$R$5:$W$9,MATCH(ROUNDUP((AG$1)/10,0)*10,[1]Hugst!$R$4:$W$4,0))))</f>
        <v>0</v>
      </c>
      <c r="AH279">
        <f ca="1">IF($C279-AH$1&lt;År1,0,AG278*(1-VLOOKUP($A279,[1]Hugst!$R$5:$W$9,MATCH(ROUNDUP((AH$1)/10,0)*10,[1]Hugst!$R$4:$W$4,0))))</f>
        <v>0</v>
      </c>
      <c r="AI279">
        <f ca="1">IF($C279-AI$1&lt;År1,0,AH278*(1-VLOOKUP($A279,[1]Hugst!$R$5:$W$9,MATCH(ROUNDUP((AI$1)/10,0)*10,[1]Hugst!$R$4:$W$4,0))))</f>
        <v>0</v>
      </c>
      <c r="AJ279">
        <f>IF($C279-AJ$1&lt;År1,0,AI278*(1-VLOOKUP($A279,[1]Hugst!$R$5:$W$9,MATCH(ROUNDUP((AJ$1)/10,0)*10,[1]Hugst!$R$4:$W$4,0))))</f>
        <v>0</v>
      </c>
    </row>
    <row r="280" spans="1:36" x14ac:dyDescent="0.25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>
        <f ca="1">IF($C280-G$1&lt;År1,0,F279*(1-VLOOKUP($A280,[1]Hugst!$R$5:$W$9,MATCH(ROUNDUP((G$1)/10,0)*10,[1]Hugst!$R$4:$W$4,0))))</f>
        <v>0</v>
      </c>
      <c r="H280">
        <f ca="1">IF($C280-H$1&lt;År1,0,G279*(1-VLOOKUP($A280,[1]Hugst!$R$5:$W$9,MATCH(ROUNDUP((H$1)/10,0)*10,[1]Hugst!$R$4:$W$4,0))))</f>
        <v>0</v>
      </c>
      <c r="I280">
        <f ca="1">IF($C280-I$1&lt;År1,0,H279*(1-VLOOKUP($A280,[1]Hugst!$R$5:$W$9,MATCH(ROUNDUP((I$1)/10,0)*10,[1]Hugst!$R$4:$W$4,0))))</f>
        <v>0</v>
      </c>
      <c r="J280">
        <f ca="1">IF($C280-J$1&lt;År1,0,I279*(1-VLOOKUP($A280,[1]Hugst!$R$5:$W$9,MATCH(ROUNDUP((J$1)/10,0)*10,[1]Hugst!$R$4:$W$4,0))))</f>
        <v>0</v>
      </c>
      <c r="K280">
        <f ca="1">IF($C280-K$1&lt;År1,0,J279*(1-VLOOKUP($A280,[1]Hugst!$R$5:$W$9,MATCH(ROUNDUP((K$1)/10,0)*10,[1]Hugst!$R$4:$W$4,0))))</f>
        <v>0</v>
      </c>
      <c r="L280">
        <f ca="1">IF($C280-L$1&lt;År1,0,K279*(1-VLOOKUP($A280,[1]Hugst!$R$5:$W$9,MATCH(ROUNDUP((L$1)/10,0)*10,[1]Hugst!$R$4:$W$4,0))))</f>
        <v>0</v>
      </c>
      <c r="M280">
        <f ca="1">IF($C280-M$1&lt;År1,0,L279*(1-VLOOKUP($A280,[1]Hugst!$R$5:$W$9,MATCH(ROUNDUP((M$1)/10,0)*10,[1]Hugst!$R$4:$W$4,0))))</f>
        <v>0</v>
      </c>
      <c r="N280">
        <f ca="1">IF($C280-N$1&lt;År1,0,M279*(1-VLOOKUP($A280,[1]Hugst!$R$5:$W$9,MATCH(ROUNDUP((N$1)/10,0)*10,[1]Hugst!$R$4:$W$4,0))))</f>
        <v>0</v>
      </c>
      <c r="O280">
        <f ca="1">IF($C280-O$1&lt;År1,0,N279*(1-VLOOKUP($A280,[1]Hugst!$R$5:$W$9,MATCH(ROUNDUP((O$1)/10,0)*10,[1]Hugst!$R$4:$W$4,0))))</f>
        <v>0</v>
      </c>
      <c r="P280">
        <f ca="1">IF($C280-P$1&lt;År1,0,O279*(1-VLOOKUP($A280,[1]Hugst!$R$5:$W$9,MATCH(ROUNDUP((P$1)/10,0)*10,[1]Hugst!$R$4:$W$4,0))))</f>
        <v>0</v>
      </c>
      <c r="Q280">
        <f ca="1">IF($C280-Q$1&lt;År1,0,P279*(1-VLOOKUP($A280,[1]Hugst!$R$5:$W$9,MATCH(ROUNDUP((Q$1)/10,0)*10,[1]Hugst!$R$4:$W$4,0))))</f>
        <v>0</v>
      </c>
      <c r="R280">
        <f ca="1">IF($C280-R$1&lt;År1,0,Q279*(1-VLOOKUP($A280,[1]Hugst!$R$5:$W$9,MATCH(ROUNDUP((R$1)/10,0)*10,[1]Hugst!$R$4:$W$4,0))))</f>
        <v>0</v>
      </c>
      <c r="S280">
        <f ca="1">IF($C280-S$1&lt;År1,0,R279*(1-VLOOKUP($A280,[1]Hugst!$R$5:$W$9,MATCH(ROUNDUP((S$1)/10,0)*10,[1]Hugst!$R$4:$W$4,0))))</f>
        <v>0</v>
      </c>
      <c r="T280">
        <f ca="1">IF($C280-T$1&lt;År1,0,S279*(1-VLOOKUP($A280,[1]Hugst!$R$5:$W$9,MATCH(ROUNDUP((T$1)/10,0)*10,[1]Hugst!$R$4:$W$4,0))))</f>
        <v>0</v>
      </c>
      <c r="U280">
        <f ca="1">IF($C280-U$1&lt;År1,0,T279*(1-VLOOKUP($A280,[1]Hugst!$R$5:$W$9,MATCH(ROUNDUP((U$1)/10,0)*10,[1]Hugst!$R$4:$W$4,0))))</f>
        <v>0</v>
      </c>
      <c r="V280">
        <f ca="1">IF($C280-V$1&lt;År1,0,U279*(1-VLOOKUP($A280,[1]Hugst!$R$5:$W$9,MATCH(ROUNDUP((V$1)/10,0)*10,[1]Hugst!$R$4:$W$4,0))))</f>
        <v>0</v>
      </c>
      <c r="W280">
        <f ca="1">IF($C280-W$1&lt;År1,0,V279*(1-VLOOKUP($A280,[1]Hugst!$R$5:$W$9,MATCH(ROUNDUP((W$1)/10,0)*10,[1]Hugst!$R$4:$W$4,0))))</f>
        <v>0</v>
      </c>
      <c r="X280">
        <f ca="1">IF($C280-X$1&lt;År1,0,W279*(1-VLOOKUP($A280,[1]Hugst!$R$5:$W$9,MATCH(ROUNDUP((X$1)/10,0)*10,[1]Hugst!$R$4:$W$4,0))))</f>
        <v>0</v>
      </c>
      <c r="Y280">
        <f ca="1">IF($C280-Y$1&lt;År1,0,X279*(1-VLOOKUP($A280,[1]Hugst!$R$5:$W$9,MATCH(ROUNDUP((Y$1)/10,0)*10,[1]Hugst!$R$4:$W$4,0))))</f>
        <v>0</v>
      </c>
      <c r="Z280">
        <f ca="1">IF($C280-Z$1&lt;År1,0,Y279*(1-VLOOKUP($A280,[1]Hugst!$R$5:$W$9,MATCH(ROUNDUP((Z$1)/10,0)*10,[1]Hugst!$R$4:$W$4,0))))</f>
        <v>0</v>
      </c>
      <c r="AA280">
        <f ca="1">IF($C280-AA$1&lt;År1,0,Z279*(1-VLOOKUP($A280,[1]Hugst!$R$5:$W$9,MATCH(ROUNDUP((AA$1)/10,0)*10,[1]Hugst!$R$4:$W$4,0))))</f>
        <v>0</v>
      </c>
      <c r="AB280">
        <f ca="1">IF($C280-AB$1&lt;År1,0,AA279*(1-VLOOKUP($A280,[1]Hugst!$R$5:$W$9,MATCH(ROUNDUP((AB$1)/10,0)*10,[1]Hugst!$R$4:$W$4,0))))</f>
        <v>0</v>
      </c>
      <c r="AC280">
        <f ca="1">IF($C280-AC$1&lt;År1,0,AB279*(1-VLOOKUP($A280,[1]Hugst!$R$5:$W$9,MATCH(ROUNDUP((AC$1)/10,0)*10,[1]Hugst!$R$4:$W$4,0))))</f>
        <v>0</v>
      </c>
      <c r="AD280">
        <f ca="1">IF($C280-AD$1&lt;År1,0,AC279*(1-VLOOKUP($A280,[1]Hugst!$R$5:$W$9,MATCH(ROUNDUP((AD$1)/10,0)*10,[1]Hugst!$R$4:$W$4,0))))</f>
        <v>0</v>
      </c>
      <c r="AE280">
        <f ca="1">IF($C280-AE$1&lt;År1,0,AD279*(1-VLOOKUP($A280,[1]Hugst!$R$5:$W$9,MATCH(ROUNDUP((AE$1)/10,0)*10,[1]Hugst!$R$4:$W$4,0))))</f>
        <v>0</v>
      </c>
      <c r="AF280">
        <f ca="1">IF($C280-AF$1&lt;År1,0,AE279*(1-VLOOKUP($A280,[1]Hugst!$R$5:$W$9,MATCH(ROUNDUP((AF$1)/10,0)*10,[1]Hugst!$R$4:$W$4,0))))</f>
        <v>0</v>
      </c>
      <c r="AG280">
        <f ca="1">IF($C280-AG$1&lt;År1,0,AF279*(1-VLOOKUP($A280,[1]Hugst!$R$5:$W$9,MATCH(ROUNDUP((AG$1)/10,0)*10,[1]Hugst!$R$4:$W$4,0))))</f>
        <v>0</v>
      </c>
      <c r="AH280">
        <f ca="1">IF($C280-AH$1&lt;År1,0,AG279*(1-VLOOKUP($A280,[1]Hugst!$R$5:$W$9,MATCH(ROUNDUP((AH$1)/10,0)*10,[1]Hugst!$R$4:$W$4,0))))</f>
        <v>0</v>
      </c>
      <c r="AI280">
        <f ca="1">IF($C280-AI$1&lt;År1,0,AH279*(1-VLOOKUP($A280,[1]Hugst!$R$5:$W$9,MATCH(ROUNDUP((AI$1)/10,0)*10,[1]Hugst!$R$4:$W$4,0))))</f>
        <v>0</v>
      </c>
      <c r="AJ280">
        <f ca="1">IF($C280-AJ$1&lt;År1,0,AI279*(1-VLOOKUP($A280,[1]Hugst!$R$5:$W$9,MATCH(ROUNDUP((AJ$1)/10,0)*10,[1]Hugst!$R$4:$W$4,0))))</f>
        <v>0</v>
      </c>
    </row>
    <row r="281" spans="1:36" x14ac:dyDescent="0.25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25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>
        <f ca="1">IF($C282-G$1&lt;År1,0,F281*(1-VLOOKUP($A282,[1]Hugst!$R$5:$W$9,MATCH(ROUNDUP((G$1)/10,0)*10,[1]Hugst!$R$4:$W$4,0))))</f>
        <v>0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25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>
        <f ca="1">IF($C283-G$1&lt;År1,0,F282*(1-VLOOKUP($A283,[1]Hugst!$R$5:$W$9,MATCH(ROUNDUP((G$1)/10,0)*10,[1]Hugst!$R$4:$W$4,0))))</f>
        <v>0</v>
      </c>
      <c r="H283">
        <f ca="1">IF($C283-H$1&lt;År1,0,G282*(1-VLOOKUP($A283,[1]Hugst!$R$5:$W$9,MATCH(ROUNDUP((H$1)/10,0)*10,[1]Hugst!$R$4:$W$4,0))))</f>
        <v>0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25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>
        <f ca="1">IF($C284-G$1&lt;År1,0,F283*(1-VLOOKUP($A284,[1]Hugst!$R$5:$W$9,MATCH(ROUNDUP((G$1)/10,0)*10,[1]Hugst!$R$4:$W$4,0))))</f>
        <v>0</v>
      </c>
      <c r="H284">
        <f ca="1">IF($C284-H$1&lt;År1,0,G283*(1-VLOOKUP($A284,[1]Hugst!$R$5:$W$9,MATCH(ROUNDUP((H$1)/10,0)*10,[1]Hugst!$R$4:$W$4,0))))</f>
        <v>0</v>
      </c>
      <c r="I284">
        <f ca="1">IF($C284-I$1&lt;År1,0,H283*(1-VLOOKUP($A284,[1]Hugst!$R$5:$W$9,MATCH(ROUNDUP((I$1)/10,0)*10,[1]Hugst!$R$4:$W$4,0))))</f>
        <v>0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25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>
        <f ca="1">IF($C285-G$1&lt;År1,0,F284*(1-VLOOKUP($A285,[1]Hugst!$R$5:$W$9,MATCH(ROUNDUP((G$1)/10,0)*10,[1]Hugst!$R$4:$W$4,0))))</f>
        <v>0</v>
      </c>
      <c r="H285">
        <f ca="1">IF($C285-H$1&lt;År1,0,G284*(1-VLOOKUP($A285,[1]Hugst!$R$5:$W$9,MATCH(ROUNDUP((H$1)/10,0)*10,[1]Hugst!$R$4:$W$4,0))))</f>
        <v>0</v>
      </c>
      <c r="I285">
        <f ca="1">IF($C285-I$1&lt;År1,0,H284*(1-VLOOKUP($A285,[1]Hugst!$R$5:$W$9,MATCH(ROUNDUP((I$1)/10,0)*10,[1]Hugst!$R$4:$W$4,0))))</f>
        <v>0</v>
      </c>
      <c r="J285">
        <f ca="1">IF($C285-J$1&lt;År1,0,I284*(1-VLOOKUP($A285,[1]Hugst!$R$5:$W$9,MATCH(ROUNDUP((J$1)/10,0)*10,[1]Hugst!$R$4:$W$4,0))))</f>
        <v>0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25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>
        <f ca="1">IF($C286-G$1&lt;År1,0,F285*(1-VLOOKUP($A286,[1]Hugst!$R$5:$W$9,MATCH(ROUNDUP((G$1)/10,0)*10,[1]Hugst!$R$4:$W$4,0))))</f>
        <v>0</v>
      </c>
      <c r="H286">
        <f ca="1">IF($C286-H$1&lt;År1,0,G285*(1-VLOOKUP($A286,[1]Hugst!$R$5:$W$9,MATCH(ROUNDUP((H$1)/10,0)*10,[1]Hugst!$R$4:$W$4,0))))</f>
        <v>0</v>
      </c>
      <c r="I286">
        <f ca="1">IF($C286-I$1&lt;År1,0,H285*(1-VLOOKUP($A286,[1]Hugst!$R$5:$W$9,MATCH(ROUNDUP((I$1)/10,0)*10,[1]Hugst!$R$4:$W$4,0))))</f>
        <v>0</v>
      </c>
      <c r="J286">
        <f ca="1">IF($C286-J$1&lt;År1,0,I285*(1-VLOOKUP($A286,[1]Hugst!$R$5:$W$9,MATCH(ROUNDUP((J$1)/10,0)*10,[1]Hugst!$R$4:$W$4,0))))</f>
        <v>0</v>
      </c>
      <c r="K286">
        <f ca="1">IF($C286-K$1&lt;År1,0,J285*(1-VLOOKUP($A286,[1]Hugst!$R$5:$W$9,MATCH(ROUNDUP((K$1)/10,0)*10,[1]Hugst!$R$4:$W$4,0))))</f>
        <v>0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25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>
        <f ca="1">IF($C287-G$1&lt;År1,0,F286*(1-VLOOKUP($A287,[1]Hugst!$R$5:$W$9,MATCH(ROUNDUP((G$1)/10,0)*10,[1]Hugst!$R$4:$W$4,0))))</f>
        <v>0</v>
      </c>
      <c r="H287">
        <f ca="1">IF($C287-H$1&lt;År1,0,G286*(1-VLOOKUP($A287,[1]Hugst!$R$5:$W$9,MATCH(ROUNDUP((H$1)/10,0)*10,[1]Hugst!$R$4:$W$4,0))))</f>
        <v>0</v>
      </c>
      <c r="I287">
        <f ca="1">IF($C287-I$1&lt;År1,0,H286*(1-VLOOKUP($A287,[1]Hugst!$R$5:$W$9,MATCH(ROUNDUP((I$1)/10,0)*10,[1]Hugst!$R$4:$W$4,0))))</f>
        <v>0</v>
      </c>
      <c r="J287">
        <f ca="1">IF($C287-J$1&lt;År1,0,I286*(1-VLOOKUP($A287,[1]Hugst!$R$5:$W$9,MATCH(ROUNDUP((J$1)/10,0)*10,[1]Hugst!$R$4:$W$4,0))))</f>
        <v>0</v>
      </c>
      <c r="K287">
        <f ca="1">IF($C287-K$1&lt;År1,0,J286*(1-VLOOKUP($A287,[1]Hugst!$R$5:$W$9,MATCH(ROUNDUP((K$1)/10,0)*10,[1]Hugst!$R$4:$W$4,0))))</f>
        <v>0</v>
      </c>
      <c r="L287">
        <f ca="1">IF($C287-L$1&lt;År1,0,K286*(1-VLOOKUP($A287,[1]Hugst!$R$5:$W$9,MATCH(ROUNDUP((L$1)/10,0)*10,[1]Hugst!$R$4:$W$4,0))))</f>
        <v>0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25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>
        <f ca="1">IF($C288-G$1&lt;År1,0,F287*(1-VLOOKUP($A288,[1]Hugst!$R$5:$W$9,MATCH(ROUNDUP((G$1)/10,0)*10,[1]Hugst!$R$4:$W$4,0))))</f>
        <v>0</v>
      </c>
      <c r="H288">
        <f ca="1">IF($C288-H$1&lt;År1,0,G287*(1-VLOOKUP($A288,[1]Hugst!$R$5:$W$9,MATCH(ROUNDUP((H$1)/10,0)*10,[1]Hugst!$R$4:$W$4,0))))</f>
        <v>0</v>
      </c>
      <c r="I288">
        <f ca="1">IF($C288-I$1&lt;År1,0,H287*(1-VLOOKUP($A288,[1]Hugst!$R$5:$W$9,MATCH(ROUNDUP((I$1)/10,0)*10,[1]Hugst!$R$4:$W$4,0))))</f>
        <v>0</v>
      </c>
      <c r="J288">
        <f ca="1">IF($C288-J$1&lt;År1,0,I287*(1-VLOOKUP($A288,[1]Hugst!$R$5:$W$9,MATCH(ROUNDUP((J$1)/10,0)*10,[1]Hugst!$R$4:$W$4,0))))</f>
        <v>0</v>
      </c>
      <c r="K288">
        <f ca="1">IF($C288-K$1&lt;År1,0,J287*(1-VLOOKUP($A288,[1]Hugst!$R$5:$W$9,MATCH(ROUNDUP((K$1)/10,0)*10,[1]Hugst!$R$4:$W$4,0))))</f>
        <v>0</v>
      </c>
      <c r="L288">
        <f ca="1">IF($C288-L$1&lt;År1,0,K287*(1-VLOOKUP($A288,[1]Hugst!$R$5:$W$9,MATCH(ROUNDUP((L$1)/10,0)*10,[1]Hugst!$R$4:$W$4,0))))</f>
        <v>0</v>
      </c>
      <c r="M288">
        <f ca="1">IF($C288-M$1&lt;År1,0,L287*(1-VLOOKUP($A288,[1]Hugst!$R$5:$W$9,MATCH(ROUNDUP((M$1)/10,0)*10,[1]Hugst!$R$4:$W$4,0))))</f>
        <v>0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25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>
        <f ca="1">IF($C289-G$1&lt;År1,0,F288*(1-VLOOKUP($A289,[1]Hugst!$R$5:$W$9,MATCH(ROUNDUP((G$1)/10,0)*10,[1]Hugst!$R$4:$W$4,0))))</f>
        <v>0</v>
      </c>
      <c r="H289">
        <f ca="1">IF($C289-H$1&lt;År1,0,G288*(1-VLOOKUP($A289,[1]Hugst!$R$5:$W$9,MATCH(ROUNDUP((H$1)/10,0)*10,[1]Hugst!$R$4:$W$4,0))))</f>
        <v>0</v>
      </c>
      <c r="I289">
        <f ca="1">IF($C289-I$1&lt;År1,0,H288*(1-VLOOKUP($A289,[1]Hugst!$R$5:$W$9,MATCH(ROUNDUP((I$1)/10,0)*10,[1]Hugst!$R$4:$W$4,0))))</f>
        <v>0</v>
      </c>
      <c r="J289">
        <f ca="1">IF($C289-J$1&lt;År1,0,I288*(1-VLOOKUP($A289,[1]Hugst!$R$5:$W$9,MATCH(ROUNDUP((J$1)/10,0)*10,[1]Hugst!$R$4:$W$4,0))))</f>
        <v>0</v>
      </c>
      <c r="K289">
        <f ca="1">IF($C289-K$1&lt;År1,0,J288*(1-VLOOKUP($A289,[1]Hugst!$R$5:$W$9,MATCH(ROUNDUP((K$1)/10,0)*10,[1]Hugst!$R$4:$W$4,0))))</f>
        <v>0</v>
      </c>
      <c r="L289">
        <f ca="1">IF($C289-L$1&lt;År1,0,K288*(1-VLOOKUP($A289,[1]Hugst!$R$5:$W$9,MATCH(ROUNDUP((L$1)/10,0)*10,[1]Hugst!$R$4:$W$4,0))))</f>
        <v>0</v>
      </c>
      <c r="M289">
        <f ca="1">IF($C289-M$1&lt;År1,0,L288*(1-VLOOKUP($A289,[1]Hugst!$R$5:$W$9,MATCH(ROUNDUP((M$1)/10,0)*10,[1]Hugst!$R$4:$W$4,0))))</f>
        <v>0</v>
      </c>
      <c r="N289">
        <f ca="1">IF($C289-N$1&lt;År1,0,M288*(1-VLOOKUP($A289,[1]Hugst!$R$5:$W$9,MATCH(ROUNDUP((N$1)/10,0)*10,[1]Hugst!$R$4:$W$4,0))))</f>
        <v>0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25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>
        <f ca="1">IF($C290-G$1&lt;År1,0,F289*(1-VLOOKUP($A290,[1]Hugst!$R$5:$W$9,MATCH(ROUNDUP((G$1)/10,0)*10,[1]Hugst!$R$4:$W$4,0))))</f>
        <v>0</v>
      </c>
      <c r="H290">
        <f ca="1">IF($C290-H$1&lt;År1,0,G289*(1-VLOOKUP($A290,[1]Hugst!$R$5:$W$9,MATCH(ROUNDUP((H$1)/10,0)*10,[1]Hugst!$R$4:$W$4,0))))</f>
        <v>0</v>
      </c>
      <c r="I290">
        <f ca="1">IF($C290-I$1&lt;År1,0,H289*(1-VLOOKUP($A290,[1]Hugst!$R$5:$W$9,MATCH(ROUNDUP((I$1)/10,0)*10,[1]Hugst!$R$4:$W$4,0))))</f>
        <v>0</v>
      </c>
      <c r="J290">
        <f ca="1">IF($C290-J$1&lt;År1,0,I289*(1-VLOOKUP($A290,[1]Hugst!$R$5:$W$9,MATCH(ROUNDUP((J$1)/10,0)*10,[1]Hugst!$R$4:$W$4,0))))</f>
        <v>0</v>
      </c>
      <c r="K290">
        <f ca="1">IF($C290-K$1&lt;År1,0,J289*(1-VLOOKUP($A290,[1]Hugst!$R$5:$W$9,MATCH(ROUNDUP((K$1)/10,0)*10,[1]Hugst!$R$4:$W$4,0))))</f>
        <v>0</v>
      </c>
      <c r="L290">
        <f ca="1">IF($C290-L$1&lt;År1,0,K289*(1-VLOOKUP($A290,[1]Hugst!$R$5:$W$9,MATCH(ROUNDUP((L$1)/10,0)*10,[1]Hugst!$R$4:$W$4,0))))</f>
        <v>0</v>
      </c>
      <c r="M290">
        <f ca="1">IF($C290-M$1&lt;År1,0,L289*(1-VLOOKUP($A290,[1]Hugst!$R$5:$W$9,MATCH(ROUNDUP((M$1)/10,0)*10,[1]Hugst!$R$4:$W$4,0))))</f>
        <v>0</v>
      </c>
      <c r="N290">
        <f ca="1">IF($C290-N$1&lt;År1,0,M289*(1-VLOOKUP($A290,[1]Hugst!$R$5:$W$9,MATCH(ROUNDUP((N$1)/10,0)*10,[1]Hugst!$R$4:$W$4,0))))</f>
        <v>0</v>
      </c>
      <c r="O290">
        <f ca="1">IF($C290-O$1&lt;År1,0,N289*(1-VLOOKUP($A290,[1]Hugst!$R$5:$W$9,MATCH(ROUNDUP((O$1)/10,0)*10,[1]Hugst!$R$4:$W$4,0))))</f>
        <v>0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25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>
        <f ca="1">IF($C291-G$1&lt;År1,0,F290*(1-VLOOKUP($A291,[1]Hugst!$R$5:$W$9,MATCH(ROUNDUP((G$1)/10,0)*10,[1]Hugst!$R$4:$W$4,0))))</f>
        <v>0</v>
      </c>
      <c r="H291">
        <f ca="1">IF($C291-H$1&lt;År1,0,G290*(1-VLOOKUP($A291,[1]Hugst!$R$5:$W$9,MATCH(ROUNDUP((H$1)/10,0)*10,[1]Hugst!$R$4:$W$4,0))))</f>
        <v>0</v>
      </c>
      <c r="I291">
        <f ca="1">IF($C291-I$1&lt;År1,0,H290*(1-VLOOKUP($A291,[1]Hugst!$R$5:$W$9,MATCH(ROUNDUP((I$1)/10,0)*10,[1]Hugst!$R$4:$W$4,0))))</f>
        <v>0</v>
      </c>
      <c r="J291">
        <f ca="1">IF($C291-J$1&lt;År1,0,I290*(1-VLOOKUP($A291,[1]Hugst!$R$5:$W$9,MATCH(ROUNDUP((J$1)/10,0)*10,[1]Hugst!$R$4:$W$4,0))))</f>
        <v>0</v>
      </c>
      <c r="K291">
        <f ca="1">IF($C291-K$1&lt;År1,0,J290*(1-VLOOKUP($A291,[1]Hugst!$R$5:$W$9,MATCH(ROUNDUP((K$1)/10,0)*10,[1]Hugst!$R$4:$W$4,0))))</f>
        <v>0</v>
      </c>
      <c r="L291">
        <f ca="1">IF($C291-L$1&lt;År1,0,K290*(1-VLOOKUP($A291,[1]Hugst!$R$5:$W$9,MATCH(ROUNDUP((L$1)/10,0)*10,[1]Hugst!$R$4:$W$4,0))))</f>
        <v>0</v>
      </c>
      <c r="M291">
        <f ca="1">IF($C291-M$1&lt;År1,0,L290*(1-VLOOKUP($A291,[1]Hugst!$R$5:$W$9,MATCH(ROUNDUP((M$1)/10,0)*10,[1]Hugst!$R$4:$W$4,0))))</f>
        <v>0</v>
      </c>
      <c r="N291">
        <f ca="1">IF($C291-N$1&lt;År1,0,M290*(1-VLOOKUP($A291,[1]Hugst!$R$5:$W$9,MATCH(ROUNDUP((N$1)/10,0)*10,[1]Hugst!$R$4:$W$4,0))))</f>
        <v>0</v>
      </c>
      <c r="O291">
        <f ca="1">IF($C291-O$1&lt;År1,0,N290*(1-VLOOKUP($A291,[1]Hugst!$R$5:$W$9,MATCH(ROUNDUP((O$1)/10,0)*10,[1]Hugst!$R$4:$W$4,0))))</f>
        <v>0</v>
      </c>
      <c r="P291">
        <f ca="1">IF($C291-P$1&lt;År1,0,O290*(1-VLOOKUP($A291,[1]Hugst!$R$5:$W$9,MATCH(ROUNDUP((P$1)/10,0)*10,[1]Hugst!$R$4:$W$4,0))))</f>
        <v>0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25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>
        <f ca="1">IF($C292-G$1&lt;År1,0,F291*(1-VLOOKUP($A292,[1]Hugst!$R$5:$W$9,MATCH(ROUNDUP((G$1)/10,0)*10,[1]Hugst!$R$4:$W$4,0))))</f>
        <v>0</v>
      </c>
      <c r="H292">
        <f ca="1">IF($C292-H$1&lt;År1,0,G291*(1-VLOOKUP($A292,[1]Hugst!$R$5:$W$9,MATCH(ROUNDUP((H$1)/10,0)*10,[1]Hugst!$R$4:$W$4,0))))</f>
        <v>0</v>
      </c>
      <c r="I292">
        <f ca="1">IF($C292-I$1&lt;År1,0,H291*(1-VLOOKUP($A292,[1]Hugst!$R$5:$W$9,MATCH(ROUNDUP((I$1)/10,0)*10,[1]Hugst!$R$4:$W$4,0))))</f>
        <v>0</v>
      </c>
      <c r="J292">
        <f ca="1">IF($C292-J$1&lt;År1,0,I291*(1-VLOOKUP($A292,[1]Hugst!$R$5:$W$9,MATCH(ROUNDUP((J$1)/10,0)*10,[1]Hugst!$R$4:$W$4,0))))</f>
        <v>0</v>
      </c>
      <c r="K292">
        <f ca="1">IF($C292-K$1&lt;År1,0,J291*(1-VLOOKUP($A292,[1]Hugst!$R$5:$W$9,MATCH(ROUNDUP((K$1)/10,0)*10,[1]Hugst!$R$4:$W$4,0))))</f>
        <v>0</v>
      </c>
      <c r="L292">
        <f ca="1">IF($C292-L$1&lt;År1,0,K291*(1-VLOOKUP($A292,[1]Hugst!$R$5:$W$9,MATCH(ROUNDUP((L$1)/10,0)*10,[1]Hugst!$R$4:$W$4,0))))</f>
        <v>0</v>
      </c>
      <c r="M292">
        <f ca="1">IF($C292-M$1&lt;År1,0,L291*(1-VLOOKUP($A292,[1]Hugst!$R$5:$W$9,MATCH(ROUNDUP((M$1)/10,0)*10,[1]Hugst!$R$4:$W$4,0))))</f>
        <v>0</v>
      </c>
      <c r="N292">
        <f ca="1">IF($C292-N$1&lt;År1,0,M291*(1-VLOOKUP($A292,[1]Hugst!$R$5:$W$9,MATCH(ROUNDUP((N$1)/10,0)*10,[1]Hugst!$R$4:$W$4,0))))</f>
        <v>0</v>
      </c>
      <c r="O292">
        <f ca="1">IF($C292-O$1&lt;År1,0,N291*(1-VLOOKUP($A292,[1]Hugst!$R$5:$W$9,MATCH(ROUNDUP((O$1)/10,0)*10,[1]Hugst!$R$4:$W$4,0))))</f>
        <v>0</v>
      </c>
      <c r="P292">
        <f ca="1">IF($C292-P$1&lt;År1,0,O291*(1-VLOOKUP($A292,[1]Hugst!$R$5:$W$9,MATCH(ROUNDUP((P$1)/10,0)*10,[1]Hugst!$R$4:$W$4,0))))</f>
        <v>0</v>
      </c>
      <c r="Q292">
        <f ca="1">IF($C292-Q$1&lt;År1,0,P291*(1-VLOOKUP($A292,[1]Hugst!$R$5:$W$9,MATCH(ROUNDUP((Q$1)/10,0)*10,[1]Hugst!$R$4:$W$4,0))))</f>
        <v>0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25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>
        <f ca="1">IF($C293-G$1&lt;År1,0,F292*(1-VLOOKUP($A293,[1]Hugst!$R$5:$W$9,MATCH(ROUNDUP((G$1)/10,0)*10,[1]Hugst!$R$4:$W$4,0))))</f>
        <v>0</v>
      </c>
      <c r="H293">
        <f ca="1">IF($C293-H$1&lt;År1,0,G292*(1-VLOOKUP($A293,[1]Hugst!$R$5:$W$9,MATCH(ROUNDUP((H$1)/10,0)*10,[1]Hugst!$R$4:$W$4,0))))</f>
        <v>0</v>
      </c>
      <c r="I293">
        <f ca="1">IF($C293-I$1&lt;År1,0,H292*(1-VLOOKUP($A293,[1]Hugst!$R$5:$W$9,MATCH(ROUNDUP((I$1)/10,0)*10,[1]Hugst!$R$4:$W$4,0))))</f>
        <v>0</v>
      </c>
      <c r="J293">
        <f ca="1">IF($C293-J$1&lt;År1,0,I292*(1-VLOOKUP($A293,[1]Hugst!$R$5:$W$9,MATCH(ROUNDUP((J$1)/10,0)*10,[1]Hugst!$R$4:$W$4,0))))</f>
        <v>0</v>
      </c>
      <c r="K293">
        <f ca="1">IF($C293-K$1&lt;År1,0,J292*(1-VLOOKUP($A293,[1]Hugst!$R$5:$W$9,MATCH(ROUNDUP((K$1)/10,0)*10,[1]Hugst!$R$4:$W$4,0))))</f>
        <v>0</v>
      </c>
      <c r="L293">
        <f ca="1">IF($C293-L$1&lt;År1,0,K292*(1-VLOOKUP($A293,[1]Hugst!$R$5:$W$9,MATCH(ROUNDUP((L$1)/10,0)*10,[1]Hugst!$R$4:$W$4,0))))</f>
        <v>0</v>
      </c>
      <c r="M293">
        <f ca="1">IF($C293-M$1&lt;År1,0,L292*(1-VLOOKUP($A293,[1]Hugst!$R$5:$W$9,MATCH(ROUNDUP((M$1)/10,0)*10,[1]Hugst!$R$4:$W$4,0))))</f>
        <v>0</v>
      </c>
      <c r="N293">
        <f ca="1">IF($C293-N$1&lt;År1,0,M292*(1-VLOOKUP($A293,[1]Hugst!$R$5:$W$9,MATCH(ROUNDUP((N$1)/10,0)*10,[1]Hugst!$R$4:$W$4,0))))</f>
        <v>0</v>
      </c>
      <c r="O293">
        <f ca="1">IF($C293-O$1&lt;År1,0,N292*(1-VLOOKUP($A293,[1]Hugst!$R$5:$W$9,MATCH(ROUNDUP((O$1)/10,0)*10,[1]Hugst!$R$4:$W$4,0))))</f>
        <v>0</v>
      </c>
      <c r="P293">
        <f ca="1">IF($C293-P$1&lt;År1,0,O292*(1-VLOOKUP($A293,[1]Hugst!$R$5:$W$9,MATCH(ROUNDUP((P$1)/10,0)*10,[1]Hugst!$R$4:$W$4,0))))</f>
        <v>0</v>
      </c>
      <c r="Q293">
        <f ca="1">IF($C293-Q$1&lt;År1,0,P292*(1-VLOOKUP($A293,[1]Hugst!$R$5:$W$9,MATCH(ROUNDUP((Q$1)/10,0)*10,[1]Hugst!$R$4:$W$4,0))))</f>
        <v>0</v>
      </c>
      <c r="R293">
        <f ca="1">IF($C293-R$1&lt;År1,0,Q292*(1-VLOOKUP($A293,[1]Hugst!$R$5:$W$9,MATCH(ROUNDUP((R$1)/10,0)*10,[1]Hugst!$R$4:$W$4,0))))</f>
        <v>0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25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>
        <f ca="1">IF($C294-G$1&lt;År1,0,F293*(1-VLOOKUP($A294,[1]Hugst!$R$5:$W$9,MATCH(ROUNDUP((G$1)/10,0)*10,[1]Hugst!$R$4:$W$4,0))))</f>
        <v>0</v>
      </c>
      <c r="H294">
        <f ca="1">IF($C294-H$1&lt;År1,0,G293*(1-VLOOKUP($A294,[1]Hugst!$R$5:$W$9,MATCH(ROUNDUP((H$1)/10,0)*10,[1]Hugst!$R$4:$W$4,0))))</f>
        <v>0</v>
      </c>
      <c r="I294">
        <f ca="1">IF($C294-I$1&lt;År1,0,H293*(1-VLOOKUP($A294,[1]Hugst!$R$5:$W$9,MATCH(ROUNDUP((I$1)/10,0)*10,[1]Hugst!$R$4:$W$4,0))))</f>
        <v>0</v>
      </c>
      <c r="J294">
        <f ca="1">IF($C294-J$1&lt;År1,0,I293*(1-VLOOKUP($A294,[1]Hugst!$R$5:$W$9,MATCH(ROUNDUP((J$1)/10,0)*10,[1]Hugst!$R$4:$W$4,0))))</f>
        <v>0</v>
      </c>
      <c r="K294">
        <f ca="1">IF($C294-K$1&lt;År1,0,J293*(1-VLOOKUP($A294,[1]Hugst!$R$5:$W$9,MATCH(ROUNDUP((K$1)/10,0)*10,[1]Hugst!$R$4:$W$4,0))))</f>
        <v>0</v>
      </c>
      <c r="L294">
        <f ca="1">IF($C294-L$1&lt;År1,0,K293*(1-VLOOKUP($A294,[1]Hugst!$R$5:$W$9,MATCH(ROUNDUP((L$1)/10,0)*10,[1]Hugst!$R$4:$W$4,0))))</f>
        <v>0</v>
      </c>
      <c r="M294">
        <f ca="1">IF($C294-M$1&lt;År1,0,L293*(1-VLOOKUP($A294,[1]Hugst!$R$5:$W$9,MATCH(ROUNDUP((M$1)/10,0)*10,[1]Hugst!$R$4:$W$4,0))))</f>
        <v>0</v>
      </c>
      <c r="N294">
        <f ca="1">IF($C294-N$1&lt;År1,0,M293*(1-VLOOKUP($A294,[1]Hugst!$R$5:$W$9,MATCH(ROUNDUP((N$1)/10,0)*10,[1]Hugst!$R$4:$W$4,0))))</f>
        <v>0</v>
      </c>
      <c r="O294">
        <f ca="1">IF($C294-O$1&lt;År1,0,N293*(1-VLOOKUP($A294,[1]Hugst!$R$5:$W$9,MATCH(ROUNDUP((O$1)/10,0)*10,[1]Hugst!$R$4:$W$4,0))))</f>
        <v>0</v>
      </c>
      <c r="P294">
        <f ca="1">IF($C294-P$1&lt;År1,0,O293*(1-VLOOKUP($A294,[1]Hugst!$R$5:$W$9,MATCH(ROUNDUP((P$1)/10,0)*10,[1]Hugst!$R$4:$W$4,0))))</f>
        <v>0</v>
      </c>
      <c r="Q294">
        <f ca="1">IF($C294-Q$1&lt;År1,0,P293*(1-VLOOKUP($A294,[1]Hugst!$R$5:$W$9,MATCH(ROUNDUP((Q$1)/10,0)*10,[1]Hugst!$R$4:$W$4,0))))</f>
        <v>0</v>
      </c>
      <c r="R294">
        <f ca="1">IF($C294-R$1&lt;År1,0,Q293*(1-VLOOKUP($A294,[1]Hugst!$R$5:$W$9,MATCH(ROUNDUP((R$1)/10,0)*10,[1]Hugst!$R$4:$W$4,0))))</f>
        <v>0</v>
      </c>
      <c r="S294">
        <f ca="1">IF($C294-S$1&lt;År1,0,R293*(1-VLOOKUP($A294,[1]Hugst!$R$5:$W$9,MATCH(ROUNDUP((S$1)/10,0)*10,[1]Hugst!$R$4:$W$4,0))))</f>
        <v>0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25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>
        <f ca="1">IF($C295-G$1&lt;År1,0,F294*(1-VLOOKUP($A295,[1]Hugst!$R$5:$W$9,MATCH(ROUNDUP((G$1)/10,0)*10,[1]Hugst!$R$4:$W$4,0))))</f>
        <v>0</v>
      </c>
      <c r="H295">
        <f ca="1">IF($C295-H$1&lt;År1,0,G294*(1-VLOOKUP($A295,[1]Hugst!$R$5:$W$9,MATCH(ROUNDUP((H$1)/10,0)*10,[1]Hugst!$R$4:$W$4,0))))</f>
        <v>0</v>
      </c>
      <c r="I295">
        <f ca="1">IF($C295-I$1&lt;År1,0,H294*(1-VLOOKUP($A295,[1]Hugst!$R$5:$W$9,MATCH(ROUNDUP((I$1)/10,0)*10,[1]Hugst!$R$4:$W$4,0))))</f>
        <v>0</v>
      </c>
      <c r="J295">
        <f ca="1">IF($C295-J$1&lt;År1,0,I294*(1-VLOOKUP($A295,[1]Hugst!$R$5:$W$9,MATCH(ROUNDUP((J$1)/10,0)*10,[1]Hugst!$R$4:$W$4,0))))</f>
        <v>0</v>
      </c>
      <c r="K295">
        <f ca="1">IF($C295-K$1&lt;År1,0,J294*(1-VLOOKUP($A295,[1]Hugst!$R$5:$W$9,MATCH(ROUNDUP((K$1)/10,0)*10,[1]Hugst!$R$4:$W$4,0))))</f>
        <v>0</v>
      </c>
      <c r="L295">
        <f ca="1">IF($C295-L$1&lt;År1,0,K294*(1-VLOOKUP($A295,[1]Hugst!$R$5:$W$9,MATCH(ROUNDUP((L$1)/10,0)*10,[1]Hugst!$R$4:$W$4,0))))</f>
        <v>0</v>
      </c>
      <c r="M295">
        <f ca="1">IF($C295-M$1&lt;År1,0,L294*(1-VLOOKUP($A295,[1]Hugst!$R$5:$W$9,MATCH(ROUNDUP((M$1)/10,0)*10,[1]Hugst!$R$4:$W$4,0))))</f>
        <v>0</v>
      </c>
      <c r="N295">
        <f ca="1">IF($C295-N$1&lt;År1,0,M294*(1-VLOOKUP($A295,[1]Hugst!$R$5:$W$9,MATCH(ROUNDUP((N$1)/10,0)*10,[1]Hugst!$R$4:$W$4,0))))</f>
        <v>0</v>
      </c>
      <c r="O295">
        <f ca="1">IF($C295-O$1&lt;År1,0,N294*(1-VLOOKUP($A295,[1]Hugst!$R$5:$W$9,MATCH(ROUNDUP((O$1)/10,0)*10,[1]Hugst!$R$4:$W$4,0))))</f>
        <v>0</v>
      </c>
      <c r="P295">
        <f ca="1">IF($C295-P$1&lt;År1,0,O294*(1-VLOOKUP($A295,[1]Hugst!$R$5:$W$9,MATCH(ROUNDUP((P$1)/10,0)*10,[1]Hugst!$R$4:$W$4,0))))</f>
        <v>0</v>
      </c>
      <c r="Q295">
        <f ca="1">IF($C295-Q$1&lt;År1,0,P294*(1-VLOOKUP($A295,[1]Hugst!$R$5:$W$9,MATCH(ROUNDUP((Q$1)/10,0)*10,[1]Hugst!$R$4:$W$4,0))))</f>
        <v>0</v>
      </c>
      <c r="R295">
        <f ca="1">IF($C295-R$1&lt;År1,0,Q294*(1-VLOOKUP($A295,[1]Hugst!$R$5:$W$9,MATCH(ROUNDUP((R$1)/10,0)*10,[1]Hugst!$R$4:$W$4,0))))</f>
        <v>0</v>
      </c>
      <c r="S295">
        <f ca="1">IF($C295-S$1&lt;År1,0,R294*(1-VLOOKUP($A295,[1]Hugst!$R$5:$W$9,MATCH(ROUNDUP((S$1)/10,0)*10,[1]Hugst!$R$4:$W$4,0))))</f>
        <v>0</v>
      </c>
      <c r="T295">
        <f ca="1">IF($C295-T$1&lt;År1,0,S294*(1-VLOOKUP($A295,[1]Hugst!$R$5:$W$9,MATCH(ROUNDUP((T$1)/10,0)*10,[1]Hugst!$R$4:$W$4,0))))</f>
        <v>0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25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>
        <f ca="1">IF($C296-G$1&lt;År1,0,F295*(1-VLOOKUP($A296,[1]Hugst!$R$5:$W$9,MATCH(ROUNDUP((G$1)/10,0)*10,[1]Hugst!$R$4:$W$4,0))))</f>
        <v>0</v>
      </c>
      <c r="H296">
        <f ca="1">IF($C296-H$1&lt;År1,0,G295*(1-VLOOKUP($A296,[1]Hugst!$R$5:$W$9,MATCH(ROUNDUP((H$1)/10,0)*10,[1]Hugst!$R$4:$W$4,0))))</f>
        <v>0</v>
      </c>
      <c r="I296">
        <f ca="1">IF($C296-I$1&lt;År1,0,H295*(1-VLOOKUP($A296,[1]Hugst!$R$5:$W$9,MATCH(ROUNDUP((I$1)/10,0)*10,[1]Hugst!$R$4:$W$4,0))))</f>
        <v>0</v>
      </c>
      <c r="J296">
        <f ca="1">IF($C296-J$1&lt;År1,0,I295*(1-VLOOKUP($A296,[1]Hugst!$R$5:$W$9,MATCH(ROUNDUP((J$1)/10,0)*10,[1]Hugst!$R$4:$W$4,0))))</f>
        <v>0</v>
      </c>
      <c r="K296">
        <f ca="1">IF($C296-K$1&lt;År1,0,J295*(1-VLOOKUP($A296,[1]Hugst!$R$5:$W$9,MATCH(ROUNDUP((K$1)/10,0)*10,[1]Hugst!$R$4:$W$4,0))))</f>
        <v>0</v>
      </c>
      <c r="L296">
        <f ca="1">IF($C296-L$1&lt;År1,0,K295*(1-VLOOKUP($A296,[1]Hugst!$R$5:$W$9,MATCH(ROUNDUP((L$1)/10,0)*10,[1]Hugst!$R$4:$W$4,0))))</f>
        <v>0</v>
      </c>
      <c r="M296">
        <f ca="1">IF($C296-M$1&lt;År1,0,L295*(1-VLOOKUP($A296,[1]Hugst!$R$5:$W$9,MATCH(ROUNDUP((M$1)/10,0)*10,[1]Hugst!$R$4:$W$4,0))))</f>
        <v>0</v>
      </c>
      <c r="N296">
        <f ca="1">IF($C296-N$1&lt;År1,0,M295*(1-VLOOKUP($A296,[1]Hugst!$R$5:$W$9,MATCH(ROUNDUP((N$1)/10,0)*10,[1]Hugst!$R$4:$W$4,0))))</f>
        <v>0</v>
      </c>
      <c r="O296">
        <f ca="1">IF($C296-O$1&lt;År1,0,N295*(1-VLOOKUP($A296,[1]Hugst!$R$5:$W$9,MATCH(ROUNDUP((O$1)/10,0)*10,[1]Hugst!$R$4:$W$4,0))))</f>
        <v>0</v>
      </c>
      <c r="P296">
        <f ca="1">IF($C296-P$1&lt;År1,0,O295*(1-VLOOKUP($A296,[1]Hugst!$R$5:$W$9,MATCH(ROUNDUP((P$1)/10,0)*10,[1]Hugst!$R$4:$W$4,0))))</f>
        <v>0</v>
      </c>
      <c r="Q296">
        <f ca="1">IF($C296-Q$1&lt;År1,0,P295*(1-VLOOKUP($A296,[1]Hugst!$R$5:$W$9,MATCH(ROUNDUP((Q$1)/10,0)*10,[1]Hugst!$R$4:$W$4,0))))</f>
        <v>0</v>
      </c>
      <c r="R296">
        <f ca="1">IF($C296-R$1&lt;År1,0,Q295*(1-VLOOKUP($A296,[1]Hugst!$R$5:$W$9,MATCH(ROUNDUP((R$1)/10,0)*10,[1]Hugst!$R$4:$W$4,0))))</f>
        <v>0</v>
      </c>
      <c r="S296">
        <f ca="1">IF($C296-S$1&lt;År1,0,R295*(1-VLOOKUP($A296,[1]Hugst!$R$5:$W$9,MATCH(ROUNDUP((S$1)/10,0)*10,[1]Hugst!$R$4:$W$4,0))))</f>
        <v>0</v>
      </c>
      <c r="T296">
        <f ca="1">IF($C296-T$1&lt;År1,0,S295*(1-VLOOKUP($A296,[1]Hugst!$R$5:$W$9,MATCH(ROUNDUP((T$1)/10,0)*10,[1]Hugst!$R$4:$W$4,0))))</f>
        <v>0</v>
      </c>
      <c r="U296">
        <f ca="1">IF($C296-U$1&lt;År1,0,T295*(1-VLOOKUP($A296,[1]Hugst!$R$5:$W$9,MATCH(ROUNDUP((U$1)/10,0)*10,[1]Hugst!$R$4:$W$4,0))))</f>
        <v>0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25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>
        <f ca="1">IF($C297-G$1&lt;År1,0,F296*(1-VLOOKUP($A297,[1]Hugst!$R$5:$W$9,MATCH(ROUNDUP((G$1)/10,0)*10,[1]Hugst!$R$4:$W$4,0))))</f>
        <v>0</v>
      </c>
      <c r="H297">
        <f ca="1">IF($C297-H$1&lt;År1,0,G296*(1-VLOOKUP($A297,[1]Hugst!$R$5:$W$9,MATCH(ROUNDUP((H$1)/10,0)*10,[1]Hugst!$R$4:$W$4,0))))</f>
        <v>0</v>
      </c>
      <c r="I297">
        <f ca="1">IF($C297-I$1&lt;År1,0,H296*(1-VLOOKUP($A297,[1]Hugst!$R$5:$W$9,MATCH(ROUNDUP((I$1)/10,0)*10,[1]Hugst!$R$4:$W$4,0))))</f>
        <v>0</v>
      </c>
      <c r="J297">
        <f ca="1">IF($C297-J$1&lt;År1,0,I296*(1-VLOOKUP($A297,[1]Hugst!$R$5:$W$9,MATCH(ROUNDUP((J$1)/10,0)*10,[1]Hugst!$R$4:$W$4,0))))</f>
        <v>0</v>
      </c>
      <c r="K297">
        <f ca="1">IF($C297-K$1&lt;År1,0,J296*(1-VLOOKUP($A297,[1]Hugst!$R$5:$W$9,MATCH(ROUNDUP((K$1)/10,0)*10,[1]Hugst!$R$4:$W$4,0))))</f>
        <v>0</v>
      </c>
      <c r="L297">
        <f ca="1">IF($C297-L$1&lt;År1,0,K296*(1-VLOOKUP($A297,[1]Hugst!$R$5:$W$9,MATCH(ROUNDUP((L$1)/10,0)*10,[1]Hugst!$R$4:$W$4,0))))</f>
        <v>0</v>
      </c>
      <c r="M297">
        <f ca="1">IF($C297-M$1&lt;År1,0,L296*(1-VLOOKUP($A297,[1]Hugst!$R$5:$W$9,MATCH(ROUNDUP((M$1)/10,0)*10,[1]Hugst!$R$4:$W$4,0))))</f>
        <v>0</v>
      </c>
      <c r="N297">
        <f ca="1">IF($C297-N$1&lt;År1,0,M296*(1-VLOOKUP($A297,[1]Hugst!$R$5:$W$9,MATCH(ROUNDUP((N$1)/10,0)*10,[1]Hugst!$R$4:$W$4,0))))</f>
        <v>0</v>
      </c>
      <c r="O297">
        <f ca="1">IF($C297-O$1&lt;År1,0,N296*(1-VLOOKUP($A297,[1]Hugst!$R$5:$W$9,MATCH(ROUNDUP((O$1)/10,0)*10,[1]Hugst!$R$4:$W$4,0))))</f>
        <v>0</v>
      </c>
      <c r="P297">
        <f ca="1">IF($C297-P$1&lt;År1,0,O296*(1-VLOOKUP($A297,[1]Hugst!$R$5:$W$9,MATCH(ROUNDUP((P$1)/10,0)*10,[1]Hugst!$R$4:$W$4,0))))</f>
        <v>0</v>
      </c>
      <c r="Q297">
        <f ca="1">IF($C297-Q$1&lt;År1,0,P296*(1-VLOOKUP($A297,[1]Hugst!$R$5:$W$9,MATCH(ROUNDUP((Q$1)/10,0)*10,[1]Hugst!$R$4:$W$4,0))))</f>
        <v>0</v>
      </c>
      <c r="R297">
        <f ca="1">IF($C297-R$1&lt;År1,0,Q296*(1-VLOOKUP($A297,[1]Hugst!$R$5:$W$9,MATCH(ROUNDUP((R$1)/10,0)*10,[1]Hugst!$R$4:$W$4,0))))</f>
        <v>0</v>
      </c>
      <c r="S297">
        <f ca="1">IF($C297-S$1&lt;År1,0,R296*(1-VLOOKUP($A297,[1]Hugst!$R$5:$W$9,MATCH(ROUNDUP((S$1)/10,0)*10,[1]Hugst!$R$4:$W$4,0))))</f>
        <v>0</v>
      </c>
      <c r="T297">
        <f ca="1">IF($C297-T$1&lt;År1,0,S296*(1-VLOOKUP($A297,[1]Hugst!$R$5:$W$9,MATCH(ROUNDUP((T$1)/10,0)*10,[1]Hugst!$R$4:$W$4,0))))</f>
        <v>0</v>
      </c>
      <c r="U297">
        <f ca="1">IF($C297-U$1&lt;År1,0,T296*(1-VLOOKUP($A297,[1]Hugst!$R$5:$W$9,MATCH(ROUNDUP((U$1)/10,0)*10,[1]Hugst!$R$4:$W$4,0))))</f>
        <v>0</v>
      </c>
      <c r="V297">
        <f ca="1">IF($C297-V$1&lt;År1,0,U296*(1-VLOOKUP($A297,[1]Hugst!$R$5:$W$9,MATCH(ROUNDUP((V$1)/10,0)*10,[1]Hugst!$R$4:$W$4,0))))</f>
        <v>0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25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>
        <f ca="1">IF($C298-G$1&lt;År1,0,F297*(1-VLOOKUP($A298,[1]Hugst!$R$5:$W$9,MATCH(ROUNDUP((G$1)/10,0)*10,[1]Hugst!$R$4:$W$4,0))))</f>
        <v>0</v>
      </c>
      <c r="H298">
        <f ca="1">IF($C298-H$1&lt;År1,0,G297*(1-VLOOKUP($A298,[1]Hugst!$R$5:$W$9,MATCH(ROUNDUP((H$1)/10,0)*10,[1]Hugst!$R$4:$W$4,0))))</f>
        <v>0</v>
      </c>
      <c r="I298">
        <f ca="1">IF($C298-I$1&lt;År1,0,H297*(1-VLOOKUP($A298,[1]Hugst!$R$5:$W$9,MATCH(ROUNDUP((I$1)/10,0)*10,[1]Hugst!$R$4:$W$4,0))))</f>
        <v>0</v>
      </c>
      <c r="J298">
        <f ca="1">IF($C298-J$1&lt;År1,0,I297*(1-VLOOKUP($A298,[1]Hugst!$R$5:$W$9,MATCH(ROUNDUP((J$1)/10,0)*10,[1]Hugst!$R$4:$W$4,0))))</f>
        <v>0</v>
      </c>
      <c r="K298">
        <f ca="1">IF($C298-K$1&lt;År1,0,J297*(1-VLOOKUP($A298,[1]Hugst!$R$5:$W$9,MATCH(ROUNDUP((K$1)/10,0)*10,[1]Hugst!$R$4:$W$4,0))))</f>
        <v>0</v>
      </c>
      <c r="L298">
        <f ca="1">IF($C298-L$1&lt;År1,0,K297*(1-VLOOKUP($A298,[1]Hugst!$R$5:$W$9,MATCH(ROUNDUP((L$1)/10,0)*10,[1]Hugst!$R$4:$W$4,0))))</f>
        <v>0</v>
      </c>
      <c r="M298">
        <f ca="1">IF($C298-M$1&lt;År1,0,L297*(1-VLOOKUP($A298,[1]Hugst!$R$5:$W$9,MATCH(ROUNDUP((M$1)/10,0)*10,[1]Hugst!$R$4:$W$4,0))))</f>
        <v>0</v>
      </c>
      <c r="N298">
        <f ca="1">IF($C298-N$1&lt;År1,0,M297*(1-VLOOKUP($A298,[1]Hugst!$R$5:$W$9,MATCH(ROUNDUP((N$1)/10,0)*10,[1]Hugst!$R$4:$W$4,0))))</f>
        <v>0</v>
      </c>
      <c r="O298">
        <f ca="1">IF($C298-O$1&lt;År1,0,N297*(1-VLOOKUP($A298,[1]Hugst!$R$5:$W$9,MATCH(ROUNDUP((O$1)/10,0)*10,[1]Hugst!$R$4:$W$4,0))))</f>
        <v>0</v>
      </c>
      <c r="P298">
        <f ca="1">IF($C298-P$1&lt;År1,0,O297*(1-VLOOKUP($A298,[1]Hugst!$R$5:$W$9,MATCH(ROUNDUP((P$1)/10,0)*10,[1]Hugst!$R$4:$W$4,0))))</f>
        <v>0</v>
      </c>
      <c r="Q298">
        <f ca="1">IF($C298-Q$1&lt;År1,0,P297*(1-VLOOKUP($A298,[1]Hugst!$R$5:$W$9,MATCH(ROUNDUP((Q$1)/10,0)*10,[1]Hugst!$R$4:$W$4,0))))</f>
        <v>0</v>
      </c>
      <c r="R298">
        <f ca="1">IF($C298-R$1&lt;År1,0,Q297*(1-VLOOKUP($A298,[1]Hugst!$R$5:$W$9,MATCH(ROUNDUP((R$1)/10,0)*10,[1]Hugst!$R$4:$W$4,0))))</f>
        <v>0</v>
      </c>
      <c r="S298">
        <f ca="1">IF($C298-S$1&lt;År1,0,R297*(1-VLOOKUP($A298,[1]Hugst!$R$5:$W$9,MATCH(ROUNDUP((S$1)/10,0)*10,[1]Hugst!$R$4:$W$4,0))))</f>
        <v>0</v>
      </c>
      <c r="T298">
        <f ca="1">IF($C298-T$1&lt;År1,0,S297*(1-VLOOKUP($A298,[1]Hugst!$R$5:$W$9,MATCH(ROUNDUP((T$1)/10,0)*10,[1]Hugst!$R$4:$W$4,0))))</f>
        <v>0</v>
      </c>
      <c r="U298">
        <f ca="1">IF($C298-U$1&lt;År1,0,T297*(1-VLOOKUP($A298,[1]Hugst!$R$5:$W$9,MATCH(ROUNDUP((U$1)/10,0)*10,[1]Hugst!$R$4:$W$4,0))))</f>
        <v>0</v>
      </c>
      <c r="V298">
        <f ca="1">IF($C298-V$1&lt;År1,0,U297*(1-VLOOKUP($A298,[1]Hugst!$R$5:$W$9,MATCH(ROUNDUP((V$1)/10,0)*10,[1]Hugst!$R$4:$W$4,0))))</f>
        <v>0</v>
      </c>
      <c r="W298">
        <f ca="1">IF($C298-W$1&lt;År1,0,V297*(1-VLOOKUP($A298,[1]Hugst!$R$5:$W$9,MATCH(ROUNDUP((W$1)/10,0)*10,[1]Hugst!$R$4:$W$4,0))))</f>
        <v>0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25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>
        <f ca="1">IF($C299-G$1&lt;År1,0,F298*(1-VLOOKUP($A299,[1]Hugst!$R$5:$W$9,MATCH(ROUNDUP((G$1)/10,0)*10,[1]Hugst!$R$4:$W$4,0))))</f>
        <v>0</v>
      </c>
      <c r="H299">
        <f ca="1">IF($C299-H$1&lt;År1,0,G298*(1-VLOOKUP($A299,[1]Hugst!$R$5:$W$9,MATCH(ROUNDUP((H$1)/10,0)*10,[1]Hugst!$R$4:$W$4,0))))</f>
        <v>0</v>
      </c>
      <c r="I299">
        <f ca="1">IF($C299-I$1&lt;År1,0,H298*(1-VLOOKUP($A299,[1]Hugst!$R$5:$W$9,MATCH(ROUNDUP((I$1)/10,0)*10,[1]Hugst!$R$4:$W$4,0))))</f>
        <v>0</v>
      </c>
      <c r="J299">
        <f ca="1">IF($C299-J$1&lt;År1,0,I298*(1-VLOOKUP($A299,[1]Hugst!$R$5:$W$9,MATCH(ROUNDUP((J$1)/10,0)*10,[1]Hugst!$R$4:$W$4,0))))</f>
        <v>0</v>
      </c>
      <c r="K299">
        <f ca="1">IF($C299-K$1&lt;År1,0,J298*(1-VLOOKUP($A299,[1]Hugst!$R$5:$W$9,MATCH(ROUNDUP((K$1)/10,0)*10,[1]Hugst!$R$4:$W$4,0))))</f>
        <v>0</v>
      </c>
      <c r="L299">
        <f ca="1">IF($C299-L$1&lt;År1,0,K298*(1-VLOOKUP($A299,[1]Hugst!$R$5:$W$9,MATCH(ROUNDUP((L$1)/10,0)*10,[1]Hugst!$R$4:$W$4,0))))</f>
        <v>0</v>
      </c>
      <c r="M299">
        <f ca="1">IF($C299-M$1&lt;År1,0,L298*(1-VLOOKUP($A299,[1]Hugst!$R$5:$W$9,MATCH(ROUNDUP((M$1)/10,0)*10,[1]Hugst!$R$4:$W$4,0))))</f>
        <v>0</v>
      </c>
      <c r="N299">
        <f ca="1">IF($C299-N$1&lt;År1,0,M298*(1-VLOOKUP($A299,[1]Hugst!$R$5:$W$9,MATCH(ROUNDUP((N$1)/10,0)*10,[1]Hugst!$R$4:$W$4,0))))</f>
        <v>0</v>
      </c>
      <c r="O299">
        <f ca="1">IF($C299-O$1&lt;År1,0,N298*(1-VLOOKUP($A299,[1]Hugst!$R$5:$W$9,MATCH(ROUNDUP((O$1)/10,0)*10,[1]Hugst!$R$4:$W$4,0))))</f>
        <v>0</v>
      </c>
      <c r="P299">
        <f ca="1">IF($C299-P$1&lt;År1,0,O298*(1-VLOOKUP($A299,[1]Hugst!$R$5:$W$9,MATCH(ROUNDUP((P$1)/10,0)*10,[1]Hugst!$R$4:$W$4,0))))</f>
        <v>0</v>
      </c>
      <c r="Q299">
        <f ca="1">IF($C299-Q$1&lt;År1,0,P298*(1-VLOOKUP($A299,[1]Hugst!$R$5:$W$9,MATCH(ROUNDUP((Q$1)/10,0)*10,[1]Hugst!$R$4:$W$4,0))))</f>
        <v>0</v>
      </c>
      <c r="R299">
        <f ca="1">IF($C299-R$1&lt;År1,0,Q298*(1-VLOOKUP($A299,[1]Hugst!$R$5:$W$9,MATCH(ROUNDUP((R$1)/10,0)*10,[1]Hugst!$R$4:$W$4,0))))</f>
        <v>0</v>
      </c>
      <c r="S299">
        <f ca="1">IF($C299-S$1&lt;År1,0,R298*(1-VLOOKUP($A299,[1]Hugst!$R$5:$W$9,MATCH(ROUNDUP((S$1)/10,0)*10,[1]Hugst!$R$4:$W$4,0))))</f>
        <v>0</v>
      </c>
      <c r="T299">
        <f ca="1">IF($C299-T$1&lt;År1,0,S298*(1-VLOOKUP($A299,[1]Hugst!$R$5:$W$9,MATCH(ROUNDUP((T$1)/10,0)*10,[1]Hugst!$R$4:$W$4,0))))</f>
        <v>0</v>
      </c>
      <c r="U299">
        <f ca="1">IF($C299-U$1&lt;År1,0,T298*(1-VLOOKUP($A299,[1]Hugst!$R$5:$W$9,MATCH(ROUNDUP((U$1)/10,0)*10,[1]Hugst!$R$4:$W$4,0))))</f>
        <v>0</v>
      </c>
      <c r="V299">
        <f ca="1">IF($C299-V$1&lt;År1,0,U298*(1-VLOOKUP($A299,[1]Hugst!$R$5:$W$9,MATCH(ROUNDUP((V$1)/10,0)*10,[1]Hugst!$R$4:$W$4,0))))</f>
        <v>0</v>
      </c>
      <c r="W299">
        <f ca="1">IF($C299-W$1&lt;År1,0,V298*(1-VLOOKUP($A299,[1]Hugst!$R$5:$W$9,MATCH(ROUNDUP((W$1)/10,0)*10,[1]Hugst!$R$4:$W$4,0))))</f>
        <v>0</v>
      </c>
      <c r="X299">
        <f ca="1">IF($C299-X$1&lt;År1,0,W298*(1-VLOOKUP($A299,[1]Hugst!$R$5:$W$9,MATCH(ROUNDUP((X$1)/10,0)*10,[1]Hugst!$R$4:$W$4,0))))</f>
        <v>0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25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>
        <f ca="1">IF($C300-G$1&lt;År1,0,F299*(1-VLOOKUP($A300,[1]Hugst!$R$5:$W$9,MATCH(ROUNDUP((G$1)/10,0)*10,[1]Hugst!$R$4:$W$4,0))))</f>
        <v>0</v>
      </c>
      <c r="H300">
        <f ca="1">IF($C300-H$1&lt;År1,0,G299*(1-VLOOKUP($A300,[1]Hugst!$R$5:$W$9,MATCH(ROUNDUP((H$1)/10,0)*10,[1]Hugst!$R$4:$W$4,0))))</f>
        <v>0</v>
      </c>
      <c r="I300">
        <f ca="1">IF($C300-I$1&lt;År1,0,H299*(1-VLOOKUP($A300,[1]Hugst!$R$5:$W$9,MATCH(ROUNDUP((I$1)/10,0)*10,[1]Hugst!$R$4:$W$4,0))))</f>
        <v>0</v>
      </c>
      <c r="J300">
        <f ca="1">IF($C300-J$1&lt;År1,0,I299*(1-VLOOKUP($A300,[1]Hugst!$R$5:$W$9,MATCH(ROUNDUP((J$1)/10,0)*10,[1]Hugst!$R$4:$W$4,0))))</f>
        <v>0</v>
      </c>
      <c r="K300">
        <f ca="1">IF($C300-K$1&lt;År1,0,J299*(1-VLOOKUP($A300,[1]Hugst!$R$5:$W$9,MATCH(ROUNDUP((K$1)/10,0)*10,[1]Hugst!$R$4:$W$4,0))))</f>
        <v>0</v>
      </c>
      <c r="L300">
        <f ca="1">IF($C300-L$1&lt;År1,0,K299*(1-VLOOKUP($A300,[1]Hugst!$R$5:$W$9,MATCH(ROUNDUP((L$1)/10,0)*10,[1]Hugst!$R$4:$W$4,0))))</f>
        <v>0</v>
      </c>
      <c r="M300">
        <f ca="1">IF($C300-M$1&lt;År1,0,L299*(1-VLOOKUP($A300,[1]Hugst!$R$5:$W$9,MATCH(ROUNDUP((M$1)/10,0)*10,[1]Hugst!$R$4:$W$4,0))))</f>
        <v>0</v>
      </c>
      <c r="N300">
        <f ca="1">IF($C300-N$1&lt;År1,0,M299*(1-VLOOKUP($A300,[1]Hugst!$R$5:$W$9,MATCH(ROUNDUP((N$1)/10,0)*10,[1]Hugst!$R$4:$W$4,0))))</f>
        <v>0</v>
      </c>
      <c r="O300">
        <f ca="1">IF($C300-O$1&lt;År1,0,N299*(1-VLOOKUP($A300,[1]Hugst!$R$5:$W$9,MATCH(ROUNDUP((O$1)/10,0)*10,[1]Hugst!$R$4:$W$4,0))))</f>
        <v>0</v>
      </c>
      <c r="P300">
        <f ca="1">IF($C300-P$1&lt;År1,0,O299*(1-VLOOKUP($A300,[1]Hugst!$R$5:$W$9,MATCH(ROUNDUP((P$1)/10,0)*10,[1]Hugst!$R$4:$W$4,0))))</f>
        <v>0</v>
      </c>
      <c r="Q300">
        <f ca="1">IF($C300-Q$1&lt;År1,0,P299*(1-VLOOKUP($A300,[1]Hugst!$R$5:$W$9,MATCH(ROUNDUP((Q$1)/10,0)*10,[1]Hugst!$R$4:$W$4,0))))</f>
        <v>0</v>
      </c>
      <c r="R300">
        <f ca="1">IF($C300-R$1&lt;År1,0,Q299*(1-VLOOKUP($A300,[1]Hugst!$R$5:$W$9,MATCH(ROUNDUP((R$1)/10,0)*10,[1]Hugst!$R$4:$W$4,0))))</f>
        <v>0</v>
      </c>
      <c r="S300">
        <f ca="1">IF($C300-S$1&lt;År1,0,R299*(1-VLOOKUP($A300,[1]Hugst!$R$5:$W$9,MATCH(ROUNDUP((S$1)/10,0)*10,[1]Hugst!$R$4:$W$4,0))))</f>
        <v>0</v>
      </c>
      <c r="T300">
        <f ca="1">IF($C300-T$1&lt;År1,0,S299*(1-VLOOKUP($A300,[1]Hugst!$R$5:$W$9,MATCH(ROUNDUP((T$1)/10,0)*10,[1]Hugst!$R$4:$W$4,0))))</f>
        <v>0</v>
      </c>
      <c r="U300">
        <f ca="1">IF($C300-U$1&lt;År1,0,T299*(1-VLOOKUP($A300,[1]Hugst!$R$5:$W$9,MATCH(ROUNDUP((U$1)/10,0)*10,[1]Hugst!$R$4:$W$4,0))))</f>
        <v>0</v>
      </c>
      <c r="V300">
        <f ca="1">IF($C300-V$1&lt;År1,0,U299*(1-VLOOKUP($A300,[1]Hugst!$R$5:$W$9,MATCH(ROUNDUP((V$1)/10,0)*10,[1]Hugst!$R$4:$W$4,0))))</f>
        <v>0</v>
      </c>
      <c r="W300">
        <f ca="1">IF($C300-W$1&lt;År1,0,V299*(1-VLOOKUP($A300,[1]Hugst!$R$5:$W$9,MATCH(ROUNDUP((W$1)/10,0)*10,[1]Hugst!$R$4:$W$4,0))))</f>
        <v>0</v>
      </c>
      <c r="X300">
        <f ca="1">IF($C300-X$1&lt;År1,0,W299*(1-VLOOKUP($A300,[1]Hugst!$R$5:$W$9,MATCH(ROUNDUP((X$1)/10,0)*10,[1]Hugst!$R$4:$W$4,0))))</f>
        <v>0</v>
      </c>
      <c r="Y300">
        <f ca="1">IF($C300-Y$1&lt;År1,0,X299*(1-VLOOKUP($A300,[1]Hugst!$R$5:$W$9,MATCH(ROUNDUP((Y$1)/10,0)*10,[1]Hugst!$R$4:$W$4,0))))</f>
        <v>0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25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>
        <f ca="1">IF($C301-G$1&lt;År1,0,F300*(1-VLOOKUP($A301,[1]Hugst!$R$5:$W$9,MATCH(ROUNDUP((G$1)/10,0)*10,[1]Hugst!$R$4:$W$4,0))))</f>
        <v>0</v>
      </c>
      <c r="H301">
        <f ca="1">IF($C301-H$1&lt;År1,0,G300*(1-VLOOKUP($A301,[1]Hugst!$R$5:$W$9,MATCH(ROUNDUP((H$1)/10,0)*10,[1]Hugst!$R$4:$W$4,0))))</f>
        <v>0</v>
      </c>
      <c r="I301">
        <f ca="1">IF($C301-I$1&lt;År1,0,H300*(1-VLOOKUP($A301,[1]Hugst!$R$5:$W$9,MATCH(ROUNDUP((I$1)/10,0)*10,[1]Hugst!$R$4:$W$4,0))))</f>
        <v>0</v>
      </c>
      <c r="J301">
        <f ca="1">IF($C301-J$1&lt;År1,0,I300*(1-VLOOKUP($A301,[1]Hugst!$R$5:$W$9,MATCH(ROUNDUP((J$1)/10,0)*10,[1]Hugst!$R$4:$W$4,0))))</f>
        <v>0</v>
      </c>
      <c r="K301">
        <f ca="1">IF($C301-K$1&lt;År1,0,J300*(1-VLOOKUP($A301,[1]Hugst!$R$5:$W$9,MATCH(ROUNDUP((K$1)/10,0)*10,[1]Hugst!$R$4:$W$4,0))))</f>
        <v>0</v>
      </c>
      <c r="L301">
        <f ca="1">IF($C301-L$1&lt;År1,0,K300*(1-VLOOKUP($A301,[1]Hugst!$R$5:$W$9,MATCH(ROUNDUP((L$1)/10,0)*10,[1]Hugst!$R$4:$W$4,0))))</f>
        <v>0</v>
      </c>
      <c r="M301">
        <f ca="1">IF($C301-M$1&lt;År1,0,L300*(1-VLOOKUP($A301,[1]Hugst!$R$5:$W$9,MATCH(ROUNDUP((M$1)/10,0)*10,[1]Hugst!$R$4:$W$4,0))))</f>
        <v>0</v>
      </c>
      <c r="N301">
        <f ca="1">IF($C301-N$1&lt;År1,0,M300*(1-VLOOKUP($A301,[1]Hugst!$R$5:$W$9,MATCH(ROUNDUP((N$1)/10,0)*10,[1]Hugst!$R$4:$W$4,0))))</f>
        <v>0</v>
      </c>
      <c r="O301">
        <f ca="1">IF($C301-O$1&lt;År1,0,N300*(1-VLOOKUP($A301,[1]Hugst!$R$5:$W$9,MATCH(ROUNDUP((O$1)/10,0)*10,[1]Hugst!$R$4:$W$4,0))))</f>
        <v>0</v>
      </c>
      <c r="P301">
        <f ca="1">IF($C301-P$1&lt;År1,0,O300*(1-VLOOKUP($A301,[1]Hugst!$R$5:$W$9,MATCH(ROUNDUP((P$1)/10,0)*10,[1]Hugst!$R$4:$W$4,0))))</f>
        <v>0</v>
      </c>
      <c r="Q301">
        <f ca="1">IF($C301-Q$1&lt;År1,0,P300*(1-VLOOKUP($A301,[1]Hugst!$R$5:$W$9,MATCH(ROUNDUP((Q$1)/10,0)*10,[1]Hugst!$R$4:$W$4,0))))</f>
        <v>0</v>
      </c>
      <c r="R301">
        <f ca="1">IF($C301-R$1&lt;År1,0,Q300*(1-VLOOKUP($A301,[1]Hugst!$R$5:$W$9,MATCH(ROUNDUP((R$1)/10,0)*10,[1]Hugst!$R$4:$W$4,0))))</f>
        <v>0</v>
      </c>
      <c r="S301">
        <f ca="1">IF($C301-S$1&lt;År1,0,R300*(1-VLOOKUP($A301,[1]Hugst!$R$5:$W$9,MATCH(ROUNDUP((S$1)/10,0)*10,[1]Hugst!$R$4:$W$4,0))))</f>
        <v>0</v>
      </c>
      <c r="T301">
        <f ca="1">IF($C301-T$1&lt;År1,0,S300*(1-VLOOKUP($A301,[1]Hugst!$R$5:$W$9,MATCH(ROUNDUP((T$1)/10,0)*10,[1]Hugst!$R$4:$W$4,0))))</f>
        <v>0</v>
      </c>
      <c r="U301">
        <f ca="1">IF($C301-U$1&lt;År1,0,T300*(1-VLOOKUP($A301,[1]Hugst!$R$5:$W$9,MATCH(ROUNDUP((U$1)/10,0)*10,[1]Hugst!$R$4:$W$4,0))))</f>
        <v>0</v>
      </c>
      <c r="V301">
        <f ca="1">IF($C301-V$1&lt;År1,0,U300*(1-VLOOKUP($A301,[1]Hugst!$R$5:$W$9,MATCH(ROUNDUP((V$1)/10,0)*10,[1]Hugst!$R$4:$W$4,0))))</f>
        <v>0</v>
      </c>
      <c r="W301">
        <f ca="1">IF($C301-W$1&lt;År1,0,V300*(1-VLOOKUP($A301,[1]Hugst!$R$5:$W$9,MATCH(ROUNDUP((W$1)/10,0)*10,[1]Hugst!$R$4:$W$4,0))))</f>
        <v>0</v>
      </c>
      <c r="X301">
        <f ca="1">IF($C301-X$1&lt;År1,0,W300*(1-VLOOKUP($A301,[1]Hugst!$R$5:$W$9,MATCH(ROUNDUP((X$1)/10,0)*10,[1]Hugst!$R$4:$W$4,0))))</f>
        <v>0</v>
      </c>
      <c r="Y301">
        <f ca="1">IF($C301-Y$1&lt;År1,0,X300*(1-VLOOKUP($A301,[1]Hugst!$R$5:$W$9,MATCH(ROUNDUP((Y$1)/10,0)*10,[1]Hugst!$R$4:$W$4,0))))</f>
        <v>0</v>
      </c>
      <c r="Z301">
        <f ca="1">IF($C301-Z$1&lt;År1,0,Y300*(1-VLOOKUP($A301,[1]Hugst!$R$5:$W$9,MATCH(ROUNDUP((Z$1)/10,0)*10,[1]Hugst!$R$4:$W$4,0))))</f>
        <v>0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25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>
        <f ca="1">IF($C302-G$1&lt;År1,0,F301*(1-VLOOKUP($A302,[1]Hugst!$R$5:$W$9,MATCH(ROUNDUP((G$1)/10,0)*10,[1]Hugst!$R$4:$W$4,0))))</f>
        <v>0</v>
      </c>
      <c r="H302">
        <f ca="1">IF($C302-H$1&lt;År1,0,G301*(1-VLOOKUP($A302,[1]Hugst!$R$5:$W$9,MATCH(ROUNDUP((H$1)/10,0)*10,[1]Hugst!$R$4:$W$4,0))))</f>
        <v>0</v>
      </c>
      <c r="I302">
        <f ca="1">IF($C302-I$1&lt;År1,0,H301*(1-VLOOKUP($A302,[1]Hugst!$R$5:$W$9,MATCH(ROUNDUP((I$1)/10,0)*10,[1]Hugst!$R$4:$W$4,0))))</f>
        <v>0</v>
      </c>
      <c r="J302">
        <f ca="1">IF($C302-J$1&lt;År1,0,I301*(1-VLOOKUP($A302,[1]Hugst!$R$5:$W$9,MATCH(ROUNDUP((J$1)/10,0)*10,[1]Hugst!$R$4:$W$4,0))))</f>
        <v>0</v>
      </c>
      <c r="K302">
        <f ca="1">IF($C302-K$1&lt;År1,0,J301*(1-VLOOKUP($A302,[1]Hugst!$R$5:$W$9,MATCH(ROUNDUP((K$1)/10,0)*10,[1]Hugst!$R$4:$W$4,0))))</f>
        <v>0</v>
      </c>
      <c r="L302">
        <f ca="1">IF($C302-L$1&lt;År1,0,K301*(1-VLOOKUP($A302,[1]Hugst!$R$5:$W$9,MATCH(ROUNDUP((L$1)/10,0)*10,[1]Hugst!$R$4:$W$4,0))))</f>
        <v>0</v>
      </c>
      <c r="M302">
        <f ca="1">IF($C302-M$1&lt;År1,0,L301*(1-VLOOKUP($A302,[1]Hugst!$R$5:$W$9,MATCH(ROUNDUP((M$1)/10,0)*10,[1]Hugst!$R$4:$W$4,0))))</f>
        <v>0</v>
      </c>
      <c r="N302">
        <f ca="1">IF($C302-N$1&lt;År1,0,M301*(1-VLOOKUP($A302,[1]Hugst!$R$5:$W$9,MATCH(ROUNDUP((N$1)/10,0)*10,[1]Hugst!$R$4:$W$4,0))))</f>
        <v>0</v>
      </c>
      <c r="O302">
        <f ca="1">IF($C302-O$1&lt;År1,0,N301*(1-VLOOKUP($A302,[1]Hugst!$R$5:$W$9,MATCH(ROUNDUP((O$1)/10,0)*10,[1]Hugst!$R$4:$W$4,0))))</f>
        <v>0</v>
      </c>
      <c r="P302">
        <f ca="1">IF($C302-P$1&lt;År1,0,O301*(1-VLOOKUP($A302,[1]Hugst!$R$5:$W$9,MATCH(ROUNDUP((P$1)/10,0)*10,[1]Hugst!$R$4:$W$4,0))))</f>
        <v>0</v>
      </c>
      <c r="Q302">
        <f ca="1">IF($C302-Q$1&lt;År1,0,P301*(1-VLOOKUP($A302,[1]Hugst!$R$5:$W$9,MATCH(ROUNDUP((Q$1)/10,0)*10,[1]Hugst!$R$4:$W$4,0))))</f>
        <v>0</v>
      </c>
      <c r="R302">
        <f ca="1">IF($C302-R$1&lt;År1,0,Q301*(1-VLOOKUP($A302,[1]Hugst!$R$5:$W$9,MATCH(ROUNDUP((R$1)/10,0)*10,[1]Hugst!$R$4:$W$4,0))))</f>
        <v>0</v>
      </c>
      <c r="S302">
        <f ca="1">IF($C302-S$1&lt;År1,0,R301*(1-VLOOKUP($A302,[1]Hugst!$R$5:$W$9,MATCH(ROUNDUP((S$1)/10,0)*10,[1]Hugst!$R$4:$W$4,0))))</f>
        <v>0</v>
      </c>
      <c r="T302">
        <f ca="1">IF($C302-T$1&lt;År1,0,S301*(1-VLOOKUP($A302,[1]Hugst!$R$5:$W$9,MATCH(ROUNDUP((T$1)/10,0)*10,[1]Hugst!$R$4:$W$4,0))))</f>
        <v>0</v>
      </c>
      <c r="U302">
        <f ca="1">IF($C302-U$1&lt;År1,0,T301*(1-VLOOKUP($A302,[1]Hugst!$R$5:$W$9,MATCH(ROUNDUP((U$1)/10,0)*10,[1]Hugst!$R$4:$W$4,0))))</f>
        <v>0</v>
      </c>
      <c r="V302">
        <f ca="1">IF($C302-V$1&lt;År1,0,U301*(1-VLOOKUP($A302,[1]Hugst!$R$5:$W$9,MATCH(ROUNDUP((V$1)/10,0)*10,[1]Hugst!$R$4:$W$4,0))))</f>
        <v>0</v>
      </c>
      <c r="W302">
        <f ca="1">IF($C302-W$1&lt;År1,0,V301*(1-VLOOKUP($A302,[1]Hugst!$R$5:$W$9,MATCH(ROUNDUP((W$1)/10,0)*10,[1]Hugst!$R$4:$W$4,0))))</f>
        <v>0</v>
      </c>
      <c r="X302">
        <f ca="1">IF($C302-X$1&lt;År1,0,W301*(1-VLOOKUP($A302,[1]Hugst!$R$5:$W$9,MATCH(ROUNDUP((X$1)/10,0)*10,[1]Hugst!$R$4:$W$4,0))))</f>
        <v>0</v>
      </c>
      <c r="Y302">
        <f ca="1">IF($C302-Y$1&lt;År1,0,X301*(1-VLOOKUP($A302,[1]Hugst!$R$5:$W$9,MATCH(ROUNDUP((Y$1)/10,0)*10,[1]Hugst!$R$4:$W$4,0))))</f>
        <v>0</v>
      </c>
      <c r="Z302">
        <f ca="1">IF($C302-Z$1&lt;År1,0,Y301*(1-VLOOKUP($A302,[1]Hugst!$R$5:$W$9,MATCH(ROUNDUP((Z$1)/10,0)*10,[1]Hugst!$R$4:$W$4,0))))</f>
        <v>0</v>
      </c>
      <c r="AA302">
        <f ca="1">IF($C302-AA$1&lt;År1,0,Z301*(1-VLOOKUP($A302,[1]Hugst!$R$5:$W$9,MATCH(ROUNDUP((AA$1)/10,0)*10,[1]Hugst!$R$4:$W$4,0))))</f>
        <v>0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25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>
        <f ca="1">IF($C303-G$1&lt;År1,0,F302*(1-VLOOKUP($A303,[1]Hugst!$R$5:$W$9,MATCH(ROUNDUP((G$1)/10,0)*10,[1]Hugst!$R$4:$W$4,0))))</f>
        <v>0</v>
      </c>
      <c r="H303">
        <f ca="1">IF($C303-H$1&lt;År1,0,G302*(1-VLOOKUP($A303,[1]Hugst!$R$5:$W$9,MATCH(ROUNDUP((H$1)/10,0)*10,[1]Hugst!$R$4:$W$4,0))))</f>
        <v>0</v>
      </c>
      <c r="I303">
        <f ca="1">IF($C303-I$1&lt;År1,0,H302*(1-VLOOKUP($A303,[1]Hugst!$R$5:$W$9,MATCH(ROUNDUP((I$1)/10,0)*10,[1]Hugst!$R$4:$W$4,0))))</f>
        <v>0</v>
      </c>
      <c r="J303">
        <f ca="1">IF($C303-J$1&lt;År1,0,I302*(1-VLOOKUP($A303,[1]Hugst!$R$5:$W$9,MATCH(ROUNDUP((J$1)/10,0)*10,[1]Hugst!$R$4:$W$4,0))))</f>
        <v>0</v>
      </c>
      <c r="K303">
        <f ca="1">IF($C303-K$1&lt;År1,0,J302*(1-VLOOKUP($A303,[1]Hugst!$R$5:$W$9,MATCH(ROUNDUP((K$1)/10,0)*10,[1]Hugst!$R$4:$W$4,0))))</f>
        <v>0</v>
      </c>
      <c r="L303">
        <f ca="1">IF($C303-L$1&lt;År1,0,K302*(1-VLOOKUP($A303,[1]Hugst!$R$5:$W$9,MATCH(ROUNDUP((L$1)/10,0)*10,[1]Hugst!$R$4:$W$4,0))))</f>
        <v>0</v>
      </c>
      <c r="M303">
        <f ca="1">IF($C303-M$1&lt;År1,0,L302*(1-VLOOKUP($A303,[1]Hugst!$R$5:$W$9,MATCH(ROUNDUP((M$1)/10,0)*10,[1]Hugst!$R$4:$W$4,0))))</f>
        <v>0</v>
      </c>
      <c r="N303">
        <f ca="1">IF($C303-N$1&lt;År1,0,M302*(1-VLOOKUP($A303,[1]Hugst!$R$5:$W$9,MATCH(ROUNDUP((N$1)/10,0)*10,[1]Hugst!$R$4:$W$4,0))))</f>
        <v>0</v>
      </c>
      <c r="O303">
        <f ca="1">IF($C303-O$1&lt;År1,0,N302*(1-VLOOKUP($A303,[1]Hugst!$R$5:$W$9,MATCH(ROUNDUP((O$1)/10,0)*10,[1]Hugst!$R$4:$W$4,0))))</f>
        <v>0</v>
      </c>
      <c r="P303">
        <f ca="1">IF($C303-P$1&lt;År1,0,O302*(1-VLOOKUP($A303,[1]Hugst!$R$5:$W$9,MATCH(ROUNDUP((P$1)/10,0)*10,[1]Hugst!$R$4:$W$4,0))))</f>
        <v>0</v>
      </c>
      <c r="Q303">
        <f ca="1">IF($C303-Q$1&lt;År1,0,P302*(1-VLOOKUP($A303,[1]Hugst!$R$5:$W$9,MATCH(ROUNDUP((Q$1)/10,0)*10,[1]Hugst!$R$4:$W$4,0))))</f>
        <v>0</v>
      </c>
      <c r="R303">
        <f ca="1">IF($C303-R$1&lt;År1,0,Q302*(1-VLOOKUP($A303,[1]Hugst!$R$5:$W$9,MATCH(ROUNDUP((R$1)/10,0)*10,[1]Hugst!$R$4:$W$4,0))))</f>
        <v>0</v>
      </c>
      <c r="S303">
        <f ca="1">IF($C303-S$1&lt;År1,0,R302*(1-VLOOKUP($A303,[1]Hugst!$R$5:$W$9,MATCH(ROUNDUP((S$1)/10,0)*10,[1]Hugst!$R$4:$W$4,0))))</f>
        <v>0</v>
      </c>
      <c r="T303">
        <f ca="1">IF($C303-T$1&lt;År1,0,S302*(1-VLOOKUP($A303,[1]Hugst!$R$5:$W$9,MATCH(ROUNDUP((T$1)/10,0)*10,[1]Hugst!$R$4:$W$4,0))))</f>
        <v>0</v>
      </c>
      <c r="U303">
        <f ca="1">IF($C303-U$1&lt;År1,0,T302*(1-VLOOKUP($A303,[1]Hugst!$R$5:$W$9,MATCH(ROUNDUP((U$1)/10,0)*10,[1]Hugst!$R$4:$W$4,0))))</f>
        <v>0</v>
      </c>
      <c r="V303">
        <f ca="1">IF($C303-V$1&lt;År1,0,U302*(1-VLOOKUP($A303,[1]Hugst!$R$5:$W$9,MATCH(ROUNDUP((V$1)/10,0)*10,[1]Hugst!$R$4:$W$4,0))))</f>
        <v>0</v>
      </c>
      <c r="W303">
        <f ca="1">IF($C303-W$1&lt;År1,0,V302*(1-VLOOKUP($A303,[1]Hugst!$R$5:$W$9,MATCH(ROUNDUP((W$1)/10,0)*10,[1]Hugst!$R$4:$W$4,0))))</f>
        <v>0</v>
      </c>
      <c r="X303">
        <f ca="1">IF($C303-X$1&lt;År1,0,W302*(1-VLOOKUP($A303,[1]Hugst!$R$5:$W$9,MATCH(ROUNDUP((X$1)/10,0)*10,[1]Hugst!$R$4:$W$4,0))))</f>
        <v>0</v>
      </c>
      <c r="Y303">
        <f ca="1">IF($C303-Y$1&lt;År1,0,X302*(1-VLOOKUP($A303,[1]Hugst!$R$5:$W$9,MATCH(ROUNDUP((Y$1)/10,0)*10,[1]Hugst!$R$4:$W$4,0))))</f>
        <v>0</v>
      </c>
      <c r="Z303">
        <f ca="1">IF($C303-Z$1&lt;År1,0,Y302*(1-VLOOKUP($A303,[1]Hugst!$R$5:$W$9,MATCH(ROUNDUP((Z$1)/10,0)*10,[1]Hugst!$R$4:$W$4,0))))</f>
        <v>0</v>
      </c>
      <c r="AA303">
        <f ca="1">IF($C303-AA$1&lt;År1,0,Z302*(1-VLOOKUP($A303,[1]Hugst!$R$5:$W$9,MATCH(ROUNDUP((AA$1)/10,0)*10,[1]Hugst!$R$4:$W$4,0))))</f>
        <v>0</v>
      </c>
      <c r="AB303">
        <f ca="1">IF($C303-AB$1&lt;År1,0,AA302*(1-VLOOKUP($A303,[1]Hugst!$R$5:$W$9,MATCH(ROUNDUP((AB$1)/10,0)*10,[1]Hugst!$R$4:$W$4,0))))</f>
        <v>0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25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>
        <f ca="1">IF($C304-G$1&lt;År1,0,F303*(1-VLOOKUP($A304,[1]Hugst!$R$5:$W$9,MATCH(ROUNDUP((G$1)/10,0)*10,[1]Hugst!$R$4:$W$4,0))))</f>
        <v>0</v>
      </c>
      <c r="H304">
        <f ca="1">IF($C304-H$1&lt;År1,0,G303*(1-VLOOKUP($A304,[1]Hugst!$R$5:$W$9,MATCH(ROUNDUP((H$1)/10,0)*10,[1]Hugst!$R$4:$W$4,0))))</f>
        <v>0</v>
      </c>
      <c r="I304">
        <f ca="1">IF($C304-I$1&lt;År1,0,H303*(1-VLOOKUP($A304,[1]Hugst!$R$5:$W$9,MATCH(ROUNDUP((I$1)/10,0)*10,[1]Hugst!$R$4:$W$4,0))))</f>
        <v>0</v>
      </c>
      <c r="J304">
        <f ca="1">IF($C304-J$1&lt;År1,0,I303*(1-VLOOKUP($A304,[1]Hugst!$R$5:$W$9,MATCH(ROUNDUP((J$1)/10,0)*10,[1]Hugst!$R$4:$W$4,0))))</f>
        <v>0</v>
      </c>
      <c r="K304">
        <f ca="1">IF($C304-K$1&lt;År1,0,J303*(1-VLOOKUP($A304,[1]Hugst!$R$5:$W$9,MATCH(ROUNDUP((K$1)/10,0)*10,[1]Hugst!$R$4:$W$4,0))))</f>
        <v>0</v>
      </c>
      <c r="L304">
        <f ca="1">IF($C304-L$1&lt;År1,0,K303*(1-VLOOKUP($A304,[1]Hugst!$R$5:$W$9,MATCH(ROUNDUP((L$1)/10,0)*10,[1]Hugst!$R$4:$W$4,0))))</f>
        <v>0</v>
      </c>
      <c r="M304">
        <f ca="1">IF($C304-M$1&lt;År1,0,L303*(1-VLOOKUP($A304,[1]Hugst!$R$5:$W$9,MATCH(ROUNDUP((M$1)/10,0)*10,[1]Hugst!$R$4:$W$4,0))))</f>
        <v>0</v>
      </c>
      <c r="N304">
        <f ca="1">IF($C304-N$1&lt;År1,0,M303*(1-VLOOKUP($A304,[1]Hugst!$R$5:$W$9,MATCH(ROUNDUP((N$1)/10,0)*10,[1]Hugst!$R$4:$W$4,0))))</f>
        <v>0</v>
      </c>
      <c r="O304">
        <f ca="1">IF($C304-O$1&lt;År1,0,N303*(1-VLOOKUP($A304,[1]Hugst!$R$5:$W$9,MATCH(ROUNDUP((O$1)/10,0)*10,[1]Hugst!$R$4:$W$4,0))))</f>
        <v>0</v>
      </c>
      <c r="P304">
        <f ca="1">IF($C304-P$1&lt;År1,0,O303*(1-VLOOKUP($A304,[1]Hugst!$R$5:$W$9,MATCH(ROUNDUP((P$1)/10,0)*10,[1]Hugst!$R$4:$W$4,0))))</f>
        <v>0</v>
      </c>
      <c r="Q304">
        <f ca="1">IF($C304-Q$1&lt;År1,0,P303*(1-VLOOKUP($A304,[1]Hugst!$R$5:$W$9,MATCH(ROUNDUP((Q$1)/10,0)*10,[1]Hugst!$R$4:$W$4,0))))</f>
        <v>0</v>
      </c>
      <c r="R304">
        <f ca="1">IF($C304-R$1&lt;År1,0,Q303*(1-VLOOKUP($A304,[1]Hugst!$R$5:$W$9,MATCH(ROUNDUP((R$1)/10,0)*10,[1]Hugst!$R$4:$W$4,0))))</f>
        <v>0</v>
      </c>
      <c r="S304">
        <f ca="1">IF($C304-S$1&lt;År1,0,R303*(1-VLOOKUP($A304,[1]Hugst!$R$5:$W$9,MATCH(ROUNDUP((S$1)/10,0)*10,[1]Hugst!$R$4:$W$4,0))))</f>
        <v>0</v>
      </c>
      <c r="T304">
        <f ca="1">IF($C304-T$1&lt;År1,0,S303*(1-VLOOKUP($A304,[1]Hugst!$R$5:$W$9,MATCH(ROUNDUP((T$1)/10,0)*10,[1]Hugst!$R$4:$W$4,0))))</f>
        <v>0</v>
      </c>
      <c r="U304">
        <f ca="1">IF($C304-U$1&lt;År1,0,T303*(1-VLOOKUP($A304,[1]Hugst!$R$5:$W$9,MATCH(ROUNDUP((U$1)/10,0)*10,[1]Hugst!$R$4:$W$4,0))))</f>
        <v>0</v>
      </c>
      <c r="V304">
        <f ca="1">IF($C304-V$1&lt;År1,0,U303*(1-VLOOKUP($A304,[1]Hugst!$R$5:$W$9,MATCH(ROUNDUP((V$1)/10,0)*10,[1]Hugst!$R$4:$W$4,0))))</f>
        <v>0</v>
      </c>
      <c r="W304">
        <f ca="1">IF($C304-W$1&lt;År1,0,V303*(1-VLOOKUP($A304,[1]Hugst!$R$5:$W$9,MATCH(ROUNDUP((W$1)/10,0)*10,[1]Hugst!$R$4:$W$4,0))))</f>
        <v>0</v>
      </c>
      <c r="X304">
        <f ca="1">IF($C304-X$1&lt;År1,0,W303*(1-VLOOKUP($A304,[1]Hugst!$R$5:$W$9,MATCH(ROUNDUP((X$1)/10,0)*10,[1]Hugst!$R$4:$W$4,0))))</f>
        <v>0</v>
      </c>
      <c r="Y304">
        <f ca="1">IF($C304-Y$1&lt;År1,0,X303*(1-VLOOKUP($A304,[1]Hugst!$R$5:$W$9,MATCH(ROUNDUP((Y$1)/10,0)*10,[1]Hugst!$R$4:$W$4,0))))</f>
        <v>0</v>
      </c>
      <c r="Z304">
        <f ca="1">IF($C304-Z$1&lt;År1,0,Y303*(1-VLOOKUP($A304,[1]Hugst!$R$5:$W$9,MATCH(ROUNDUP((Z$1)/10,0)*10,[1]Hugst!$R$4:$W$4,0))))</f>
        <v>0</v>
      </c>
      <c r="AA304">
        <f ca="1">IF($C304-AA$1&lt;År1,0,Z303*(1-VLOOKUP($A304,[1]Hugst!$R$5:$W$9,MATCH(ROUNDUP((AA$1)/10,0)*10,[1]Hugst!$R$4:$W$4,0))))</f>
        <v>0</v>
      </c>
      <c r="AB304">
        <f ca="1">IF($C304-AB$1&lt;År1,0,AA303*(1-VLOOKUP($A304,[1]Hugst!$R$5:$W$9,MATCH(ROUNDUP((AB$1)/10,0)*10,[1]Hugst!$R$4:$W$4,0))))</f>
        <v>0</v>
      </c>
      <c r="AC304">
        <f ca="1">IF($C304-AC$1&lt;År1,0,AB303*(1-VLOOKUP($A304,[1]Hugst!$R$5:$W$9,MATCH(ROUNDUP((AC$1)/10,0)*10,[1]Hugst!$R$4:$W$4,0))))</f>
        <v>0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25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>
        <f ca="1">IF($C305-G$1&lt;År1,0,F304*(1-VLOOKUP($A305,[1]Hugst!$R$5:$W$9,MATCH(ROUNDUP((G$1)/10,0)*10,[1]Hugst!$R$4:$W$4,0))))</f>
        <v>0</v>
      </c>
      <c r="H305">
        <f ca="1">IF($C305-H$1&lt;År1,0,G304*(1-VLOOKUP($A305,[1]Hugst!$R$5:$W$9,MATCH(ROUNDUP((H$1)/10,0)*10,[1]Hugst!$R$4:$W$4,0))))</f>
        <v>0</v>
      </c>
      <c r="I305">
        <f ca="1">IF($C305-I$1&lt;År1,0,H304*(1-VLOOKUP($A305,[1]Hugst!$R$5:$W$9,MATCH(ROUNDUP((I$1)/10,0)*10,[1]Hugst!$R$4:$W$4,0))))</f>
        <v>0</v>
      </c>
      <c r="J305">
        <f ca="1">IF($C305-J$1&lt;År1,0,I304*(1-VLOOKUP($A305,[1]Hugst!$R$5:$W$9,MATCH(ROUNDUP((J$1)/10,0)*10,[1]Hugst!$R$4:$W$4,0))))</f>
        <v>0</v>
      </c>
      <c r="K305">
        <f ca="1">IF($C305-K$1&lt;År1,0,J304*(1-VLOOKUP($A305,[1]Hugst!$R$5:$W$9,MATCH(ROUNDUP((K$1)/10,0)*10,[1]Hugst!$R$4:$W$4,0))))</f>
        <v>0</v>
      </c>
      <c r="L305">
        <f ca="1">IF($C305-L$1&lt;År1,0,K304*(1-VLOOKUP($A305,[1]Hugst!$R$5:$W$9,MATCH(ROUNDUP((L$1)/10,0)*10,[1]Hugst!$R$4:$W$4,0))))</f>
        <v>0</v>
      </c>
      <c r="M305">
        <f ca="1">IF($C305-M$1&lt;År1,0,L304*(1-VLOOKUP($A305,[1]Hugst!$R$5:$W$9,MATCH(ROUNDUP((M$1)/10,0)*10,[1]Hugst!$R$4:$W$4,0))))</f>
        <v>0</v>
      </c>
      <c r="N305">
        <f ca="1">IF($C305-N$1&lt;År1,0,M304*(1-VLOOKUP($A305,[1]Hugst!$R$5:$W$9,MATCH(ROUNDUP((N$1)/10,0)*10,[1]Hugst!$R$4:$W$4,0))))</f>
        <v>0</v>
      </c>
      <c r="O305">
        <f ca="1">IF($C305-O$1&lt;År1,0,N304*(1-VLOOKUP($A305,[1]Hugst!$R$5:$W$9,MATCH(ROUNDUP((O$1)/10,0)*10,[1]Hugst!$R$4:$W$4,0))))</f>
        <v>0</v>
      </c>
      <c r="P305">
        <f ca="1">IF($C305-P$1&lt;År1,0,O304*(1-VLOOKUP($A305,[1]Hugst!$R$5:$W$9,MATCH(ROUNDUP((P$1)/10,0)*10,[1]Hugst!$R$4:$W$4,0))))</f>
        <v>0</v>
      </c>
      <c r="Q305">
        <f ca="1">IF($C305-Q$1&lt;År1,0,P304*(1-VLOOKUP($A305,[1]Hugst!$R$5:$W$9,MATCH(ROUNDUP((Q$1)/10,0)*10,[1]Hugst!$R$4:$W$4,0))))</f>
        <v>0</v>
      </c>
      <c r="R305">
        <f ca="1">IF($C305-R$1&lt;År1,0,Q304*(1-VLOOKUP($A305,[1]Hugst!$R$5:$W$9,MATCH(ROUNDUP((R$1)/10,0)*10,[1]Hugst!$R$4:$W$4,0))))</f>
        <v>0</v>
      </c>
      <c r="S305">
        <f ca="1">IF($C305-S$1&lt;År1,0,R304*(1-VLOOKUP($A305,[1]Hugst!$R$5:$W$9,MATCH(ROUNDUP((S$1)/10,0)*10,[1]Hugst!$R$4:$W$4,0))))</f>
        <v>0</v>
      </c>
      <c r="T305">
        <f ca="1">IF($C305-T$1&lt;År1,0,S304*(1-VLOOKUP($A305,[1]Hugst!$R$5:$W$9,MATCH(ROUNDUP((T$1)/10,0)*10,[1]Hugst!$R$4:$W$4,0))))</f>
        <v>0</v>
      </c>
      <c r="U305">
        <f ca="1">IF($C305-U$1&lt;År1,0,T304*(1-VLOOKUP($A305,[1]Hugst!$R$5:$W$9,MATCH(ROUNDUP((U$1)/10,0)*10,[1]Hugst!$R$4:$W$4,0))))</f>
        <v>0</v>
      </c>
      <c r="V305">
        <f ca="1">IF($C305-V$1&lt;År1,0,U304*(1-VLOOKUP($A305,[1]Hugst!$R$5:$W$9,MATCH(ROUNDUP((V$1)/10,0)*10,[1]Hugst!$R$4:$W$4,0))))</f>
        <v>0</v>
      </c>
      <c r="W305">
        <f ca="1">IF($C305-W$1&lt;År1,0,V304*(1-VLOOKUP($A305,[1]Hugst!$R$5:$W$9,MATCH(ROUNDUP((W$1)/10,0)*10,[1]Hugst!$R$4:$W$4,0))))</f>
        <v>0</v>
      </c>
      <c r="X305">
        <f ca="1">IF($C305-X$1&lt;År1,0,W304*(1-VLOOKUP($A305,[1]Hugst!$R$5:$W$9,MATCH(ROUNDUP((X$1)/10,0)*10,[1]Hugst!$R$4:$W$4,0))))</f>
        <v>0</v>
      </c>
      <c r="Y305">
        <f ca="1">IF($C305-Y$1&lt;År1,0,X304*(1-VLOOKUP($A305,[1]Hugst!$R$5:$W$9,MATCH(ROUNDUP((Y$1)/10,0)*10,[1]Hugst!$R$4:$W$4,0))))</f>
        <v>0</v>
      </c>
      <c r="Z305">
        <f ca="1">IF($C305-Z$1&lt;År1,0,Y304*(1-VLOOKUP($A305,[1]Hugst!$R$5:$W$9,MATCH(ROUNDUP((Z$1)/10,0)*10,[1]Hugst!$R$4:$W$4,0))))</f>
        <v>0</v>
      </c>
      <c r="AA305">
        <f ca="1">IF($C305-AA$1&lt;År1,0,Z304*(1-VLOOKUP($A305,[1]Hugst!$R$5:$W$9,MATCH(ROUNDUP((AA$1)/10,0)*10,[1]Hugst!$R$4:$W$4,0))))</f>
        <v>0</v>
      </c>
      <c r="AB305">
        <f ca="1">IF($C305-AB$1&lt;År1,0,AA304*(1-VLOOKUP($A305,[1]Hugst!$R$5:$W$9,MATCH(ROUNDUP((AB$1)/10,0)*10,[1]Hugst!$R$4:$W$4,0))))</f>
        <v>0</v>
      </c>
      <c r="AC305">
        <f ca="1">IF($C305-AC$1&lt;År1,0,AB304*(1-VLOOKUP($A305,[1]Hugst!$R$5:$W$9,MATCH(ROUNDUP((AC$1)/10,0)*10,[1]Hugst!$R$4:$W$4,0))))</f>
        <v>0</v>
      </c>
      <c r="AD305">
        <f ca="1">IF($C305-AD$1&lt;År1,0,AC304*(1-VLOOKUP($A305,[1]Hugst!$R$5:$W$9,MATCH(ROUNDUP((AD$1)/10,0)*10,[1]Hugst!$R$4:$W$4,0))))</f>
        <v>0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25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>
        <f ca="1">IF($C306-G$1&lt;År1,0,F305*(1-VLOOKUP($A306,[1]Hugst!$R$5:$W$9,MATCH(ROUNDUP((G$1)/10,0)*10,[1]Hugst!$R$4:$W$4,0))))</f>
        <v>0</v>
      </c>
      <c r="H306">
        <f ca="1">IF($C306-H$1&lt;År1,0,G305*(1-VLOOKUP($A306,[1]Hugst!$R$5:$W$9,MATCH(ROUNDUP((H$1)/10,0)*10,[1]Hugst!$R$4:$W$4,0))))</f>
        <v>0</v>
      </c>
      <c r="I306">
        <f ca="1">IF($C306-I$1&lt;År1,0,H305*(1-VLOOKUP($A306,[1]Hugst!$R$5:$W$9,MATCH(ROUNDUP((I$1)/10,0)*10,[1]Hugst!$R$4:$W$4,0))))</f>
        <v>0</v>
      </c>
      <c r="J306">
        <f ca="1">IF($C306-J$1&lt;År1,0,I305*(1-VLOOKUP($A306,[1]Hugst!$R$5:$W$9,MATCH(ROUNDUP((J$1)/10,0)*10,[1]Hugst!$R$4:$W$4,0))))</f>
        <v>0</v>
      </c>
      <c r="K306">
        <f ca="1">IF($C306-K$1&lt;År1,0,J305*(1-VLOOKUP($A306,[1]Hugst!$R$5:$W$9,MATCH(ROUNDUP((K$1)/10,0)*10,[1]Hugst!$R$4:$W$4,0))))</f>
        <v>0</v>
      </c>
      <c r="L306">
        <f ca="1">IF($C306-L$1&lt;År1,0,K305*(1-VLOOKUP($A306,[1]Hugst!$R$5:$W$9,MATCH(ROUNDUP((L$1)/10,0)*10,[1]Hugst!$R$4:$W$4,0))))</f>
        <v>0</v>
      </c>
      <c r="M306">
        <f ca="1">IF($C306-M$1&lt;År1,0,L305*(1-VLOOKUP($A306,[1]Hugst!$R$5:$W$9,MATCH(ROUNDUP((M$1)/10,0)*10,[1]Hugst!$R$4:$W$4,0))))</f>
        <v>0</v>
      </c>
      <c r="N306">
        <f ca="1">IF($C306-N$1&lt;År1,0,M305*(1-VLOOKUP($A306,[1]Hugst!$R$5:$W$9,MATCH(ROUNDUP((N$1)/10,0)*10,[1]Hugst!$R$4:$W$4,0))))</f>
        <v>0</v>
      </c>
      <c r="O306">
        <f ca="1">IF($C306-O$1&lt;År1,0,N305*(1-VLOOKUP($A306,[1]Hugst!$R$5:$W$9,MATCH(ROUNDUP((O$1)/10,0)*10,[1]Hugst!$R$4:$W$4,0))))</f>
        <v>0</v>
      </c>
      <c r="P306">
        <f ca="1">IF($C306-P$1&lt;År1,0,O305*(1-VLOOKUP($A306,[1]Hugst!$R$5:$W$9,MATCH(ROUNDUP((P$1)/10,0)*10,[1]Hugst!$R$4:$W$4,0))))</f>
        <v>0</v>
      </c>
      <c r="Q306">
        <f ca="1">IF($C306-Q$1&lt;År1,0,P305*(1-VLOOKUP($A306,[1]Hugst!$R$5:$W$9,MATCH(ROUNDUP((Q$1)/10,0)*10,[1]Hugst!$R$4:$W$4,0))))</f>
        <v>0</v>
      </c>
      <c r="R306">
        <f ca="1">IF($C306-R$1&lt;År1,0,Q305*(1-VLOOKUP($A306,[1]Hugst!$R$5:$W$9,MATCH(ROUNDUP((R$1)/10,0)*10,[1]Hugst!$R$4:$W$4,0))))</f>
        <v>0</v>
      </c>
      <c r="S306">
        <f ca="1">IF($C306-S$1&lt;År1,0,R305*(1-VLOOKUP($A306,[1]Hugst!$R$5:$W$9,MATCH(ROUNDUP((S$1)/10,0)*10,[1]Hugst!$R$4:$W$4,0))))</f>
        <v>0</v>
      </c>
      <c r="T306">
        <f ca="1">IF($C306-T$1&lt;År1,0,S305*(1-VLOOKUP($A306,[1]Hugst!$R$5:$W$9,MATCH(ROUNDUP((T$1)/10,0)*10,[1]Hugst!$R$4:$W$4,0))))</f>
        <v>0</v>
      </c>
      <c r="U306">
        <f ca="1">IF($C306-U$1&lt;År1,0,T305*(1-VLOOKUP($A306,[1]Hugst!$R$5:$W$9,MATCH(ROUNDUP((U$1)/10,0)*10,[1]Hugst!$R$4:$W$4,0))))</f>
        <v>0</v>
      </c>
      <c r="V306">
        <f ca="1">IF($C306-V$1&lt;År1,0,U305*(1-VLOOKUP($A306,[1]Hugst!$R$5:$W$9,MATCH(ROUNDUP((V$1)/10,0)*10,[1]Hugst!$R$4:$W$4,0))))</f>
        <v>0</v>
      </c>
      <c r="W306">
        <f ca="1">IF($C306-W$1&lt;År1,0,V305*(1-VLOOKUP($A306,[1]Hugst!$R$5:$W$9,MATCH(ROUNDUP((W$1)/10,0)*10,[1]Hugst!$R$4:$W$4,0))))</f>
        <v>0</v>
      </c>
      <c r="X306">
        <f ca="1">IF($C306-X$1&lt;År1,0,W305*(1-VLOOKUP($A306,[1]Hugst!$R$5:$W$9,MATCH(ROUNDUP((X$1)/10,0)*10,[1]Hugst!$R$4:$W$4,0))))</f>
        <v>0</v>
      </c>
      <c r="Y306">
        <f ca="1">IF($C306-Y$1&lt;År1,0,X305*(1-VLOOKUP($A306,[1]Hugst!$R$5:$W$9,MATCH(ROUNDUP((Y$1)/10,0)*10,[1]Hugst!$R$4:$W$4,0))))</f>
        <v>0</v>
      </c>
      <c r="Z306">
        <f ca="1">IF($C306-Z$1&lt;År1,0,Y305*(1-VLOOKUP($A306,[1]Hugst!$R$5:$W$9,MATCH(ROUNDUP((Z$1)/10,0)*10,[1]Hugst!$R$4:$W$4,0))))</f>
        <v>0</v>
      </c>
      <c r="AA306">
        <f ca="1">IF($C306-AA$1&lt;År1,0,Z305*(1-VLOOKUP($A306,[1]Hugst!$R$5:$W$9,MATCH(ROUNDUP((AA$1)/10,0)*10,[1]Hugst!$R$4:$W$4,0))))</f>
        <v>0</v>
      </c>
      <c r="AB306">
        <f ca="1">IF($C306-AB$1&lt;År1,0,AA305*(1-VLOOKUP($A306,[1]Hugst!$R$5:$W$9,MATCH(ROUNDUP((AB$1)/10,0)*10,[1]Hugst!$R$4:$W$4,0))))</f>
        <v>0</v>
      </c>
      <c r="AC306">
        <f ca="1">IF($C306-AC$1&lt;År1,0,AB305*(1-VLOOKUP($A306,[1]Hugst!$R$5:$W$9,MATCH(ROUNDUP((AC$1)/10,0)*10,[1]Hugst!$R$4:$W$4,0))))</f>
        <v>0</v>
      </c>
      <c r="AD306">
        <f ca="1">IF($C306-AD$1&lt;År1,0,AC305*(1-VLOOKUP($A306,[1]Hugst!$R$5:$W$9,MATCH(ROUNDUP((AD$1)/10,0)*10,[1]Hugst!$R$4:$W$4,0))))</f>
        <v>0</v>
      </c>
      <c r="AE306">
        <f ca="1">IF($C306-AE$1&lt;År1,0,AD305*(1-VLOOKUP($A306,[1]Hugst!$R$5:$W$9,MATCH(ROUNDUP((AE$1)/10,0)*10,[1]Hugst!$R$4:$W$4,0))))</f>
        <v>0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25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>
        <f ca="1">IF($C307-G$1&lt;År1,0,F306*(1-VLOOKUP($A307,[1]Hugst!$R$5:$W$9,MATCH(ROUNDUP((G$1)/10,0)*10,[1]Hugst!$R$4:$W$4,0))))</f>
        <v>0</v>
      </c>
      <c r="H307">
        <f ca="1">IF($C307-H$1&lt;År1,0,G306*(1-VLOOKUP($A307,[1]Hugst!$R$5:$W$9,MATCH(ROUNDUP((H$1)/10,0)*10,[1]Hugst!$R$4:$W$4,0))))</f>
        <v>0</v>
      </c>
      <c r="I307">
        <f ca="1">IF($C307-I$1&lt;År1,0,H306*(1-VLOOKUP($A307,[1]Hugst!$R$5:$W$9,MATCH(ROUNDUP((I$1)/10,0)*10,[1]Hugst!$R$4:$W$4,0))))</f>
        <v>0</v>
      </c>
      <c r="J307">
        <f ca="1">IF($C307-J$1&lt;År1,0,I306*(1-VLOOKUP($A307,[1]Hugst!$R$5:$W$9,MATCH(ROUNDUP((J$1)/10,0)*10,[1]Hugst!$R$4:$W$4,0))))</f>
        <v>0</v>
      </c>
      <c r="K307">
        <f ca="1">IF($C307-K$1&lt;År1,0,J306*(1-VLOOKUP($A307,[1]Hugst!$R$5:$W$9,MATCH(ROUNDUP((K$1)/10,0)*10,[1]Hugst!$R$4:$W$4,0))))</f>
        <v>0</v>
      </c>
      <c r="L307">
        <f ca="1">IF($C307-L$1&lt;År1,0,K306*(1-VLOOKUP($A307,[1]Hugst!$R$5:$W$9,MATCH(ROUNDUP((L$1)/10,0)*10,[1]Hugst!$R$4:$W$4,0))))</f>
        <v>0</v>
      </c>
      <c r="M307">
        <f ca="1">IF($C307-M$1&lt;År1,0,L306*(1-VLOOKUP($A307,[1]Hugst!$R$5:$W$9,MATCH(ROUNDUP((M$1)/10,0)*10,[1]Hugst!$R$4:$W$4,0))))</f>
        <v>0</v>
      </c>
      <c r="N307">
        <f ca="1">IF($C307-N$1&lt;År1,0,M306*(1-VLOOKUP($A307,[1]Hugst!$R$5:$W$9,MATCH(ROUNDUP((N$1)/10,0)*10,[1]Hugst!$R$4:$W$4,0))))</f>
        <v>0</v>
      </c>
      <c r="O307">
        <f ca="1">IF($C307-O$1&lt;År1,0,N306*(1-VLOOKUP($A307,[1]Hugst!$R$5:$W$9,MATCH(ROUNDUP((O$1)/10,0)*10,[1]Hugst!$R$4:$W$4,0))))</f>
        <v>0</v>
      </c>
      <c r="P307">
        <f ca="1">IF($C307-P$1&lt;År1,0,O306*(1-VLOOKUP($A307,[1]Hugst!$R$5:$W$9,MATCH(ROUNDUP((P$1)/10,0)*10,[1]Hugst!$R$4:$W$4,0))))</f>
        <v>0</v>
      </c>
      <c r="Q307">
        <f ca="1">IF($C307-Q$1&lt;År1,0,P306*(1-VLOOKUP($A307,[1]Hugst!$R$5:$W$9,MATCH(ROUNDUP((Q$1)/10,0)*10,[1]Hugst!$R$4:$W$4,0))))</f>
        <v>0</v>
      </c>
      <c r="R307">
        <f ca="1">IF($C307-R$1&lt;År1,0,Q306*(1-VLOOKUP($A307,[1]Hugst!$R$5:$W$9,MATCH(ROUNDUP((R$1)/10,0)*10,[1]Hugst!$R$4:$W$4,0))))</f>
        <v>0</v>
      </c>
      <c r="S307">
        <f ca="1">IF($C307-S$1&lt;År1,0,R306*(1-VLOOKUP($A307,[1]Hugst!$R$5:$W$9,MATCH(ROUNDUP((S$1)/10,0)*10,[1]Hugst!$R$4:$W$4,0))))</f>
        <v>0</v>
      </c>
      <c r="T307">
        <f ca="1">IF($C307-T$1&lt;År1,0,S306*(1-VLOOKUP($A307,[1]Hugst!$R$5:$W$9,MATCH(ROUNDUP((T$1)/10,0)*10,[1]Hugst!$R$4:$W$4,0))))</f>
        <v>0</v>
      </c>
      <c r="U307">
        <f ca="1">IF($C307-U$1&lt;År1,0,T306*(1-VLOOKUP($A307,[1]Hugst!$R$5:$W$9,MATCH(ROUNDUP((U$1)/10,0)*10,[1]Hugst!$R$4:$W$4,0))))</f>
        <v>0</v>
      </c>
      <c r="V307">
        <f ca="1">IF($C307-V$1&lt;År1,0,U306*(1-VLOOKUP($A307,[1]Hugst!$R$5:$W$9,MATCH(ROUNDUP((V$1)/10,0)*10,[1]Hugst!$R$4:$W$4,0))))</f>
        <v>0</v>
      </c>
      <c r="W307">
        <f ca="1">IF($C307-W$1&lt;År1,0,V306*(1-VLOOKUP($A307,[1]Hugst!$R$5:$W$9,MATCH(ROUNDUP((W$1)/10,0)*10,[1]Hugst!$R$4:$W$4,0))))</f>
        <v>0</v>
      </c>
      <c r="X307">
        <f ca="1">IF($C307-X$1&lt;År1,0,W306*(1-VLOOKUP($A307,[1]Hugst!$R$5:$W$9,MATCH(ROUNDUP((X$1)/10,0)*10,[1]Hugst!$R$4:$W$4,0))))</f>
        <v>0</v>
      </c>
      <c r="Y307">
        <f ca="1">IF($C307-Y$1&lt;År1,0,X306*(1-VLOOKUP($A307,[1]Hugst!$R$5:$W$9,MATCH(ROUNDUP((Y$1)/10,0)*10,[1]Hugst!$R$4:$W$4,0))))</f>
        <v>0</v>
      </c>
      <c r="Z307">
        <f ca="1">IF($C307-Z$1&lt;År1,0,Y306*(1-VLOOKUP($A307,[1]Hugst!$R$5:$W$9,MATCH(ROUNDUP((Z$1)/10,0)*10,[1]Hugst!$R$4:$W$4,0))))</f>
        <v>0</v>
      </c>
      <c r="AA307">
        <f ca="1">IF($C307-AA$1&lt;År1,0,Z306*(1-VLOOKUP($A307,[1]Hugst!$R$5:$W$9,MATCH(ROUNDUP((AA$1)/10,0)*10,[1]Hugst!$R$4:$W$4,0))))</f>
        <v>0</v>
      </c>
      <c r="AB307">
        <f ca="1">IF($C307-AB$1&lt;År1,0,AA306*(1-VLOOKUP($A307,[1]Hugst!$R$5:$W$9,MATCH(ROUNDUP((AB$1)/10,0)*10,[1]Hugst!$R$4:$W$4,0))))</f>
        <v>0</v>
      </c>
      <c r="AC307">
        <f ca="1">IF($C307-AC$1&lt;År1,0,AB306*(1-VLOOKUP($A307,[1]Hugst!$R$5:$W$9,MATCH(ROUNDUP((AC$1)/10,0)*10,[1]Hugst!$R$4:$W$4,0))))</f>
        <v>0</v>
      </c>
      <c r="AD307">
        <f ca="1">IF($C307-AD$1&lt;År1,0,AC306*(1-VLOOKUP($A307,[1]Hugst!$R$5:$W$9,MATCH(ROUNDUP((AD$1)/10,0)*10,[1]Hugst!$R$4:$W$4,0))))</f>
        <v>0</v>
      </c>
      <c r="AE307">
        <f ca="1">IF($C307-AE$1&lt;År1,0,AD306*(1-VLOOKUP($A307,[1]Hugst!$R$5:$W$9,MATCH(ROUNDUP((AE$1)/10,0)*10,[1]Hugst!$R$4:$W$4,0))))</f>
        <v>0</v>
      </c>
      <c r="AF307">
        <f ca="1">IF($C307-AF$1&lt;År1,0,AE306*(1-VLOOKUP($A307,[1]Hugst!$R$5:$W$9,MATCH(ROUNDUP((AF$1)/10,0)*10,[1]Hugst!$R$4:$W$4,0))))</f>
        <v>0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25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>
        <f ca="1">IF($C308-G$1&lt;År1,0,F307*(1-VLOOKUP($A308,[1]Hugst!$R$5:$W$9,MATCH(ROUNDUP((G$1)/10,0)*10,[1]Hugst!$R$4:$W$4,0))))</f>
        <v>0</v>
      </c>
      <c r="H308">
        <f ca="1">IF($C308-H$1&lt;År1,0,G307*(1-VLOOKUP($A308,[1]Hugst!$R$5:$W$9,MATCH(ROUNDUP((H$1)/10,0)*10,[1]Hugst!$R$4:$W$4,0))))</f>
        <v>0</v>
      </c>
      <c r="I308">
        <f ca="1">IF($C308-I$1&lt;År1,0,H307*(1-VLOOKUP($A308,[1]Hugst!$R$5:$W$9,MATCH(ROUNDUP((I$1)/10,0)*10,[1]Hugst!$R$4:$W$4,0))))</f>
        <v>0</v>
      </c>
      <c r="J308">
        <f ca="1">IF($C308-J$1&lt;År1,0,I307*(1-VLOOKUP($A308,[1]Hugst!$R$5:$W$9,MATCH(ROUNDUP((J$1)/10,0)*10,[1]Hugst!$R$4:$W$4,0))))</f>
        <v>0</v>
      </c>
      <c r="K308">
        <f ca="1">IF($C308-K$1&lt;År1,0,J307*(1-VLOOKUP($A308,[1]Hugst!$R$5:$W$9,MATCH(ROUNDUP((K$1)/10,0)*10,[1]Hugst!$R$4:$W$4,0))))</f>
        <v>0</v>
      </c>
      <c r="L308">
        <f ca="1">IF($C308-L$1&lt;År1,0,K307*(1-VLOOKUP($A308,[1]Hugst!$R$5:$W$9,MATCH(ROUNDUP((L$1)/10,0)*10,[1]Hugst!$R$4:$W$4,0))))</f>
        <v>0</v>
      </c>
      <c r="M308">
        <f ca="1">IF($C308-M$1&lt;År1,0,L307*(1-VLOOKUP($A308,[1]Hugst!$R$5:$W$9,MATCH(ROUNDUP((M$1)/10,0)*10,[1]Hugst!$R$4:$W$4,0))))</f>
        <v>0</v>
      </c>
      <c r="N308">
        <f ca="1">IF($C308-N$1&lt;År1,0,M307*(1-VLOOKUP($A308,[1]Hugst!$R$5:$W$9,MATCH(ROUNDUP((N$1)/10,0)*10,[1]Hugst!$R$4:$W$4,0))))</f>
        <v>0</v>
      </c>
      <c r="O308">
        <f ca="1">IF($C308-O$1&lt;År1,0,N307*(1-VLOOKUP($A308,[1]Hugst!$R$5:$W$9,MATCH(ROUNDUP((O$1)/10,0)*10,[1]Hugst!$R$4:$W$4,0))))</f>
        <v>0</v>
      </c>
      <c r="P308">
        <f ca="1">IF($C308-P$1&lt;År1,0,O307*(1-VLOOKUP($A308,[1]Hugst!$R$5:$W$9,MATCH(ROUNDUP((P$1)/10,0)*10,[1]Hugst!$R$4:$W$4,0))))</f>
        <v>0</v>
      </c>
      <c r="Q308">
        <f ca="1">IF($C308-Q$1&lt;År1,0,P307*(1-VLOOKUP($A308,[1]Hugst!$R$5:$W$9,MATCH(ROUNDUP((Q$1)/10,0)*10,[1]Hugst!$R$4:$W$4,0))))</f>
        <v>0</v>
      </c>
      <c r="R308">
        <f ca="1">IF($C308-R$1&lt;År1,0,Q307*(1-VLOOKUP($A308,[1]Hugst!$R$5:$W$9,MATCH(ROUNDUP((R$1)/10,0)*10,[1]Hugst!$R$4:$W$4,0))))</f>
        <v>0</v>
      </c>
      <c r="S308">
        <f ca="1">IF($C308-S$1&lt;År1,0,R307*(1-VLOOKUP($A308,[1]Hugst!$R$5:$W$9,MATCH(ROUNDUP((S$1)/10,0)*10,[1]Hugst!$R$4:$W$4,0))))</f>
        <v>0</v>
      </c>
      <c r="T308">
        <f ca="1">IF($C308-T$1&lt;År1,0,S307*(1-VLOOKUP($A308,[1]Hugst!$R$5:$W$9,MATCH(ROUNDUP((T$1)/10,0)*10,[1]Hugst!$R$4:$W$4,0))))</f>
        <v>0</v>
      </c>
      <c r="U308">
        <f ca="1">IF($C308-U$1&lt;År1,0,T307*(1-VLOOKUP($A308,[1]Hugst!$R$5:$W$9,MATCH(ROUNDUP((U$1)/10,0)*10,[1]Hugst!$R$4:$W$4,0))))</f>
        <v>0</v>
      </c>
      <c r="V308">
        <f ca="1">IF($C308-V$1&lt;År1,0,U307*(1-VLOOKUP($A308,[1]Hugst!$R$5:$W$9,MATCH(ROUNDUP((V$1)/10,0)*10,[1]Hugst!$R$4:$W$4,0))))</f>
        <v>0</v>
      </c>
      <c r="W308">
        <f ca="1">IF($C308-W$1&lt;År1,0,V307*(1-VLOOKUP($A308,[1]Hugst!$R$5:$W$9,MATCH(ROUNDUP((W$1)/10,0)*10,[1]Hugst!$R$4:$W$4,0))))</f>
        <v>0</v>
      </c>
      <c r="X308">
        <f ca="1">IF($C308-X$1&lt;År1,0,W307*(1-VLOOKUP($A308,[1]Hugst!$R$5:$W$9,MATCH(ROUNDUP((X$1)/10,0)*10,[1]Hugst!$R$4:$W$4,0))))</f>
        <v>0</v>
      </c>
      <c r="Y308">
        <f ca="1">IF($C308-Y$1&lt;År1,0,X307*(1-VLOOKUP($A308,[1]Hugst!$R$5:$W$9,MATCH(ROUNDUP((Y$1)/10,0)*10,[1]Hugst!$R$4:$W$4,0))))</f>
        <v>0</v>
      </c>
      <c r="Z308">
        <f ca="1">IF($C308-Z$1&lt;År1,0,Y307*(1-VLOOKUP($A308,[1]Hugst!$R$5:$W$9,MATCH(ROUNDUP((Z$1)/10,0)*10,[1]Hugst!$R$4:$W$4,0))))</f>
        <v>0</v>
      </c>
      <c r="AA308">
        <f ca="1">IF($C308-AA$1&lt;År1,0,Z307*(1-VLOOKUP($A308,[1]Hugst!$R$5:$W$9,MATCH(ROUNDUP((AA$1)/10,0)*10,[1]Hugst!$R$4:$W$4,0))))</f>
        <v>0</v>
      </c>
      <c r="AB308">
        <f ca="1">IF($C308-AB$1&lt;År1,0,AA307*(1-VLOOKUP($A308,[1]Hugst!$R$5:$W$9,MATCH(ROUNDUP((AB$1)/10,0)*10,[1]Hugst!$R$4:$W$4,0))))</f>
        <v>0</v>
      </c>
      <c r="AC308">
        <f ca="1">IF($C308-AC$1&lt;År1,0,AB307*(1-VLOOKUP($A308,[1]Hugst!$R$5:$W$9,MATCH(ROUNDUP((AC$1)/10,0)*10,[1]Hugst!$R$4:$W$4,0))))</f>
        <v>0</v>
      </c>
      <c r="AD308">
        <f ca="1">IF($C308-AD$1&lt;År1,0,AC307*(1-VLOOKUP($A308,[1]Hugst!$R$5:$W$9,MATCH(ROUNDUP((AD$1)/10,0)*10,[1]Hugst!$R$4:$W$4,0))))</f>
        <v>0</v>
      </c>
      <c r="AE308">
        <f ca="1">IF($C308-AE$1&lt;År1,0,AD307*(1-VLOOKUP($A308,[1]Hugst!$R$5:$W$9,MATCH(ROUNDUP((AE$1)/10,0)*10,[1]Hugst!$R$4:$W$4,0))))</f>
        <v>0</v>
      </c>
      <c r="AF308">
        <f ca="1">IF($C308-AF$1&lt;År1,0,AE307*(1-VLOOKUP($A308,[1]Hugst!$R$5:$W$9,MATCH(ROUNDUP((AF$1)/10,0)*10,[1]Hugst!$R$4:$W$4,0))))</f>
        <v>0</v>
      </c>
      <c r="AG308">
        <f ca="1">IF($C308-AG$1&lt;År1,0,AF307*(1-VLOOKUP($A308,[1]Hugst!$R$5:$W$9,MATCH(ROUNDUP((AG$1)/10,0)*10,[1]Hugst!$R$4:$W$4,0))))</f>
        <v>0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25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>
        <f ca="1">IF($C309-G$1&lt;År1,0,F308*(1-VLOOKUP($A309,[1]Hugst!$R$5:$W$9,MATCH(ROUNDUP((G$1)/10,0)*10,[1]Hugst!$R$4:$W$4,0))))</f>
        <v>0</v>
      </c>
      <c r="H309">
        <f ca="1">IF($C309-H$1&lt;År1,0,G308*(1-VLOOKUP($A309,[1]Hugst!$R$5:$W$9,MATCH(ROUNDUP((H$1)/10,0)*10,[1]Hugst!$R$4:$W$4,0))))</f>
        <v>0</v>
      </c>
      <c r="I309">
        <f ca="1">IF($C309-I$1&lt;År1,0,H308*(1-VLOOKUP($A309,[1]Hugst!$R$5:$W$9,MATCH(ROUNDUP((I$1)/10,0)*10,[1]Hugst!$R$4:$W$4,0))))</f>
        <v>0</v>
      </c>
      <c r="J309">
        <f ca="1">IF($C309-J$1&lt;År1,0,I308*(1-VLOOKUP($A309,[1]Hugst!$R$5:$W$9,MATCH(ROUNDUP((J$1)/10,0)*10,[1]Hugst!$R$4:$W$4,0))))</f>
        <v>0</v>
      </c>
      <c r="K309">
        <f ca="1">IF($C309-K$1&lt;År1,0,J308*(1-VLOOKUP($A309,[1]Hugst!$R$5:$W$9,MATCH(ROUNDUP((K$1)/10,0)*10,[1]Hugst!$R$4:$W$4,0))))</f>
        <v>0</v>
      </c>
      <c r="L309">
        <f ca="1">IF($C309-L$1&lt;År1,0,K308*(1-VLOOKUP($A309,[1]Hugst!$R$5:$W$9,MATCH(ROUNDUP((L$1)/10,0)*10,[1]Hugst!$R$4:$W$4,0))))</f>
        <v>0</v>
      </c>
      <c r="M309">
        <f ca="1">IF($C309-M$1&lt;År1,0,L308*(1-VLOOKUP($A309,[1]Hugst!$R$5:$W$9,MATCH(ROUNDUP((M$1)/10,0)*10,[1]Hugst!$R$4:$W$4,0))))</f>
        <v>0</v>
      </c>
      <c r="N309">
        <f ca="1">IF($C309-N$1&lt;År1,0,M308*(1-VLOOKUP($A309,[1]Hugst!$R$5:$W$9,MATCH(ROUNDUP((N$1)/10,0)*10,[1]Hugst!$R$4:$W$4,0))))</f>
        <v>0</v>
      </c>
      <c r="O309">
        <f ca="1">IF($C309-O$1&lt;År1,0,N308*(1-VLOOKUP($A309,[1]Hugst!$R$5:$W$9,MATCH(ROUNDUP((O$1)/10,0)*10,[1]Hugst!$R$4:$W$4,0))))</f>
        <v>0</v>
      </c>
      <c r="P309">
        <f ca="1">IF($C309-P$1&lt;År1,0,O308*(1-VLOOKUP($A309,[1]Hugst!$R$5:$W$9,MATCH(ROUNDUP((P$1)/10,0)*10,[1]Hugst!$R$4:$W$4,0))))</f>
        <v>0</v>
      </c>
      <c r="Q309">
        <f ca="1">IF($C309-Q$1&lt;År1,0,P308*(1-VLOOKUP($A309,[1]Hugst!$R$5:$W$9,MATCH(ROUNDUP((Q$1)/10,0)*10,[1]Hugst!$R$4:$W$4,0))))</f>
        <v>0</v>
      </c>
      <c r="R309">
        <f ca="1">IF($C309-R$1&lt;År1,0,Q308*(1-VLOOKUP($A309,[1]Hugst!$R$5:$W$9,MATCH(ROUNDUP((R$1)/10,0)*10,[1]Hugst!$R$4:$W$4,0))))</f>
        <v>0</v>
      </c>
      <c r="S309">
        <f ca="1">IF($C309-S$1&lt;År1,0,R308*(1-VLOOKUP($A309,[1]Hugst!$R$5:$W$9,MATCH(ROUNDUP((S$1)/10,0)*10,[1]Hugst!$R$4:$W$4,0))))</f>
        <v>0</v>
      </c>
      <c r="T309">
        <f ca="1">IF($C309-T$1&lt;År1,0,S308*(1-VLOOKUP($A309,[1]Hugst!$R$5:$W$9,MATCH(ROUNDUP((T$1)/10,0)*10,[1]Hugst!$R$4:$W$4,0))))</f>
        <v>0</v>
      </c>
      <c r="U309">
        <f ca="1">IF($C309-U$1&lt;År1,0,T308*(1-VLOOKUP($A309,[1]Hugst!$R$5:$W$9,MATCH(ROUNDUP((U$1)/10,0)*10,[1]Hugst!$R$4:$W$4,0))))</f>
        <v>0</v>
      </c>
      <c r="V309">
        <f ca="1">IF($C309-V$1&lt;År1,0,U308*(1-VLOOKUP($A309,[1]Hugst!$R$5:$W$9,MATCH(ROUNDUP((V$1)/10,0)*10,[1]Hugst!$R$4:$W$4,0))))</f>
        <v>0</v>
      </c>
      <c r="W309">
        <f ca="1">IF($C309-W$1&lt;År1,0,V308*(1-VLOOKUP($A309,[1]Hugst!$R$5:$W$9,MATCH(ROUNDUP((W$1)/10,0)*10,[1]Hugst!$R$4:$W$4,0))))</f>
        <v>0</v>
      </c>
      <c r="X309">
        <f ca="1">IF($C309-X$1&lt;År1,0,W308*(1-VLOOKUP($A309,[1]Hugst!$R$5:$W$9,MATCH(ROUNDUP((X$1)/10,0)*10,[1]Hugst!$R$4:$W$4,0))))</f>
        <v>0</v>
      </c>
      <c r="Y309">
        <f ca="1">IF($C309-Y$1&lt;År1,0,X308*(1-VLOOKUP($A309,[1]Hugst!$R$5:$W$9,MATCH(ROUNDUP((Y$1)/10,0)*10,[1]Hugst!$R$4:$W$4,0))))</f>
        <v>0</v>
      </c>
      <c r="Z309">
        <f ca="1">IF($C309-Z$1&lt;År1,0,Y308*(1-VLOOKUP($A309,[1]Hugst!$R$5:$W$9,MATCH(ROUNDUP((Z$1)/10,0)*10,[1]Hugst!$R$4:$W$4,0))))</f>
        <v>0</v>
      </c>
      <c r="AA309">
        <f ca="1">IF($C309-AA$1&lt;År1,0,Z308*(1-VLOOKUP($A309,[1]Hugst!$R$5:$W$9,MATCH(ROUNDUP((AA$1)/10,0)*10,[1]Hugst!$R$4:$W$4,0))))</f>
        <v>0</v>
      </c>
      <c r="AB309">
        <f ca="1">IF($C309-AB$1&lt;År1,0,AA308*(1-VLOOKUP($A309,[1]Hugst!$R$5:$W$9,MATCH(ROUNDUP((AB$1)/10,0)*10,[1]Hugst!$R$4:$W$4,0))))</f>
        <v>0</v>
      </c>
      <c r="AC309">
        <f ca="1">IF($C309-AC$1&lt;År1,0,AB308*(1-VLOOKUP($A309,[1]Hugst!$R$5:$W$9,MATCH(ROUNDUP((AC$1)/10,0)*10,[1]Hugst!$R$4:$W$4,0))))</f>
        <v>0</v>
      </c>
      <c r="AD309">
        <f ca="1">IF($C309-AD$1&lt;År1,0,AC308*(1-VLOOKUP($A309,[1]Hugst!$R$5:$W$9,MATCH(ROUNDUP((AD$1)/10,0)*10,[1]Hugst!$R$4:$W$4,0))))</f>
        <v>0</v>
      </c>
      <c r="AE309">
        <f ca="1">IF($C309-AE$1&lt;År1,0,AD308*(1-VLOOKUP($A309,[1]Hugst!$R$5:$W$9,MATCH(ROUNDUP((AE$1)/10,0)*10,[1]Hugst!$R$4:$W$4,0))))</f>
        <v>0</v>
      </c>
      <c r="AF309">
        <f ca="1">IF($C309-AF$1&lt;År1,0,AE308*(1-VLOOKUP($A309,[1]Hugst!$R$5:$W$9,MATCH(ROUNDUP((AF$1)/10,0)*10,[1]Hugst!$R$4:$W$4,0))))</f>
        <v>0</v>
      </c>
      <c r="AG309">
        <f ca="1">IF($C309-AG$1&lt;År1,0,AF308*(1-VLOOKUP($A309,[1]Hugst!$R$5:$W$9,MATCH(ROUNDUP((AG$1)/10,0)*10,[1]Hugst!$R$4:$W$4,0))))</f>
        <v>0</v>
      </c>
      <c r="AH309">
        <f ca="1">IF($C309-AH$1&lt;År1,0,AG308*(1-VLOOKUP($A309,[1]Hugst!$R$5:$W$9,MATCH(ROUNDUP((AH$1)/10,0)*10,[1]Hugst!$R$4:$W$4,0))))</f>
        <v>0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25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>
        <f ca="1">IF($C310-G$1&lt;År1,0,F309*(1-VLOOKUP($A310,[1]Hugst!$R$5:$W$9,MATCH(ROUNDUP((G$1)/10,0)*10,[1]Hugst!$R$4:$W$4,0))))</f>
        <v>0</v>
      </c>
      <c r="H310">
        <f ca="1">IF($C310-H$1&lt;År1,0,G309*(1-VLOOKUP($A310,[1]Hugst!$R$5:$W$9,MATCH(ROUNDUP((H$1)/10,0)*10,[1]Hugst!$R$4:$W$4,0))))</f>
        <v>0</v>
      </c>
      <c r="I310">
        <f ca="1">IF($C310-I$1&lt;År1,0,H309*(1-VLOOKUP($A310,[1]Hugst!$R$5:$W$9,MATCH(ROUNDUP((I$1)/10,0)*10,[1]Hugst!$R$4:$W$4,0))))</f>
        <v>0</v>
      </c>
      <c r="J310">
        <f ca="1">IF($C310-J$1&lt;År1,0,I309*(1-VLOOKUP($A310,[1]Hugst!$R$5:$W$9,MATCH(ROUNDUP((J$1)/10,0)*10,[1]Hugst!$R$4:$W$4,0))))</f>
        <v>0</v>
      </c>
      <c r="K310">
        <f ca="1">IF($C310-K$1&lt;År1,0,J309*(1-VLOOKUP($A310,[1]Hugst!$R$5:$W$9,MATCH(ROUNDUP((K$1)/10,0)*10,[1]Hugst!$R$4:$W$4,0))))</f>
        <v>0</v>
      </c>
      <c r="L310">
        <f ca="1">IF($C310-L$1&lt;År1,0,K309*(1-VLOOKUP($A310,[1]Hugst!$R$5:$W$9,MATCH(ROUNDUP((L$1)/10,0)*10,[1]Hugst!$R$4:$W$4,0))))</f>
        <v>0</v>
      </c>
      <c r="M310">
        <f ca="1">IF($C310-M$1&lt;År1,0,L309*(1-VLOOKUP($A310,[1]Hugst!$R$5:$W$9,MATCH(ROUNDUP((M$1)/10,0)*10,[1]Hugst!$R$4:$W$4,0))))</f>
        <v>0</v>
      </c>
      <c r="N310">
        <f ca="1">IF($C310-N$1&lt;År1,0,M309*(1-VLOOKUP($A310,[1]Hugst!$R$5:$W$9,MATCH(ROUNDUP((N$1)/10,0)*10,[1]Hugst!$R$4:$W$4,0))))</f>
        <v>0</v>
      </c>
      <c r="O310">
        <f ca="1">IF($C310-O$1&lt;År1,0,N309*(1-VLOOKUP($A310,[1]Hugst!$R$5:$W$9,MATCH(ROUNDUP((O$1)/10,0)*10,[1]Hugst!$R$4:$W$4,0))))</f>
        <v>0</v>
      </c>
      <c r="P310">
        <f ca="1">IF($C310-P$1&lt;År1,0,O309*(1-VLOOKUP($A310,[1]Hugst!$R$5:$W$9,MATCH(ROUNDUP((P$1)/10,0)*10,[1]Hugst!$R$4:$W$4,0))))</f>
        <v>0</v>
      </c>
      <c r="Q310">
        <f ca="1">IF($C310-Q$1&lt;År1,0,P309*(1-VLOOKUP($A310,[1]Hugst!$R$5:$W$9,MATCH(ROUNDUP((Q$1)/10,0)*10,[1]Hugst!$R$4:$W$4,0))))</f>
        <v>0</v>
      </c>
      <c r="R310">
        <f ca="1">IF($C310-R$1&lt;År1,0,Q309*(1-VLOOKUP($A310,[1]Hugst!$R$5:$W$9,MATCH(ROUNDUP((R$1)/10,0)*10,[1]Hugst!$R$4:$W$4,0))))</f>
        <v>0</v>
      </c>
      <c r="S310">
        <f ca="1">IF($C310-S$1&lt;År1,0,R309*(1-VLOOKUP($A310,[1]Hugst!$R$5:$W$9,MATCH(ROUNDUP((S$1)/10,0)*10,[1]Hugst!$R$4:$W$4,0))))</f>
        <v>0</v>
      </c>
      <c r="T310">
        <f ca="1">IF($C310-T$1&lt;År1,0,S309*(1-VLOOKUP($A310,[1]Hugst!$R$5:$W$9,MATCH(ROUNDUP((T$1)/10,0)*10,[1]Hugst!$R$4:$W$4,0))))</f>
        <v>0</v>
      </c>
      <c r="U310">
        <f ca="1">IF($C310-U$1&lt;År1,0,T309*(1-VLOOKUP($A310,[1]Hugst!$R$5:$W$9,MATCH(ROUNDUP((U$1)/10,0)*10,[1]Hugst!$R$4:$W$4,0))))</f>
        <v>0</v>
      </c>
      <c r="V310">
        <f ca="1">IF($C310-V$1&lt;År1,0,U309*(1-VLOOKUP($A310,[1]Hugst!$R$5:$W$9,MATCH(ROUNDUP((V$1)/10,0)*10,[1]Hugst!$R$4:$W$4,0))))</f>
        <v>0</v>
      </c>
      <c r="W310">
        <f ca="1">IF($C310-W$1&lt;År1,0,V309*(1-VLOOKUP($A310,[1]Hugst!$R$5:$W$9,MATCH(ROUNDUP((W$1)/10,0)*10,[1]Hugst!$R$4:$W$4,0))))</f>
        <v>0</v>
      </c>
      <c r="X310">
        <f ca="1">IF($C310-X$1&lt;År1,0,W309*(1-VLOOKUP($A310,[1]Hugst!$R$5:$W$9,MATCH(ROUNDUP((X$1)/10,0)*10,[1]Hugst!$R$4:$W$4,0))))</f>
        <v>0</v>
      </c>
      <c r="Y310">
        <f ca="1">IF($C310-Y$1&lt;År1,0,X309*(1-VLOOKUP($A310,[1]Hugst!$R$5:$W$9,MATCH(ROUNDUP((Y$1)/10,0)*10,[1]Hugst!$R$4:$W$4,0))))</f>
        <v>0</v>
      </c>
      <c r="Z310">
        <f ca="1">IF($C310-Z$1&lt;År1,0,Y309*(1-VLOOKUP($A310,[1]Hugst!$R$5:$W$9,MATCH(ROUNDUP((Z$1)/10,0)*10,[1]Hugst!$R$4:$W$4,0))))</f>
        <v>0</v>
      </c>
      <c r="AA310">
        <f ca="1">IF($C310-AA$1&lt;År1,0,Z309*(1-VLOOKUP($A310,[1]Hugst!$R$5:$W$9,MATCH(ROUNDUP((AA$1)/10,0)*10,[1]Hugst!$R$4:$W$4,0))))</f>
        <v>0</v>
      </c>
      <c r="AB310">
        <f ca="1">IF($C310-AB$1&lt;År1,0,AA309*(1-VLOOKUP($A310,[1]Hugst!$R$5:$W$9,MATCH(ROUNDUP((AB$1)/10,0)*10,[1]Hugst!$R$4:$W$4,0))))</f>
        <v>0</v>
      </c>
      <c r="AC310">
        <f ca="1">IF($C310-AC$1&lt;År1,0,AB309*(1-VLOOKUP($A310,[1]Hugst!$R$5:$W$9,MATCH(ROUNDUP((AC$1)/10,0)*10,[1]Hugst!$R$4:$W$4,0))))</f>
        <v>0</v>
      </c>
      <c r="AD310">
        <f ca="1">IF($C310-AD$1&lt;År1,0,AC309*(1-VLOOKUP($A310,[1]Hugst!$R$5:$W$9,MATCH(ROUNDUP((AD$1)/10,0)*10,[1]Hugst!$R$4:$W$4,0))))</f>
        <v>0</v>
      </c>
      <c r="AE310">
        <f ca="1">IF($C310-AE$1&lt;År1,0,AD309*(1-VLOOKUP($A310,[1]Hugst!$R$5:$W$9,MATCH(ROUNDUP((AE$1)/10,0)*10,[1]Hugst!$R$4:$W$4,0))))</f>
        <v>0</v>
      </c>
      <c r="AF310">
        <f ca="1">IF($C310-AF$1&lt;År1,0,AE309*(1-VLOOKUP($A310,[1]Hugst!$R$5:$W$9,MATCH(ROUNDUP((AF$1)/10,0)*10,[1]Hugst!$R$4:$W$4,0))))</f>
        <v>0</v>
      </c>
      <c r="AG310">
        <f ca="1">IF($C310-AG$1&lt;År1,0,AF309*(1-VLOOKUP($A310,[1]Hugst!$R$5:$W$9,MATCH(ROUNDUP((AG$1)/10,0)*10,[1]Hugst!$R$4:$W$4,0))))</f>
        <v>0</v>
      </c>
      <c r="AH310">
        <f ca="1">IF($C310-AH$1&lt;År1,0,AG309*(1-VLOOKUP($A310,[1]Hugst!$R$5:$W$9,MATCH(ROUNDUP((AH$1)/10,0)*10,[1]Hugst!$R$4:$W$4,0))))</f>
        <v>0</v>
      </c>
      <c r="AI310">
        <f ca="1">IF($C310-AI$1&lt;År1,0,AH309*(1-VLOOKUP($A310,[1]Hugst!$R$5:$W$9,MATCH(ROUNDUP((AI$1)/10,0)*10,[1]Hugst!$R$4:$W$4,0))))</f>
        <v>0</v>
      </c>
      <c r="AJ310">
        <f>IF($C310-AJ$1&lt;År1,0,AI309*(1-VLOOKUP($A310,[1]Hugst!$R$5:$W$9,MATCH(ROUNDUP((AJ$1)/10,0)*10,[1]Hugst!$R$4:$W$4,0))))</f>
        <v>0</v>
      </c>
    </row>
    <row r="311" spans="1:36" x14ac:dyDescent="0.25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>
        <f ca="1">IF($C311-G$1&lt;År1,0,F310*(1-VLOOKUP($A311,[1]Hugst!$R$5:$W$9,MATCH(ROUNDUP((G$1)/10,0)*10,[1]Hugst!$R$4:$W$4,0))))</f>
        <v>0</v>
      </c>
      <c r="H311">
        <f ca="1">IF($C311-H$1&lt;År1,0,G310*(1-VLOOKUP($A311,[1]Hugst!$R$5:$W$9,MATCH(ROUNDUP((H$1)/10,0)*10,[1]Hugst!$R$4:$W$4,0))))</f>
        <v>0</v>
      </c>
      <c r="I311">
        <f ca="1">IF($C311-I$1&lt;År1,0,H310*(1-VLOOKUP($A311,[1]Hugst!$R$5:$W$9,MATCH(ROUNDUP((I$1)/10,0)*10,[1]Hugst!$R$4:$W$4,0))))</f>
        <v>0</v>
      </c>
      <c r="J311">
        <f ca="1">IF($C311-J$1&lt;År1,0,I310*(1-VLOOKUP($A311,[1]Hugst!$R$5:$W$9,MATCH(ROUNDUP((J$1)/10,0)*10,[1]Hugst!$R$4:$W$4,0))))</f>
        <v>0</v>
      </c>
      <c r="K311">
        <f ca="1">IF($C311-K$1&lt;År1,0,J310*(1-VLOOKUP($A311,[1]Hugst!$R$5:$W$9,MATCH(ROUNDUP((K$1)/10,0)*10,[1]Hugst!$R$4:$W$4,0))))</f>
        <v>0</v>
      </c>
      <c r="L311">
        <f ca="1">IF($C311-L$1&lt;År1,0,K310*(1-VLOOKUP($A311,[1]Hugst!$R$5:$W$9,MATCH(ROUNDUP((L$1)/10,0)*10,[1]Hugst!$R$4:$W$4,0))))</f>
        <v>0</v>
      </c>
      <c r="M311">
        <f ca="1">IF($C311-M$1&lt;År1,0,L310*(1-VLOOKUP($A311,[1]Hugst!$R$5:$W$9,MATCH(ROUNDUP((M$1)/10,0)*10,[1]Hugst!$R$4:$W$4,0))))</f>
        <v>0</v>
      </c>
      <c r="N311">
        <f ca="1">IF($C311-N$1&lt;År1,0,M310*(1-VLOOKUP($A311,[1]Hugst!$R$5:$W$9,MATCH(ROUNDUP((N$1)/10,0)*10,[1]Hugst!$R$4:$W$4,0))))</f>
        <v>0</v>
      </c>
      <c r="O311">
        <f ca="1">IF($C311-O$1&lt;År1,0,N310*(1-VLOOKUP($A311,[1]Hugst!$R$5:$W$9,MATCH(ROUNDUP((O$1)/10,0)*10,[1]Hugst!$R$4:$W$4,0))))</f>
        <v>0</v>
      </c>
      <c r="P311">
        <f ca="1">IF($C311-P$1&lt;År1,0,O310*(1-VLOOKUP($A311,[1]Hugst!$R$5:$W$9,MATCH(ROUNDUP((P$1)/10,0)*10,[1]Hugst!$R$4:$W$4,0))))</f>
        <v>0</v>
      </c>
      <c r="Q311">
        <f ca="1">IF($C311-Q$1&lt;År1,0,P310*(1-VLOOKUP($A311,[1]Hugst!$R$5:$W$9,MATCH(ROUNDUP((Q$1)/10,0)*10,[1]Hugst!$R$4:$W$4,0))))</f>
        <v>0</v>
      </c>
      <c r="R311">
        <f ca="1">IF($C311-R$1&lt;År1,0,Q310*(1-VLOOKUP($A311,[1]Hugst!$R$5:$W$9,MATCH(ROUNDUP((R$1)/10,0)*10,[1]Hugst!$R$4:$W$4,0))))</f>
        <v>0</v>
      </c>
      <c r="S311">
        <f ca="1">IF($C311-S$1&lt;År1,0,R310*(1-VLOOKUP($A311,[1]Hugst!$R$5:$W$9,MATCH(ROUNDUP((S$1)/10,0)*10,[1]Hugst!$R$4:$W$4,0))))</f>
        <v>0</v>
      </c>
      <c r="T311">
        <f ca="1">IF($C311-T$1&lt;År1,0,S310*(1-VLOOKUP($A311,[1]Hugst!$R$5:$W$9,MATCH(ROUNDUP((T$1)/10,0)*10,[1]Hugst!$R$4:$W$4,0))))</f>
        <v>0</v>
      </c>
      <c r="U311">
        <f ca="1">IF($C311-U$1&lt;År1,0,T310*(1-VLOOKUP($A311,[1]Hugst!$R$5:$W$9,MATCH(ROUNDUP((U$1)/10,0)*10,[1]Hugst!$R$4:$W$4,0))))</f>
        <v>0</v>
      </c>
      <c r="V311">
        <f ca="1">IF($C311-V$1&lt;År1,0,U310*(1-VLOOKUP($A311,[1]Hugst!$R$5:$W$9,MATCH(ROUNDUP((V$1)/10,0)*10,[1]Hugst!$R$4:$W$4,0))))</f>
        <v>0</v>
      </c>
      <c r="W311">
        <f ca="1">IF($C311-W$1&lt;År1,0,V310*(1-VLOOKUP($A311,[1]Hugst!$R$5:$W$9,MATCH(ROUNDUP((W$1)/10,0)*10,[1]Hugst!$R$4:$W$4,0))))</f>
        <v>0</v>
      </c>
      <c r="X311">
        <f ca="1">IF($C311-X$1&lt;År1,0,W310*(1-VLOOKUP($A311,[1]Hugst!$R$5:$W$9,MATCH(ROUNDUP((X$1)/10,0)*10,[1]Hugst!$R$4:$W$4,0))))</f>
        <v>0</v>
      </c>
      <c r="Y311">
        <f ca="1">IF($C311-Y$1&lt;År1,0,X310*(1-VLOOKUP($A311,[1]Hugst!$R$5:$W$9,MATCH(ROUNDUP((Y$1)/10,0)*10,[1]Hugst!$R$4:$W$4,0))))</f>
        <v>0</v>
      </c>
      <c r="Z311">
        <f ca="1">IF($C311-Z$1&lt;År1,0,Y310*(1-VLOOKUP($A311,[1]Hugst!$R$5:$W$9,MATCH(ROUNDUP((Z$1)/10,0)*10,[1]Hugst!$R$4:$W$4,0))))</f>
        <v>0</v>
      </c>
      <c r="AA311">
        <f ca="1">IF($C311-AA$1&lt;År1,0,Z310*(1-VLOOKUP($A311,[1]Hugst!$R$5:$W$9,MATCH(ROUNDUP((AA$1)/10,0)*10,[1]Hugst!$R$4:$W$4,0))))</f>
        <v>0</v>
      </c>
      <c r="AB311">
        <f ca="1">IF($C311-AB$1&lt;År1,0,AA310*(1-VLOOKUP($A311,[1]Hugst!$R$5:$W$9,MATCH(ROUNDUP((AB$1)/10,0)*10,[1]Hugst!$R$4:$W$4,0))))</f>
        <v>0</v>
      </c>
      <c r="AC311">
        <f ca="1">IF($C311-AC$1&lt;År1,0,AB310*(1-VLOOKUP($A311,[1]Hugst!$R$5:$W$9,MATCH(ROUNDUP((AC$1)/10,0)*10,[1]Hugst!$R$4:$W$4,0))))</f>
        <v>0</v>
      </c>
      <c r="AD311">
        <f ca="1">IF($C311-AD$1&lt;År1,0,AC310*(1-VLOOKUP($A311,[1]Hugst!$R$5:$W$9,MATCH(ROUNDUP((AD$1)/10,0)*10,[1]Hugst!$R$4:$W$4,0))))</f>
        <v>0</v>
      </c>
      <c r="AE311">
        <f ca="1">IF($C311-AE$1&lt;År1,0,AD310*(1-VLOOKUP($A311,[1]Hugst!$R$5:$W$9,MATCH(ROUNDUP((AE$1)/10,0)*10,[1]Hugst!$R$4:$W$4,0))))</f>
        <v>0</v>
      </c>
      <c r="AF311">
        <f ca="1">IF($C311-AF$1&lt;År1,0,AE310*(1-VLOOKUP($A311,[1]Hugst!$R$5:$W$9,MATCH(ROUNDUP((AF$1)/10,0)*10,[1]Hugst!$R$4:$W$4,0))))</f>
        <v>0</v>
      </c>
      <c r="AG311">
        <f ca="1">IF($C311-AG$1&lt;År1,0,AF310*(1-VLOOKUP($A311,[1]Hugst!$R$5:$W$9,MATCH(ROUNDUP((AG$1)/10,0)*10,[1]Hugst!$R$4:$W$4,0))))</f>
        <v>0</v>
      </c>
      <c r="AH311">
        <f ca="1">IF($C311-AH$1&lt;År1,0,AG310*(1-VLOOKUP($A311,[1]Hugst!$R$5:$W$9,MATCH(ROUNDUP((AH$1)/10,0)*10,[1]Hugst!$R$4:$W$4,0))))</f>
        <v>0</v>
      </c>
      <c r="AI311">
        <f ca="1">IF($C311-AI$1&lt;År1,0,AH310*(1-VLOOKUP($A311,[1]Hugst!$R$5:$W$9,MATCH(ROUNDUP((AI$1)/10,0)*10,[1]Hugst!$R$4:$W$4,0))))</f>
        <v>0</v>
      </c>
      <c r="AJ311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E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293" t="s">
        <v>271</v>
      </c>
      <c r="F1" s="73"/>
    </row>
    <row r="2" spans="1:7" s="296" customFormat="1" x14ac:dyDescent="0.25">
      <c r="A2" s="295"/>
      <c r="C2" s="442" t="s">
        <v>317</v>
      </c>
      <c r="D2" s="442"/>
      <c r="E2" s="442"/>
    </row>
    <row r="3" spans="1:7" x14ac:dyDescent="0.25">
      <c r="B3" s="300"/>
      <c r="C3" s="2">
        <f>År1</f>
        <v>2019</v>
      </c>
      <c r="D3" s="2">
        <f>År2</f>
        <v>2030</v>
      </c>
      <c r="E3" s="2">
        <f>År3</f>
        <v>2050</v>
      </c>
      <c r="F3" s="301" t="s">
        <v>318</v>
      </c>
      <c r="G3" s="1" t="s">
        <v>314</v>
      </c>
    </row>
    <row r="4" spans="1:7" x14ac:dyDescent="0.25">
      <c r="A4" s="102" t="s">
        <v>98</v>
      </c>
      <c r="B4" s="2" t="s">
        <v>23</v>
      </c>
      <c r="C4" s="107">
        <f>(502+3901)/10/F4</f>
        <v>2.9353333333333332E-3</v>
      </c>
      <c r="D4" s="3">
        <f t="shared" ref="D4:E7" si="0">C4</f>
        <v>2.9353333333333332E-3</v>
      </c>
      <c r="E4" s="3">
        <f t="shared" si="0"/>
        <v>2.9353333333333332E-3</v>
      </c>
      <c r="F4" s="297">
        <v>150000</v>
      </c>
      <c r="G4" s="443"/>
    </row>
    <row r="5" spans="1:7" x14ac:dyDescent="0.25">
      <c r="A5" s="102" t="s">
        <v>98</v>
      </c>
      <c r="B5" s="2" t="s">
        <v>24</v>
      </c>
      <c r="C5" s="298">
        <f>(0.6)/F5</f>
        <v>1.2E-5</v>
      </c>
      <c r="D5" s="3">
        <f t="shared" si="0"/>
        <v>1.2E-5</v>
      </c>
      <c r="E5" s="3">
        <f t="shared" si="0"/>
        <v>1.2E-5</v>
      </c>
      <c r="F5" s="104">
        <v>50000</v>
      </c>
      <c r="G5" s="443"/>
    </row>
    <row r="6" spans="1:7" x14ac:dyDescent="0.25">
      <c r="A6" s="102" t="s">
        <v>99</v>
      </c>
      <c r="B6" s="2" t="s">
        <v>23</v>
      </c>
      <c r="C6" s="107">
        <f>17/F6</f>
        <v>3.6170212765957447E-4</v>
      </c>
      <c r="D6" s="3">
        <f t="shared" si="0"/>
        <v>3.6170212765957447E-4</v>
      </c>
      <c r="E6" s="3">
        <f t="shared" si="0"/>
        <v>3.6170212765957447E-4</v>
      </c>
      <c r="F6" s="297">
        <v>47000</v>
      </c>
      <c r="G6" s="444"/>
    </row>
    <row r="7" spans="1:7" x14ac:dyDescent="0.25">
      <c r="A7" s="102" t="s">
        <v>99</v>
      </c>
      <c r="B7" s="2" t="s">
        <v>24</v>
      </c>
      <c r="C7" s="7">
        <f>0/F7</f>
        <v>0</v>
      </c>
      <c r="D7" s="3">
        <f t="shared" si="0"/>
        <v>0</v>
      </c>
      <c r="E7" s="3">
        <f t="shared" si="0"/>
        <v>0</v>
      </c>
      <c r="F7" s="297">
        <v>20000</v>
      </c>
      <c r="G7" s="444"/>
    </row>
    <row r="8" spans="1:7" x14ac:dyDescent="0.25">
      <c r="A8" s="294"/>
      <c r="C8" s="1" t="s">
        <v>240</v>
      </c>
      <c r="F8" s="73"/>
    </row>
    <row r="9" spans="1:7" x14ac:dyDescent="0.25">
      <c r="A9" s="294"/>
    </row>
    <row r="10" spans="1:7" x14ac:dyDescent="0.25">
      <c r="B10" s="1" t="s">
        <v>23</v>
      </c>
      <c r="E10" s="1" t="s">
        <v>24</v>
      </c>
    </row>
    <row r="11" spans="1:7" x14ac:dyDescent="0.25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25">
      <c r="A12" s="102" t="s">
        <v>98</v>
      </c>
      <c r="B12" s="1">
        <f>C4*$F4</f>
        <v>440.29999999999995</v>
      </c>
      <c r="C12" s="1">
        <f>D4*$F4</f>
        <v>440.29999999999995</v>
      </c>
      <c r="D12" s="1">
        <f>E4*$F4</f>
        <v>440.29999999999995</v>
      </c>
      <c r="E12" s="1">
        <f>C5*$F$5</f>
        <v>0.6</v>
      </c>
      <c r="F12" s="1">
        <f>D5*$F$5</f>
        <v>0.6</v>
      </c>
      <c r="G12" s="1">
        <f>E5*$F$5</f>
        <v>0.6</v>
      </c>
    </row>
    <row r="13" spans="1:7" x14ac:dyDescent="0.25">
      <c r="A13" s="102" t="s">
        <v>99</v>
      </c>
      <c r="B13" s="1">
        <f>C6*$F6</f>
        <v>17</v>
      </c>
      <c r="C13" s="1">
        <f>D6*$F6</f>
        <v>17</v>
      </c>
      <c r="D13" s="1">
        <f>E6*$F6</f>
        <v>17</v>
      </c>
      <c r="E13" s="1">
        <f>C7*$F$7</f>
        <v>0</v>
      </c>
      <c r="F13" s="1">
        <f>D7*$F$7</f>
        <v>0</v>
      </c>
      <c r="G13" s="1">
        <f>E7*$F$7</f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03" t="s">
        <v>271</v>
      </c>
    </row>
    <row r="2" spans="1:10" ht="15.75" x14ac:dyDescent="0.25">
      <c r="A2" s="201" t="s">
        <v>25</v>
      </c>
    </row>
    <row r="3" spans="1:10" x14ac:dyDescent="0.25">
      <c r="A3" s="6" t="s">
        <v>301</v>
      </c>
    </row>
    <row r="4" spans="1:10" x14ac:dyDescent="0.25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321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25">
      <c r="A5" s="2" t="s">
        <v>220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forbrug'!$O$4:$O$1001,'Resultat-Produktion &amp; forbrug'!$A$4:$A$1001,Adfærd!$G5,'Resultat-Produktion &amp; forbrug'!$E$4:$E$1001,Adfærd!H$4)</f>
        <v>212954.7645341866</v>
      </c>
      <c r="I5" s="10">
        <f>SUMIFS('Resultat-Produktion &amp; forbrug'!$O$4:$O$1001,'Resultat-Produktion &amp; forbrug'!$A$4:$A$1001,Adfærd!$G5,'Resultat-Produktion &amp; forbrug'!$E$4:$E$1001,Adfærd!I$4)</f>
        <v>631461.05928391102</v>
      </c>
      <c r="J5" s="10">
        <f>SUMIFS('Resultat-Produktion &amp; forbrug'!$O$4:$O$1001,'Resultat-Produktion &amp; forbrug'!$A$4:$A$1001,Adfærd!$G5,'Resultat-Produktion &amp; forbrug'!$E$4:$E$1001,Adfærd!J$4)</f>
        <v>1185491.998086863</v>
      </c>
    </row>
    <row r="6" spans="1:10" x14ac:dyDescent="0.25">
      <c r="A6" s="2" t="s">
        <v>106</v>
      </c>
      <c r="B6" s="84">
        <v>0</v>
      </c>
      <c r="C6" s="3"/>
      <c r="D6" s="3"/>
      <c r="F6" s="24" t="str">
        <f>A6</f>
        <v>Muslinger</v>
      </c>
      <c r="G6" s="24" t="s">
        <v>106</v>
      </c>
      <c r="H6" s="10">
        <f>SUMIFS('Resultat-Produktion &amp; forbrug'!$O$4:$O$1001,'Resultat-Produktion &amp; forbrug'!$A$4:$A$1001,Adfærd!$G6,'Resultat-Produktion &amp; forbrug'!$E$4:$E$1001,Adfærd!H$4)</f>
        <v>880.09999999999991</v>
      </c>
      <c r="I6" s="10">
        <f>SUMIFS('Resultat-Produktion &amp; forbrug'!$O$4:$O$1001,'Resultat-Produktion &amp; forbrug'!$A$4:$A$1001,Adfærd!$G6,'Resultat-Produktion &amp; forbrug'!$E$4:$E$1001,Adfærd!I$4)</f>
        <v>880.09999999999991</v>
      </c>
      <c r="J6" s="10">
        <f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25">
      <c r="A7" s="2" t="s">
        <v>99</v>
      </c>
      <c r="B7" s="84">
        <v>0</v>
      </c>
      <c r="C7" s="3"/>
      <c r="D7" s="3"/>
      <c r="F7" s="24" t="str">
        <f>A7</f>
        <v>Tang</v>
      </c>
      <c r="G7" s="24" t="s">
        <v>99</v>
      </c>
      <c r="H7" s="10">
        <f>SUMIFS('Resultat-Produktion &amp; forbrug'!$O$4:$O$1001,'Resultat-Produktion &amp; forbrug'!$A$4:$A$1001,Adfærd!$G7,'Resultat-Produktion &amp; forbrug'!$E$4:$E$1001,Adfærd!H$4)</f>
        <v>76.5</v>
      </c>
      <c r="I7" s="10">
        <f>SUMIFS('Resultat-Produktion &amp; forbrug'!$O$4:$O$1001,'Resultat-Produktion &amp; forbrug'!$A$4:$A$1001,Adfærd!$G7,'Resultat-Produktion &amp; forbrug'!$E$4:$E$1001,Adfærd!I$4)</f>
        <v>382.5</v>
      </c>
      <c r="J7" s="10">
        <f>SUMIFS('Resultat-Produktion &amp; forbrug'!$O$4:$O$1001,'Resultat-Produktion &amp; forbrug'!$A$4:$A$1001,Adfærd!$G7,'Resultat-Produktion &amp; forbrug'!$E$4:$E$1001,Adfærd!J$4)</f>
        <v>382.5</v>
      </c>
    </row>
    <row r="8" spans="1:10" x14ac:dyDescent="0.25">
      <c r="A8" s="2" t="s">
        <v>206</v>
      </c>
      <c r="B8" s="84">
        <v>0</v>
      </c>
      <c r="C8" s="3"/>
      <c r="D8" s="3"/>
    </row>
    <row r="9" spans="1:10" x14ac:dyDescent="0.25">
      <c r="A9" s="1" t="s">
        <v>221</v>
      </c>
      <c r="B9" s="13"/>
      <c r="C9" s="13"/>
      <c r="D9" s="13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25">
      <c r="A12" s="1" t="s">
        <v>319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64" t="s">
        <v>320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B14" s="13"/>
      <c r="C14" s="13"/>
      <c r="D14" s="13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25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25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25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25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25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25">
      <c r="A22" s="2" t="s">
        <v>49</v>
      </c>
      <c r="B22" s="108">
        <f>SUM($B$20:$B$21,$B$27)*B5</f>
        <v>0</v>
      </c>
      <c r="C22" s="108">
        <f>SUM($B$20:$B$21,$B$27)*C5</f>
        <v>0</v>
      </c>
      <c r="D22" s="108">
        <f>SUM($B$20:$B$21,$B$27)*D5</f>
        <v>0</v>
      </c>
      <c r="F22" s="1" t="s">
        <v>205</v>
      </c>
    </row>
    <row r="23" spans="1:9" hidden="1" x14ac:dyDescent="0.25">
      <c r="A23" s="2" t="s">
        <v>106</v>
      </c>
      <c r="B23" s="108">
        <f>SUM($B$20:$B$21,$B$27)*B6</f>
        <v>0</v>
      </c>
      <c r="C23" s="108">
        <f t="shared" ref="C23:D25" si="0">SUM($B$20:$B$21,$B$27)*C6</f>
        <v>0</v>
      </c>
      <c r="D23" s="108">
        <f t="shared" si="0"/>
        <v>0</v>
      </c>
      <c r="F23" s="1" t="s">
        <v>207</v>
      </c>
    </row>
    <row r="24" spans="1:9" hidden="1" x14ac:dyDescent="0.25">
      <c r="A24" s="2" t="s">
        <v>99</v>
      </c>
      <c r="B24" s="108">
        <f>SUM($B$20:$B$21,$B$27)*B7</f>
        <v>0</v>
      </c>
      <c r="C24" s="108">
        <f t="shared" si="0"/>
        <v>0</v>
      </c>
      <c r="D24" s="108">
        <f t="shared" si="0"/>
        <v>0</v>
      </c>
    </row>
    <row r="25" spans="1:9" hidden="1" x14ac:dyDescent="0.25">
      <c r="A25" s="2" t="s">
        <v>206</v>
      </c>
      <c r="B25" s="108">
        <f>SUM($B$20:$B$21,$B$27)*B8</f>
        <v>0</v>
      </c>
      <c r="C25" s="108">
        <f t="shared" si="0"/>
        <v>0</v>
      </c>
      <c r="D25" s="108">
        <f t="shared" si="0"/>
        <v>0</v>
      </c>
    </row>
    <row r="26" spans="1:9" hidden="1" x14ac:dyDescent="0.25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313</v>
      </c>
    </row>
    <row r="27" spans="1:9" hidden="1" x14ac:dyDescent="0.25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25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25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25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25">
      <c r="A31" s="286" t="s">
        <v>30</v>
      </c>
      <c r="B31" s="285">
        <f>SUM(B17:B30)</f>
        <v>1267</v>
      </c>
      <c r="C31" s="285">
        <f>SUM(C17:C30)</f>
        <v>1267</v>
      </c>
      <c r="D31" s="285">
        <f>SUM(D17:D30)</f>
        <v>1267</v>
      </c>
    </row>
    <row r="32" spans="1:9" hidden="1" x14ac:dyDescent="0.25">
      <c r="A32" s="4" t="s">
        <v>18</v>
      </c>
      <c r="B32" s="97">
        <v>134</v>
      </c>
      <c r="C32" s="13"/>
    </row>
    <row r="33" spans="1:4" hidden="1" x14ac:dyDescent="0.25">
      <c r="A33" s="4" t="s">
        <v>20</v>
      </c>
      <c r="B33" s="99">
        <v>0.33</v>
      </c>
      <c r="C33" s="13" t="s">
        <v>152</v>
      </c>
    </row>
    <row r="34" spans="1:4" hidden="1" x14ac:dyDescent="0.25">
      <c r="A34" s="5" t="s">
        <v>21</v>
      </c>
      <c r="B34" s="110">
        <v>0.67</v>
      </c>
      <c r="C34" s="13"/>
    </row>
    <row r="36" spans="1:4" x14ac:dyDescent="0.25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26" sqref="D26:E26"/>
    </sheetView>
  </sheetViews>
  <sheetFormatPr defaultColWidth="9.140625" defaultRowHeight="12" x14ac:dyDescent="0.2"/>
  <cols>
    <col min="1" max="1" width="15.85546875" style="114" customWidth="1"/>
    <col min="2" max="2" width="10.140625" style="114" bestFit="1" customWidth="1"/>
    <col min="3" max="3" width="10.140625" style="114" customWidth="1"/>
    <col min="4" max="4" width="11.85546875" style="114" bestFit="1" customWidth="1"/>
    <col min="5" max="5" width="11" style="114" customWidth="1"/>
    <col min="6" max="6" width="13.42578125" style="114" customWidth="1"/>
    <col min="7" max="7" width="24.28515625" style="114" customWidth="1"/>
    <col min="8" max="8" width="10" style="114" hidden="1" customWidth="1"/>
    <col min="9" max="12" width="9.28515625" style="114" hidden="1" customWidth="1"/>
    <col min="13" max="13" width="24.28515625" style="114" hidden="1" customWidth="1"/>
    <col min="14" max="14" width="12.7109375" style="114" hidden="1" customWidth="1"/>
    <col min="15" max="15" width="9.28515625" style="114" hidden="1" customWidth="1"/>
    <col min="16" max="16" width="9.85546875" style="114" hidden="1" customWidth="1"/>
    <col min="17" max="22" width="0" style="114" hidden="1" customWidth="1"/>
    <col min="23" max="23" width="2.5703125" style="114" hidden="1" customWidth="1"/>
    <col min="24" max="16384" width="9.140625" style="114"/>
  </cols>
  <sheetData>
    <row r="1" spans="1:29" ht="12.75" thickBot="1" x14ac:dyDescent="0.25">
      <c r="A1" s="202" t="s">
        <v>271</v>
      </c>
    </row>
    <row r="2" spans="1:29" ht="46.5" customHeight="1" x14ac:dyDescent="0.2">
      <c r="A2" s="206" t="s">
        <v>138</v>
      </c>
      <c r="B2" s="206">
        <f>År1</f>
        <v>2019</v>
      </c>
      <c r="C2" s="206">
        <f>År2</f>
        <v>2030</v>
      </c>
      <c r="D2" s="206">
        <f>År3</f>
        <v>2050</v>
      </c>
      <c r="E2" s="113"/>
      <c r="F2" s="448" t="s">
        <v>324</v>
      </c>
      <c r="G2" s="449"/>
      <c r="M2" s="113"/>
      <c r="Z2" s="318" t="s">
        <v>150</v>
      </c>
      <c r="AA2" s="206">
        <f>År1</f>
        <v>2019</v>
      </c>
      <c r="AB2" s="206">
        <f>År2</f>
        <v>2030</v>
      </c>
      <c r="AC2" s="206">
        <f>År3</f>
        <v>2050</v>
      </c>
    </row>
    <row r="3" spans="1:29" x14ac:dyDescent="0.2">
      <c r="A3" s="161" t="s">
        <v>135</v>
      </c>
      <c r="B3" s="207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2"/>
      <c r="Z3" s="161" t="s">
        <v>110</v>
      </c>
      <c r="AA3" s="207">
        <f>SUM(C12:C14)/SUM(C12:C15)</f>
        <v>0.73155031690147754</v>
      </c>
      <c r="AB3" s="207">
        <f>SUM(D12:D14)/SUM(D12:D15)</f>
        <v>0.85969380695531517</v>
      </c>
      <c r="AC3" s="207">
        <f>SUM(E12:E14)/SUM(E12:E15)</f>
        <v>0.19034243007791246</v>
      </c>
    </row>
    <row r="4" spans="1:29" x14ac:dyDescent="0.2">
      <c r="A4" s="161" t="s">
        <v>136</v>
      </c>
      <c r="B4" s="207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2"/>
      <c r="Z4" s="206" t="s">
        <v>202</v>
      </c>
      <c r="AA4" s="161"/>
      <c r="AB4" s="161"/>
      <c r="AC4" s="161"/>
    </row>
    <row r="5" spans="1:29" x14ac:dyDescent="0.2">
      <c r="A5" s="161" t="s">
        <v>137</v>
      </c>
      <c r="B5" s="207">
        <v>0.5</v>
      </c>
      <c r="C5" s="162">
        <v>0.75</v>
      </c>
      <c r="D5" s="162">
        <v>0.9</v>
      </c>
      <c r="E5" s="134"/>
      <c r="F5" s="155"/>
      <c r="G5" s="156"/>
      <c r="N5" s="222"/>
      <c r="Z5" s="161" t="s">
        <v>135</v>
      </c>
      <c r="AA5" s="319">
        <f t="shared" ref="AA5:AC6" si="0">C12/C$29</f>
        <v>0.22267199142680771</v>
      </c>
      <c r="AB5" s="319">
        <f t="shared" si="0"/>
        <v>0.33437419664806878</v>
      </c>
      <c r="AC5" s="319">
        <f t="shared" si="0"/>
        <v>0</v>
      </c>
    </row>
    <row r="6" spans="1:29" x14ac:dyDescent="0.2">
      <c r="A6" s="161" t="s">
        <v>140</v>
      </c>
      <c r="B6" s="207">
        <f>N15/SUMIFS('Resultater - Danmark'!H$3:H$504,'Resultater - Danmark'!$F$3:$F$504,$A6)</f>
        <v>0.37924884410556858</v>
      </c>
      <c r="C6" s="162">
        <f>B6</f>
        <v>0.37924884410556858</v>
      </c>
      <c r="D6" s="162">
        <f>C6</f>
        <v>0.37924884410556858</v>
      </c>
      <c r="E6" s="134"/>
      <c r="F6" s="155"/>
      <c r="G6" s="156"/>
      <c r="Z6" s="161" t="s">
        <v>136</v>
      </c>
      <c r="AA6" s="319">
        <f t="shared" si="0"/>
        <v>0.33257225498473725</v>
      </c>
      <c r="AB6" s="319">
        <f t="shared" si="0"/>
        <v>0.28992415143181915</v>
      </c>
      <c r="AC6" s="319">
        <f t="shared" si="0"/>
        <v>9.3473352100571436E-2</v>
      </c>
    </row>
    <row r="7" spans="1:29" x14ac:dyDescent="0.2">
      <c r="A7" s="161" t="s">
        <v>101</v>
      </c>
      <c r="B7" s="207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.75" thickBot="1" x14ac:dyDescent="0.25">
      <c r="A8" s="161" t="s">
        <v>208</v>
      </c>
      <c r="B8" s="207">
        <v>0</v>
      </c>
      <c r="C8" s="162">
        <v>0.75</v>
      </c>
      <c r="D8" s="162">
        <v>0.9</v>
      </c>
      <c r="F8" s="158"/>
      <c r="G8" s="159"/>
      <c r="I8" s="141"/>
    </row>
    <row r="10" spans="1:29" ht="23.45" customHeight="1" x14ac:dyDescent="0.2">
      <c r="B10" s="115"/>
      <c r="C10" s="446" t="s">
        <v>210</v>
      </c>
      <c r="D10" s="446"/>
      <c r="E10" s="446"/>
      <c r="F10" s="445" t="s">
        <v>325</v>
      </c>
      <c r="G10" s="445"/>
      <c r="J10" s="447" t="s">
        <v>211</v>
      </c>
      <c r="K10" s="447"/>
      <c r="L10" s="447"/>
    </row>
    <row r="11" spans="1:29" x14ac:dyDescent="0.2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214</v>
      </c>
    </row>
    <row r="12" spans="1:29" x14ac:dyDescent="0.2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9013613.7096774187</v>
      </c>
      <c r="E12" s="118">
        <f>SUMIFS('Resultater - Danmark'!J$3:J$504,'Resultater - Danmark'!$F$3:$F$504,$A12)*D3</f>
        <v>0</v>
      </c>
      <c r="F12" s="215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3004537.9032258056</v>
      </c>
      <c r="G12" s="215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0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0.33437419664806878</v>
      </c>
      <c r="L12" s="119">
        <f t="shared" ref="L12:L28" si="3">E12/E$29</f>
        <v>0</v>
      </c>
      <c r="M12" s="114" t="s">
        <v>212</v>
      </c>
      <c r="N12" s="114">
        <f>S12+2/3*T12</f>
        <v>2914869.3333333335</v>
      </c>
      <c r="O12" s="136">
        <f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2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7815388.6642841538</v>
      </c>
      <c r="E13" s="121">
        <f>SUMIFS('Resultater - Danmark'!J$3:J$504,'Resultater - Danmark'!$F$3:$F$504,$A13)*D4</f>
        <v>662677.13341306173</v>
      </c>
      <c r="F13" s="216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2605129.5547613855</v>
      </c>
      <c r="G13" s="216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73630.792601451278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0.28992415143181915</v>
      </c>
      <c r="L13" s="122">
        <f t="shared" si="3"/>
        <v>9.3473352100571436E-2</v>
      </c>
      <c r="M13" s="114" t="s">
        <v>213</v>
      </c>
      <c r="N13" s="114">
        <f>S13+1/3*T13</f>
        <v>4353509.666666667</v>
      </c>
      <c r="O13" s="136">
        <f>N13-C13</f>
        <v>0</v>
      </c>
      <c r="P13" s="115">
        <f t="shared" ref="P13:P28" si="4">C13*I13</f>
        <v>61384486.300000004</v>
      </c>
      <c r="Q13" s="114">
        <f t="shared" ref="Q13:Q28" si="5">P13*35.9/1000000000</f>
        <v>2.2037030581699999</v>
      </c>
      <c r="S13" s="114">
        <v>4154642</v>
      </c>
      <c r="T13" s="114">
        <v>596603</v>
      </c>
    </row>
    <row r="14" spans="1:29" x14ac:dyDescent="0.2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5243.8354838709674</v>
      </c>
      <c r="E14" s="121">
        <f>SUMIFS('Resultater - Danmark'!J$3:J$504,'Resultater - Danmark'!$F$3:$F$504,$A14)*D5</f>
        <v>5480.9700138047256</v>
      </c>
      <c r="F14" s="216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1747.9451612903222</v>
      </c>
      <c r="G14" s="216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608.99666820052425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1.9452833610913008E-4</v>
      </c>
      <c r="L14" s="122">
        <f t="shared" si="3"/>
        <v>7.7311350297294679E-4</v>
      </c>
      <c r="M14" s="114" t="s">
        <v>145</v>
      </c>
      <c r="N14" s="115">
        <v>11417</v>
      </c>
      <c r="O14" s="136">
        <f>N14-C14</f>
        <v>6975.5</v>
      </c>
      <c r="P14" s="115">
        <f t="shared" si="4"/>
        <v>58183.65</v>
      </c>
      <c r="Q14" s="114">
        <f t="shared" si="5"/>
        <v>2.0887930350000001E-3</v>
      </c>
    </row>
    <row r="15" spans="1:29" x14ac:dyDescent="0.2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2747430.5145796789</v>
      </c>
      <c r="E15" s="121">
        <f>SUMIFS('Resultater - Danmark'!J$3:J$504,'Resultater - Danmark'!$F$3:$F$504,$A15)*D6</f>
        <v>2842137.0165491197</v>
      </c>
      <c r="F15" s="216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4496969.982036991</v>
      </c>
      <c r="G15" s="216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4651984.7473605312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0.10192026203348888</v>
      </c>
      <c r="L15" s="122">
        <f t="shared" si="3"/>
        <v>0.40089518812529934</v>
      </c>
      <c r="M15" s="124" t="s">
        <v>291</v>
      </c>
      <c r="N15" s="125">
        <f>SUM(S15:Z15)</f>
        <v>2668834</v>
      </c>
      <c r="O15" s="136">
        <f>N15-C15</f>
        <v>0</v>
      </c>
      <c r="P15" s="115">
        <f>C15*I15</f>
        <v>37096792.600000001</v>
      </c>
      <c r="Q15" s="114">
        <f t="shared" si="5"/>
        <v>1.3317748543399999</v>
      </c>
      <c r="S15" s="149">
        <v>2666649</v>
      </c>
      <c r="T15" s="114">
        <v>2185</v>
      </c>
      <c r="U15" s="149" t="s">
        <v>293</v>
      </c>
    </row>
    <row r="16" spans="1:29" x14ac:dyDescent="0.2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1507536.4731646522</v>
      </c>
      <c r="E16" s="121">
        <f>SUMIFS('Resultater - Danmark'!J$3:J$504,'Resultater - Danmark'!$F$3:$F$504,$A16)*D7</f>
        <v>591894.98801768466</v>
      </c>
      <c r="F16" s="216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502512.1577215509</v>
      </c>
      <c r="G16" s="216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65766.109779742779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5.5924439782779826E-2</v>
      </c>
      <c r="L16" s="122">
        <f t="shared" si="3"/>
        <v>8.3489237566696503E-2</v>
      </c>
      <c r="M16" s="220" t="s">
        <v>156</v>
      </c>
      <c r="N16" s="221">
        <v>757087</v>
      </c>
      <c r="O16" s="136">
        <f>N16-C16</f>
        <v>0</v>
      </c>
      <c r="P16" s="115">
        <f t="shared" si="4"/>
        <v>45425220</v>
      </c>
      <c r="Q16" s="114">
        <f t="shared" si="5"/>
        <v>1.6307653980000001</v>
      </c>
    </row>
    <row r="17" spans="1:23" x14ac:dyDescent="0.2">
      <c r="A17" s="114" t="s">
        <v>208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5867453.3160588881</v>
      </c>
      <c r="E17" s="121">
        <f>SUMIFS('Resultater - Danmark'!J$3:J$504,'Resultater - Danmark'!$F$3:$F$504,$A17)*D8</f>
        <v>2987286.3954279986</v>
      </c>
      <c r="F17" s="216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1955817.7720196294</v>
      </c>
      <c r="G17" s="216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331920.71060311096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0.21766242176773423</v>
      </c>
      <c r="L17" s="122">
        <f t="shared" si="3"/>
        <v>0.42136910870445971</v>
      </c>
      <c r="M17" s="114" t="s">
        <v>149</v>
      </c>
      <c r="N17" s="115"/>
      <c r="O17" s="136"/>
      <c r="P17" s="115">
        <f t="shared" si="4"/>
        <v>0</v>
      </c>
      <c r="Q17" s="114">
        <f t="shared" si="5"/>
        <v>0</v>
      </c>
    </row>
    <row r="18" spans="1:23" x14ac:dyDescent="0.2">
      <c r="A18" s="114" t="s">
        <v>102</v>
      </c>
      <c r="B18" s="114" t="s">
        <v>139</v>
      </c>
      <c r="C18" s="223">
        <f>N18</f>
        <v>729134</v>
      </c>
      <c r="D18" s="224"/>
      <c r="E18" s="224"/>
      <c r="F18" s="216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6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289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2">
      <c r="A19" s="114" t="s">
        <v>103</v>
      </c>
      <c r="B19" s="114" t="s">
        <v>139</v>
      </c>
      <c r="C19" s="223">
        <f>N19</f>
        <v>995654</v>
      </c>
      <c r="D19" s="224"/>
      <c r="E19" s="224"/>
      <c r="F19" s="216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612258.98454027576</v>
      </c>
      <c r="G19" s="216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386055.55758656352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290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2">
      <c r="A20" s="114" t="s">
        <v>67</v>
      </c>
      <c r="B20" s="114" t="s">
        <v>139</v>
      </c>
      <c r="C20" s="223">
        <f>N20</f>
        <v>75934</v>
      </c>
      <c r="D20" s="224"/>
      <c r="E20" s="224"/>
      <c r="F20" s="216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1764218.4658457274</v>
      </c>
      <c r="G20" s="216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862711.9262006575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6">N20-C20</f>
        <v>0</v>
      </c>
      <c r="P20" s="115">
        <f t="shared" si="4"/>
        <v>12195000.4</v>
      </c>
      <c r="Q20" s="114">
        <f t="shared" si="5"/>
        <v>0.43780051436</v>
      </c>
    </row>
    <row r="21" spans="1:23" x14ac:dyDescent="0.2">
      <c r="A21" s="114" t="s">
        <v>48</v>
      </c>
      <c r="B21" s="114" t="s">
        <v>139</v>
      </c>
      <c r="C21" s="223">
        <f t="shared" ref="C21:C28" si="7">N21</f>
        <v>3786</v>
      </c>
      <c r="D21" s="224"/>
      <c r="E21" s="224"/>
      <c r="F21" s="216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2547468.9704033234</v>
      </c>
      <c r="G21" s="216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-15948.64244982542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6"/>
        <v>0</v>
      </c>
      <c r="P21" s="115">
        <f t="shared" si="4"/>
        <v>361184.4</v>
      </c>
      <c r="Q21" s="114">
        <f t="shared" si="5"/>
        <v>1.2966519960000001E-2</v>
      </c>
    </row>
    <row r="22" spans="1:23" x14ac:dyDescent="0.2">
      <c r="A22" s="114" t="s">
        <v>51</v>
      </c>
      <c r="B22" s="114" t="s">
        <v>139</v>
      </c>
      <c r="C22" s="223">
        <f t="shared" si="7"/>
        <v>85677</v>
      </c>
      <c r="D22" s="224"/>
      <c r="E22" s="224"/>
      <c r="F22" s="216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-2099837.9038328733</v>
      </c>
      <c r="G22" s="216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25628541.750816096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292</v>
      </c>
      <c r="N22" s="148">
        <f>SUM(S22:Z22)</f>
        <v>85677</v>
      </c>
      <c r="O22" s="136">
        <f t="shared" si="6"/>
        <v>0</v>
      </c>
      <c r="P22" s="115">
        <f t="shared" si="4"/>
        <v>4390946.25</v>
      </c>
      <c r="Q22" s="114">
        <f t="shared" si="5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2">
      <c r="A23" s="114" t="s">
        <v>53</v>
      </c>
      <c r="B23" s="114" t="s">
        <v>139</v>
      </c>
      <c r="C23" s="223">
        <f t="shared" si="7"/>
        <v>330026</v>
      </c>
      <c r="D23" s="224"/>
      <c r="E23" s="224"/>
      <c r="F23" s="216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2238037.5658944617</v>
      </c>
      <c r="G23" s="216" t="e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#DIV/0!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6"/>
        <v>0</v>
      </c>
      <c r="P23" s="115">
        <f t="shared" si="4"/>
        <v>33002600</v>
      </c>
      <c r="Q23" s="114">
        <f t="shared" si="5"/>
        <v>1.1847933399999999</v>
      </c>
    </row>
    <row r="24" spans="1:23" x14ac:dyDescent="0.2">
      <c r="A24" s="114" t="s">
        <v>52</v>
      </c>
      <c r="B24" s="114" t="s">
        <v>139</v>
      </c>
      <c r="C24" s="223">
        <f t="shared" si="7"/>
        <v>28645</v>
      </c>
      <c r="D24" s="224"/>
      <c r="E24" s="224"/>
      <c r="F24" s="216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1837304.5406875089</v>
      </c>
      <c r="G24" s="216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1387245.8090624576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6"/>
        <v>0</v>
      </c>
      <c r="P24" s="115">
        <f t="shared" si="4"/>
        <v>2165562</v>
      </c>
      <c r="Q24" s="114">
        <f t="shared" si="5"/>
        <v>7.7743675799999995E-2</v>
      </c>
    </row>
    <row r="25" spans="1:23" x14ac:dyDescent="0.2">
      <c r="A25" s="114" t="s">
        <v>162</v>
      </c>
      <c r="B25" s="114" t="s">
        <v>139</v>
      </c>
      <c r="C25" s="223">
        <f t="shared" si="7"/>
        <v>78</v>
      </c>
      <c r="D25" s="224"/>
      <c r="E25" s="224"/>
      <c r="F25" s="216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982809</v>
      </c>
      <c r="G25" s="216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982809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0</v>
      </c>
      <c r="L25" s="122">
        <f t="shared" si="3"/>
        <v>0</v>
      </c>
      <c r="M25" s="114" t="s">
        <v>163</v>
      </c>
      <c r="N25" s="115">
        <v>78</v>
      </c>
      <c r="O25" s="136">
        <f t="shared" si="6"/>
        <v>0</v>
      </c>
      <c r="P25" s="115">
        <f t="shared" si="4"/>
        <v>3689.3999999999996</v>
      </c>
      <c r="Q25" s="114">
        <f t="shared" si="5"/>
        <v>1.3244945999999998E-4</v>
      </c>
    </row>
    <row r="26" spans="1:23" x14ac:dyDescent="0.2">
      <c r="A26" s="114" t="s">
        <v>158</v>
      </c>
      <c r="B26" s="114" t="s">
        <v>139</v>
      </c>
      <c r="C26" s="223">
        <f t="shared" si="7"/>
        <v>142742</v>
      </c>
      <c r="D26" s="224"/>
      <c r="E26" s="224"/>
      <c r="F26" s="216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0</v>
      </c>
      <c r="G26" s="216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0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0</v>
      </c>
      <c r="L26" s="122">
        <f t="shared" si="3"/>
        <v>0</v>
      </c>
      <c r="M26" s="114" t="s">
        <v>161</v>
      </c>
      <c r="N26" s="114">
        <v>142742</v>
      </c>
      <c r="O26" s="136">
        <f t="shared" si="6"/>
        <v>0</v>
      </c>
      <c r="P26" s="115">
        <f t="shared" si="4"/>
        <v>60431253.120000005</v>
      </c>
      <c r="Q26" s="114">
        <f t="shared" si="5"/>
        <v>2.169481987008</v>
      </c>
    </row>
    <row r="27" spans="1:23" x14ac:dyDescent="0.2">
      <c r="A27" s="114" t="s">
        <v>106</v>
      </c>
      <c r="B27" s="114" t="s">
        <v>139</v>
      </c>
      <c r="C27" s="223">
        <f t="shared" si="7"/>
        <v>0</v>
      </c>
      <c r="D27" s="224"/>
      <c r="E27" s="224"/>
      <c r="F27" s="216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6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6"/>
        <v>0</v>
      </c>
      <c r="P27" s="115">
        <f t="shared" si="4"/>
        <v>0</v>
      </c>
      <c r="Q27" s="114">
        <f t="shared" si="5"/>
        <v>0</v>
      </c>
    </row>
    <row r="28" spans="1:23" ht="12.75" thickBot="1" x14ac:dyDescent="0.25">
      <c r="A28" s="126" t="s">
        <v>99</v>
      </c>
      <c r="B28" s="126" t="s">
        <v>139</v>
      </c>
      <c r="C28" s="225">
        <f t="shared" si="7"/>
        <v>0</v>
      </c>
      <c r="D28" s="226"/>
      <c r="E28" s="226"/>
      <c r="F28" s="217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382.5</v>
      </c>
      <c r="G28" s="217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382.5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6"/>
        <v>0</v>
      </c>
      <c r="P28" s="115">
        <f t="shared" si="4"/>
        <v>0</v>
      </c>
      <c r="Q28" s="114">
        <f t="shared" si="5"/>
        <v>0</v>
      </c>
    </row>
    <row r="29" spans="1:23" x14ac:dyDescent="0.2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26956666.513248663</v>
      </c>
      <c r="E29" s="129">
        <f>SUM(E12:E28)</f>
        <v>7089476.5034216698</v>
      </c>
      <c r="F29" s="129"/>
      <c r="G29" s="129"/>
      <c r="H29" s="130"/>
      <c r="I29" s="130"/>
      <c r="J29" s="131">
        <f>SUM(J12:J28)</f>
        <v>1</v>
      </c>
      <c r="K29" s="131">
        <f>SUM(K12:K28)</f>
        <v>1</v>
      </c>
      <c r="L29" s="131">
        <f>SUM(L12:L28)</f>
        <v>1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2">
      <c r="A30" s="132" t="s">
        <v>123</v>
      </c>
      <c r="C30" s="133">
        <f>SUMPRODUCT(C12:C28,$H$12:$H$28)/C29</f>
        <v>0.13822427556900557</v>
      </c>
      <c r="D30" s="133">
        <f>SUMPRODUCT(D12:D28,$H$12:$H$28)/D29</f>
        <v>7.0965730782209149E-2</v>
      </c>
      <c r="E30" s="133">
        <f>SUMPRODUCT(E12:E28,$H$12:$H$28)/E29</f>
        <v>7.4272333968554524E-2</v>
      </c>
      <c r="F30" s="142"/>
      <c r="G30" s="142"/>
    </row>
    <row r="31" spans="1:23" x14ac:dyDescent="0.2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2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439908018.12018299</v>
      </c>
      <c r="E32" s="114">
        <f>SUMPRODUCT(E12:E28,$I$12:$I$28)</f>
        <v>131701151.87345949</v>
      </c>
    </row>
    <row r="33" spans="1:15" x14ac:dyDescent="0.2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15.792697850514571</v>
      </c>
      <c r="E33" s="114">
        <f>E32*[1]Energiindhold!$C$10</f>
        <v>4.7280713522571958</v>
      </c>
    </row>
    <row r="34" spans="1:15" x14ac:dyDescent="0.2">
      <c r="C34" s="227"/>
    </row>
    <row r="35" spans="1:15" x14ac:dyDescent="0.2">
      <c r="A35" s="161"/>
      <c r="B35" s="161" t="s">
        <v>27</v>
      </c>
      <c r="C35" s="161" t="s">
        <v>28</v>
      </c>
    </row>
    <row r="36" spans="1:15" x14ac:dyDescent="0.2">
      <c r="A36" s="161" t="s">
        <v>158</v>
      </c>
      <c r="B36" s="162">
        <v>0.8</v>
      </c>
      <c r="C36" s="162">
        <v>0.2</v>
      </c>
    </row>
    <row r="38" spans="1:15" hidden="1" x14ac:dyDescent="0.2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2">
      <c r="A39" s="117" t="str">
        <f t="shared" ref="A39:A55" si="8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7872859.1335150246</v>
      </c>
      <c r="E39" s="118">
        <f>SUMIFS('Resultater - Vestdanmark'!J$3:J$504,'Resultater - Vestdanmark'!$F$3:$F$504,$A39)*D3</f>
        <v>0</v>
      </c>
      <c r="F39" s="119">
        <f>VLOOKUP(A39,[1]Biogasudbytte!$A$2:$C$18,3,FALSE)</f>
        <v>0.05</v>
      </c>
      <c r="G39" s="120">
        <f t="shared" ref="G39:G55" si="9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1140754.5761623941</v>
      </c>
      <c r="M39" s="118">
        <f>SUMIFS('Resultater - Østdanmark'!J$3:J$504,'Resultater - Østdanmark'!$F$3:$F$504,$A39)*D3</f>
        <v>0</v>
      </c>
      <c r="N39" s="119">
        <f>VLOOKUP(I39,[1]Biogasudbytte!$A$2:$C$18,3,FALSE)</f>
        <v>0.05</v>
      </c>
      <c r="O39" s="120">
        <f t="shared" ref="O39:O55" si="10">I12</f>
        <v>12</v>
      </c>
    </row>
    <row r="40" spans="1:15" hidden="1" x14ac:dyDescent="0.2">
      <c r="A40" s="114" t="str">
        <f t="shared" si="8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7296777.4333819924</v>
      </c>
      <c r="E40" s="121">
        <f>SUMIFS('Resultater - Vestdanmark'!J$3:J$504,'Resultater - Vestdanmark'!$F$3:$F$504,$A40)*D4</f>
        <v>618703.40176480426</v>
      </c>
      <c r="F40" s="122">
        <f>VLOOKUP(A40,[1]Biogasudbytte!$A$2:$C$18,3,FALSE)</f>
        <v>7.5999999999999998E-2</v>
      </c>
      <c r="G40" s="123">
        <f t="shared" si="9"/>
        <v>14.1</v>
      </c>
      <c r="I40" s="114" t="str">
        <f t="shared" ref="I40:I55" si="11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518611.23090216261</v>
      </c>
      <c r="M40" s="121">
        <f>SUMIFS('Resultater - Østdanmark'!J$3:J$504,'Resultater - Østdanmark'!$F$3:$F$504,$A40)*D4</f>
        <v>43973.731648257439</v>
      </c>
      <c r="N40" s="122">
        <f>VLOOKUP(I40,[1]Biogasudbytte!$A$2:$C$18,3,FALSE)</f>
        <v>7.5999999999999998E-2</v>
      </c>
      <c r="O40" s="123">
        <f t="shared" si="10"/>
        <v>14.1</v>
      </c>
    </row>
    <row r="41" spans="1:15" hidden="1" x14ac:dyDescent="0.2">
      <c r="A41" s="114" t="str">
        <f t="shared" si="8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4837.8006601561638</v>
      </c>
      <c r="E41" s="121">
        <f>SUMIFS('Resultater - Vestdanmark'!J$3:J$504,'Resultater - Vestdanmark'!$F$3:$F$504,$A41)*D5</f>
        <v>5056.5736535095893</v>
      </c>
      <c r="F41" s="122">
        <f>VLOOKUP(A41,[1]Biogasudbytte!$A$2:$C$18,3,FALSE)</f>
        <v>6.3E-2</v>
      </c>
      <c r="G41" s="123">
        <f t="shared" si="9"/>
        <v>13.1</v>
      </c>
      <c r="I41" s="114" t="str">
        <f t="shared" si="11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406.03482371480391</v>
      </c>
      <c r="M41" s="121">
        <f>SUMIFS('Resultater - Østdanmark'!J$3:J$504,'Resultater - Østdanmark'!$F$3:$F$504,$A41)*D5</f>
        <v>424.39636029513713</v>
      </c>
      <c r="N41" s="122">
        <f>VLOOKUP(I41,[1]Biogasudbytte!$A$2:$C$18,3,FALSE)</f>
        <v>6.3E-2</v>
      </c>
      <c r="O41" s="123">
        <f t="shared" si="10"/>
        <v>13.1</v>
      </c>
    </row>
    <row r="42" spans="1:15" hidden="1" x14ac:dyDescent="0.2">
      <c r="A42" s="114" t="str">
        <f t="shared" si="8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1481053.1985566379</v>
      </c>
      <c r="E42" s="121">
        <f>SUMIFS('Resultater - Vestdanmark'!J$3:J$504,'Resultater - Vestdanmark'!$F$3:$F$504,$A42)*D6</f>
        <v>1517880.3720548805</v>
      </c>
      <c r="F42" s="122">
        <f>VLOOKUP(A42,[1]Biogasudbytte!$A$2:$C$18,3,FALSE)</f>
        <v>0.06</v>
      </c>
      <c r="G42" s="123">
        <f t="shared" si="9"/>
        <v>13.9</v>
      </c>
      <c r="I42" s="114" t="str">
        <f t="shared" si="11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1266377.3160230415</v>
      </c>
      <c r="M42" s="121">
        <f>SUMIFS('Resultater - Østdanmark'!J$3:J$504,'Resultater - Østdanmark'!$F$3:$F$504,$A42)*D6</f>
        <v>1324256.6444942397</v>
      </c>
      <c r="N42" s="122">
        <f>VLOOKUP(I42,[1]Biogasudbytte!$A$2:$C$18,3,FALSE)</f>
        <v>0.06</v>
      </c>
      <c r="O42" s="123">
        <f t="shared" si="10"/>
        <v>13.9</v>
      </c>
    </row>
    <row r="43" spans="1:15" hidden="1" x14ac:dyDescent="0.2">
      <c r="A43" s="114" t="str">
        <f t="shared" si="8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1329182.5428542641</v>
      </c>
      <c r="E43" s="121">
        <f>SUMIFS('Resultater - Vestdanmark'!J$3:J$504,'Resultater - Vestdanmark'!$F$3:$F$504,$A43)*D7</f>
        <v>518251.34982790216</v>
      </c>
      <c r="F43" s="122">
        <f>VLOOKUP(A43,[1]Biogasudbytte!$A$2:$C$18,3,FALSE)</f>
        <v>0.3</v>
      </c>
      <c r="G43" s="123">
        <f t="shared" si="9"/>
        <v>60</v>
      </c>
      <c r="I43" s="114" t="str">
        <f t="shared" si="11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178353.93031038792</v>
      </c>
      <c r="M43" s="121">
        <f>SUMIFS('Resultater - Østdanmark'!J$3:J$504,'Resultater - Østdanmark'!$F$3:$F$504,$A43)*D7</f>
        <v>73643.638189782447</v>
      </c>
      <c r="N43" s="122">
        <f>VLOOKUP(I43,[1]Biogasudbytte!$A$2:$C$18,3,FALSE)</f>
        <v>0.3</v>
      </c>
      <c r="O43" s="123">
        <f t="shared" si="10"/>
        <v>60</v>
      </c>
    </row>
    <row r="44" spans="1:15" hidden="1" x14ac:dyDescent="0.2">
      <c r="A44" s="114" t="str">
        <f t="shared" si="8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5232604.2218734501</v>
      </c>
      <c r="E44" s="121">
        <f>SUMIFS('Resultater - Vestdanmark'!J$3:J$504,'Resultater - Vestdanmark'!$F$3:$F$504,$A44)*D8</f>
        <v>2664517.9279377516</v>
      </c>
      <c r="F44" s="122">
        <f>VLOOKUP(A44,[1]Biogasudbytte!$A$2:$C$18,3,FALSE)</f>
        <v>4.2763387558472386E-2</v>
      </c>
      <c r="G44" s="123">
        <f t="shared" si="9"/>
        <v>15.822453396634783</v>
      </c>
      <c r="I44" s="114" t="str">
        <f t="shared" si="11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634849.09418543812</v>
      </c>
      <c r="M44" s="121">
        <f>SUMIFS('Resultater - Østdanmark'!J$3:J$504,'Resultater - Østdanmark'!$F$3:$F$504,$A44)*D8</f>
        <v>322768.46749024681</v>
      </c>
      <c r="N44" s="122">
        <f>VLOOKUP(I44,[1]Biogasudbytte!$A$2:$C$18,3,FALSE)</f>
        <v>4.2763387558472386E-2</v>
      </c>
      <c r="O44" s="123">
        <f t="shared" si="10"/>
        <v>15.822453396634783</v>
      </c>
    </row>
    <row r="45" spans="1:15" hidden="1" x14ac:dyDescent="0.2">
      <c r="A45" s="114" t="str">
        <f t="shared" si="8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9"/>
        <v>94.9</v>
      </c>
      <c r="I45" s="114" t="str">
        <f t="shared" si="11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0"/>
        <v>94.9</v>
      </c>
    </row>
    <row r="46" spans="1:15" hidden="1" x14ac:dyDescent="0.2">
      <c r="A46" s="114" t="str">
        <f t="shared" si="8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9"/>
        <v>102.595</v>
      </c>
      <c r="I46" s="114" t="str">
        <f t="shared" si="11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0"/>
        <v>102.595</v>
      </c>
    </row>
    <row r="47" spans="1:15" hidden="1" x14ac:dyDescent="0.2">
      <c r="A47" s="114" t="str">
        <f t="shared" si="8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9"/>
        <v>160.6</v>
      </c>
      <c r="I47" s="114" t="str">
        <f t="shared" si="11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0"/>
        <v>160.6</v>
      </c>
    </row>
    <row r="48" spans="1:15" hidden="1" x14ac:dyDescent="0.2">
      <c r="A48" s="114" t="str">
        <f t="shared" si="8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9"/>
        <v>95.4</v>
      </c>
      <c r="I48" s="114" t="str">
        <f t="shared" si="11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0"/>
        <v>95.4</v>
      </c>
    </row>
    <row r="49" spans="1:15" hidden="1" x14ac:dyDescent="0.2">
      <c r="A49" s="114" t="str">
        <f t="shared" si="8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9"/>
        <v>51.25</v>
      </c>
      <c r="I49" s="114" t="str">
        <f t="shared" si="11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0"/>
        <v>51.25</v>
      </c>
    </row>
    <row r="50" spans="1:15" hidden="1" x14ac:dyDescent="0.2">
      <c r="A50" s="114" t="str">
        <f t="shared" si="8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 t="e">
        <f>SUMIFS('Resultater - Vestdanmark'!J$3:J$504,'Resultater - Vestdanmark'!$F$3:$F$504,$A50)/SUMIFS('Resultater - Danmark'!J$3:J$504,'Resultater - Danmark'!$F$3:$F$504,$A50)*E23</f>
        <v>#DIV/0!</v>
      </c>
      <c r="F50" s="122">
        <f>VLOOKUP(A50,[1]Biogasudbytte!$A$2:$C$18,3,FALSE)</f>
        <v>0.3</v>
      </c>
      <c r="G50" s="123">
        <f t="shared" si="9"/>
        <v>100</v>
      </c>
      <c r="I50" s="114" t="str">
        <f t="shared" si="11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 t="e">
        <f>SUMIFS('Resultater - Østdanmark'!J$3:J$504,'Resultater - Østdanmark'!$F$3:$F$504,$A50)/SUMIFS('Resultater - Danmark'!J$3:J$504,'Resultater - Danmark'!$F$3:$F$504,$A50)*E23</f>
        <v>#DIV/0!</v>
      </c>
      <c r="N50" s="122">
        <f>VLOOKUP(I50,[1]Biogasudbytte!$A$2:$C$18,3,FALSE)</f>
        <v>0.3</v>
      </c>
      <c r="O50" s="123">
        <f t="shared" si="10"/>
        <v>100</v>
      </c>
    </row>
    <row r="51" spans="1:15" hidden="1" x14ac:dyDescent="0.2">
      <c r="A51" s="114" t="str">
        <f t="shared" si="8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9"/>
        <v>75.599999999999994</v>
      </c>
      <c r="I51" s="114" t="str">
        <f t="shared" si="11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0"/>
        <v>75.599999999999994</v>
      </c>
    </row>
    <row r="52" spans="1:15" hidden="1" x14ac:dyDescent="0.2">
      <c r="A52" s="114" t="str">
        <f t="shared" si="8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0</v>
      </c>
      <c r="E52" s="121">
        <f>SUMIFS('Resultater - Vestdanmark'!J$3:J$504,'Resultater - Vestdanmark'!$F$3:$F$504,$A52)/SUMIFS('Resultater - Danmark'!J$3:J$504,'Resultater - Danmark'!$F$3:$F$504,$A52)*E25</f>
        <v>0</v>
      </c>
      <c r="F52" s="122">
        <f>VLOOKUP(A52,[1]Biogasudbytte!$A$2:$C$18,3,FALSE)</f>
        <v>0.3</v>
      </c>
      <c r="G52" s="123">
        <f t="shared" si="9"/>
        <v>47.3</v>
      </c>
      <c r="I52" s="114" t="str">
        <f t="shared" si="11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0</v>
      </c>
      <c r="M52" s="121">
        <f>SUMIFS('Resultater - Østdanmark'!J$3:J$504,'Resultater - Østdanmark'!$F$3:$F$504,$A52)/SUMIFS('Resultater - Danmark'!J$3:J$504,'Resultater - Danmark'!$F$3:$F$504,$A52)*E25</f>
        <v>0</v>
      </c>
      <c r="N52" s="122">
        <f>VLOOKUP(I52,[1]Biogasudbytte!$A$2:$C$18,3,FALSE)</f>
        <v>0.3</v>
      </c>
      <c r="O52" s="123">
        <f t="shared" si="10"/>
        <v>47.3</v>
      </c>
    </row>
    <row r="53" spans="1:15" hidden="1" x14ac:dyDescent="0.2">
      <c r="A53" s="114" t="str">
        <f t="shared" si="8"/>
        <v>Glycerin</v>
      </c>
      <c r="B53" s="114" t="s">
        <v>139</v>
      </c>
      <c r="C53" s="121">
        <f>C26*$B$36</f>
        <v>114193.60000000001</v>
      </c>
      <c r="D53" s="121">
        <f>D26*$B$36</f>
        <v>0</v>
      </c>
      <c r="E53" s="121">
        <f>E26*$B$36</f>
        <v>0</v>
      </c>
      <c r="F53" s="122">
        <f>VLOOKUP(A53,[1]Biogasudbytte!$A$2:$C$18,3,FALSE)</f>
        <v>0.9</v>
      </c>
      <c r="G53" s="123">
        <f t="shared" si="9"/>
        <v>423.36</v>
      </c>
      <c r="I53" s="114" t="str">
        <f t="shared" si="11"/>
        <v>Glycerin</v>
      </c>
      <c r="J53" s="114" t="s">
        <v>139</v>
      </c>
      <c r="K53" s="121">
        <f>C26*$C$36</f>
        <v>28548.400000000001</v>
      </c>
      <c r="L53" s="121">
        <f>D26*$C$36</f>
        <v>0</v>
      </c>
      <c r="M53" s="121">
        <f>E26*$C$36</f>
        <v>0</v>
      </c>
      <c r="N53" s="122">
        <f>VLOOKUP(I53,[1]Biogasudbytte!$A$2:$C$18,3,FALSE)</f>
        <v>0.9</v>
      </c>
      <c r="O53" s="123">
        <f t="shared" si="10"/>
        <v>423.36</v>
      </c>
    </row>
    <row r="54" spans="1:15" hidden="1" x14ac:dyDescent="0.2">
      <c r="A54" s="114" t="str">
        <f t="shared" si="8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9"/>
        <v>25</v>
      </c>
      <c r="I54" s="114" t="str">
        <f t="shared" si="11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0"/>
        <v>25</v>
      </c>
    </row>
    <row r="55" spans="1:15" ht="12.75" hidden="1" thickBot="1" x14ac:dyDescent="0.25">
      <c r="A55" s="126" t="str">
        <f t="shared" si="8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9"/>
        <v>25</v>
      </c>
      <c r="I55" s="126" t="str">
        <f t="shared" si="11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0"/>
        <v>25</v>
      </c>
    </row>
    <row r="56" spans="1:15" hidden="1" x14ac:dyDescent="0.2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23217314.330841523</v>
      </c>
      <c r="E56" s="129" t="e">
        <f ca="1">SUM(E39:E55)</f>
        <v>#DIV/0!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3739352.1824071389</v>
      </c>
      <c r="M56" s="129" t="e">
        <f ca="1">SUM(M39:M55)</f>
        <v>#DIV/0!</v>
      </c>
      <c r="N56" s="130"/>
      <c r="O56" s="130"/>
    </row>
    <row r="57" spans="1:15" hidden="1" x14ac:dyDescent="0.2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7.1493396542388107E-2</v>
      </c>
      <c r="E57" s="133" t="e">
        <f ca="1">SUMPRODUCT(E39:E55,$F$39:$F$55)/E56</f>
        <v>#DIV/0!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6.7689499708459111E-2</v>
      </c>
      <c r="M57" s="133" t="e">
        <f ca="1">SUMPRODUCT(M39:M55,$N$39:$N$55)/M56</f>
        <v>#DIV/0!</v>
      </c>
    </row>
    <row r="58" spans="1:15" hidden="1" x14ac:dyDescent="0.2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 t="e">
        <f ca="1">SUM(E48:E51)/E56</f>
        <v>#DIV/0!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 t="e">
        <f ca="1">SUM(M48:M51)/M56</f>
        <v>#DIV/0!</v>
      </c>
    </row>
    <row r="59" spans="1:15" hidden="1" x14ac:dyDescent="0.2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380552475.07633466</v>
      </c>
      <c r="E59" s="114" t="e">
        <f ca="1">SUMPRODUCT(E39:E55,$I$12:$I$28)</f>
        <v>#DIV/0!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59355543.043848336</v>
      </c>
      <c r="M59" s="114" t="e">
        <f ca="1">SUMPRODUCT(M39:M55,$I$12:$I$28)</f>
        <v>#DIV/0!</v>
      </c>
    </row>
    <row r="60" spans="1:15" hidden="1" x14ac:dyDescent="0.2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13.661833855240415</v>
      </c>
      <c r="E60" s="114" t="e">
        <f ca="1">E59*[1]Energiindhold!$C$10</f>
        <v>#DIV/0!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2.1308639952741553</v>
      </c>
      <c r="M60" s="114" t="e">
        <f ca="1">M59*[1]Energiindhold!$C$10</f>
        <v>#DIV/0!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03" t="s">
        <v>271</v>
      </c>
    </row>
    <row r="2" spans="1:4" ht="15.75" x14ac:dyDescent="0.25">
      <c r="A2" s="201" t="s">
        <v>308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3">
        <v>0</v>
      </c>
      <c r="C4" s="386">
        <v>0</v>
      </c>
      <c r="D4" s="386">
        <v>0</v>
      </c>
    </row>
    <row r="5" spans="1:4" x14ac:dyDescent="0.25">
      <c r="A5" s="283"/>
    </row>
    <row r="6" spans="1:4" x14ac:dyDescent="0.25">
      <c r="A6" s="283"/>
    </row>
    <row r="7" spans="1:4" ht="15.75" x14ac:dyDescent="0.25">
      <c r="A7" s="201" t="s">
        <v>294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20">
        <f>SUMIFS('Forbrug af biomasse'!$E$2:$E$403,'Forbrug af biomasse'!$D$2:$D$403,'Forbrug til andet'!B$15,'Forbrug af biomasse'!$C$2:$C$403,'Forbrug til andet'!$A16,'Forbrug af biomasse'!$A$2:$A$403,"Materialer")</f>
        <v>0</v>
      </c>
      <c r="C16" s="320">
        <f>SUMIFS('Forbrug af biomasse'!$E$2:$E$403,'Forbrug af biomasse'!$D$2:$D$403,'Forbrug til andet'!C$15,'Forbrug af biomasse'!$C$2:$C$403,'Forbrug til andet'!$A16,'Forbrug af biomasse'!$A$2:$A$403,"Materialer")</f>
        <v>0</v>
      </c>
      <c r="D16" s="32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25">
      <c r="A17" s="2" t="str">
        <f>A10</f>
        <v>Rapsolie</v>
      </c>
      <c r="B17" s="320">
        <v>0</v>
      </c>
      <c r="C17" s="320">
        <f>SUMIFS('Forbrug af biomasse'!$E$2:$E$403,'Forbrug af biomasse'!$D$2:$D$403,'Forbrug til andet'!C$15,'Forbrug af biomasse'!$C$2:$C$403,'Forbrug til andet'!$A17,'Forbrug af biomasse'!$A$2:$A$403,"Materialer")</f>
        <v>0</v>
      </c>
      <c r="D17" s="320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25">
      <c r="A18" s="2" t="str">
        <f>A11</f>
        <v>Pil &amp; poppel</v>
      </c>
      <c r="B18" s="320">
        <f>SUMIFS('Forbrug af biomasse'!$E$2:$E$403,'Forbrug af biomasse'!$D$2:$D$403,'Forbrug til andet'!B$15,'Forbrug af biomasse'!$C$2:$C$403,'Forbrug til andet'!$A18,'Forbrug af biomasse'!$A$2:$A$403,"Materialer")</f>
        <v>0</v>
      </c>
      <c r="C18" s="320">
        <f>SUMIFS('Forbrug af biomasse'!$E$2:$E$403,'Forbrug af biomasse'!$D$2:$D$403,'Forbrug til andet'!C$15,'Forbrug af biomasse'!$C$2:$C$403,'Forbrug til andet'!$A18,'Forbrug af biomasse'!$A$2:$A$403,"Materialer")</f>
        <v>0</v>
      </c>
      <c r="D18" s="32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25">
      <c r="A19" s="2" t="str">
        <f>A12</f>
        <v>Have/parkaffald</v>
      </c>
      <c r="B19" s="320">
        <f>SUMIFS('Forbrug af biomasse'!$E$2:$E$403,'Forbrug af biomasse'!$D$2:$D$403,'Forbrug til andet'!B$15,'Forbrug af biomasse'!$C$2:$C$403,'Forbrug til andet'!$A19,'Forbrug af biomasse'!$A$2:$A$403,"Materialer")</f>
        <v>0</v>
      </c>
      <c r="C19" s="320">
        <f>SUMIFS('Forbrug af biomasse'!$E$2:$E$403,'Forbrug af biomasse'!$D$2:$D$403,'Forbrug til andet'!C$15,'Forbrug af biomasse'!$C$2:$C$403,'Forbrug til andet'!$A19,'Forbrug af biomasse'!$A$2:$A$403,"Materialer")</f>
        <v>0</v>
      </c>
      <c r="D19" s="32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25">
      <c r="A20" s="2" t="str">
        <f>A13</f>
        <v>Bioaffald</v>
      </c>
      <c r="B20" s="32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62" workbookViewId="0">
      <selection activeCell="G173" sqref="G173"/>
    </sheetView>
  </sheetViews>
  <sheetFormatPr defaultRowHeight="15" x14ac:dyDescent="0.25"/>
  <cols>
    <col min="6" max="6" width="21.28515625" customWidth="1"/>
  </cols>
  <sheetData>
    <row r="1" spans="1:9" x14ac:dyDescent="0.25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25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549570.00189249648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0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163865.56173743002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0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143784.0142759982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0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232128.24388948342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0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39640.409978651463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0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33011.927807710199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0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20302.460574954777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0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70768.074420551435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0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76597.510260677154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0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27203.247984048536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0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39289.80368337129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0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11437.918624561291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0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31145.785633214087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0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68835.987693799732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11146.675971614259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955.53991373678116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1023.175894073177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9442.2283096878091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44.161656964352275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697.1981006225534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18.291214869045849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2361.1209681497958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40.223725441831391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711.39284184725705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1755.9273228354043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201.74386646472948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331.33782011929418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30317.151475612973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5468.2738439636605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314.85895525594401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407.7280895234743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9403.4968308872321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10.929801981174222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578.51762396536299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6.2561258552502439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778.01049498528334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22.295416568120192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394.31453895289167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1254.5770292800325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111.82364371989816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263.96237747912357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25590.487920823747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70268.852646918647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73160.473622356585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20952.098862711297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365802.36811178294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18384.441795130875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219481.42086706977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29680.26877174573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365802.36811178294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5068.4828467005436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94575.720443401937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4220.9550789209043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32040.313007021148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2595.9033528006162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19704.9137942901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9048.5131583594866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0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9793.8736522981453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204111.21823863432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3478.2484806778398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0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5023.6537948685918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0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1462.4695955911445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11101.275121357427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3982.3473146209913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77429.401129434642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8801.4736237494071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1425.2308689613089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122.17678032898468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130.82481919486474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1207.2976098899321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5.6465763327432592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89.144804901380255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2.3387424312463354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301.89650239483569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5.1430664451278778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90.959766009237356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224.51552647001208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25.79527626364656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42.365355419942198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3876.3968964428427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7582.4059259259229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699.18177420762208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40.258342804836346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52.132730942507166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1202.3453443600399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1.3975010321348786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73.97013944007017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0.79991772540225237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99.477600017497522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2.8507257239876962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50.417654054630312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160.41211874940078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14.297940418756939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33.750629298429502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3272.0385368175012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168956.022670329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0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50377.701600261658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0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44203.968724622173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0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71363.91124326158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0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12186.775085886682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0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10148.960103105841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0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6241.6488843154139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0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21756.450215550725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0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23548.611888436528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0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8363.1795172083603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0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12078.987097150528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0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3516.3950575504314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0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9575.2461841246914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0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21162.462756843044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2220.9508631088374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60.058061487912198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242.5838922199716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713.29828663252204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13.509097068318159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22.96670140121164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64.164131761142045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68.408866076590428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14.757198662082352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105.37355586127558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765.0070185544738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23.124446325632409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49.078711850168098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4604.4820500504356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1188.1161134445545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21.580106548382705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105.41377093164485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774.64214781175053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3.6459298897636652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20.781365440527122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23.931521146893385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24.580723756526687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8.9197417432206052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63.691282225699887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596.03432554762389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13.977184552620391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42.636272874021806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3886.6099401933679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21602.972905994222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24336.326377643411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6441.3692127462491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121681.63188821705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5651.9863784833815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73008.979132930224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9124.6977567772465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121681.63188821705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1558.2195167174077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31459.960360454177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1297.6614071888587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10657.988883528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798.06667797628256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6554.7035113046459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2781.8126700001544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0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3010.9611753366994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67896.187359780568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1069.3287972974172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0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1544.4375812559992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0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449.61159687842485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3692.7625148507746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1224.3054767422425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25756.355635942306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2705.8645340642111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283.97414050698114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7.6791146867932829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31.017143800100705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91.203399064865479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1.7272936077618362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2.9365572192625082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8.204123049684096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8.7468612069896832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1.886877767520535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13.473222417889986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97.814955830100658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2.9567267241695294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6.2752784162601669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588.73604741196766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1151.5940740740734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151.9143254099892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2.7592651016816951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13.478364377684429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99.046918047256085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0.46617411667770531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2.6571368541105698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3.0599205329562755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3.1429285617009759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1.1404916863084984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8.1436637920540775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76.209851429635265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1.7871439823220083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5.4515384130892075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496.9478323835454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7019935.8896729527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0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1017168.458714144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0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291855.95871414396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1074244.3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42289.086447146343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155654.9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791373.67349799909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0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56246.100235804995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0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140119.4403069797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93364.229814031074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9958.8504753452635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6635.7701859689205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14365153.861353351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0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1205662.0612272937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0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2379805.8031627773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8509733.5999999996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199736.22264367421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714218.8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5990.8547557908014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3672.2025152281963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602.03212367175934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3719.4227792491643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5990.8547557908014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600.04669858305454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53925.95798889982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34274.402036728592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5410.0239262632222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33725.234224713757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52603.55245068777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5239.5520275308181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5990.8547557908014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3671.3116940007144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602.03212367175934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3719.4227792491643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5990.8547557908014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600.93751981053799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53929.586607487312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34380.26923722338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5406.3953076757343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33825.331863169748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52404.419555420332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5232.7200838474982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1058.8969643834553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692.58198008610782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106.75219451005873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706.63266688518274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1058.8969643834553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106.40013940050427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9531.5382604265742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6453.4988841159684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959.30416961505148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6400.3081467191514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9297.7225933179252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929.07613264421627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1058.8969643834553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692.42401987566257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106.75219451005873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706.63266688518274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1058.8969643834553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106.55809961094953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9532.181686220687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6473.7861562589387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958.66074382093962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6416.4042061689133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9262.5507003715484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927.86469399786017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76" workbookViewId="0">
      <selection activeCell="E388" sqref="E388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223</v>
      </c>
      <c r="I1" s="140" t="s">
        <v>189</v>
      </c>
      <c r="J1" s="140"/>
      <c r="K1" s="140"/>
      <c r="L1" s="140"/>
      <c r="M1" s="140"/>
    </row>
    <row r="2" spans="1:13" x14ac:dyDescent="0.25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4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7872859.1335150246</v>
      </c>
    </row>
    <row r="104" spans="1:5" x14ac:dyDescent="0.25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7296777.4333819924</v>
      </c>
    </row>
    <row r="105" spans="1:5" x14ac:dyDescent="0.25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4837.8006601561638</v>
      </c>
    </row>
    <row r="106" spans="1:5" x14ac:dyDescent="0.25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1481053.1985566379</v>
      </c>
    </row>
    <row r="107" spans="1:5" x14ac:dyDescent="0.25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1329182.5428542641</v>
      </c>
    </row>
    <row r="110" spans="1:5" x14ac:dyDescent="0.25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5232604.2218734501</v>
      </c>
    </row>
    <row r="111" spans="1:5" x14ac:dyDescent="0.25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0</v>
      </c>
    </row>
    <row r="117" spans="1:5" x14ac:dyDescent="0.25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0</v>
      </c>
    </row>
    <row r="118" spans="1:5" x14ac:dyDescent="0.25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0</v>
      </c>
    </row>
    <row r="121" spans="1:5" x14ac:dyDescent="0.25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618703.40176480426</v>
      </c>
    </row>
    <row r="122" spans="1:5" x14ac:dyDescent="0.25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5056.5736535095893</v>
      </c>
    </row>
    <row r="123" spans="1:5" x14ac:dyDescent="0.25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1517880.3720548805</v>
      </c>
    </row>
    <row r="124" spans="1:5" x14ac:dyDescent="0.25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518251.34982790216</v>
      </c>
    </row>
    <row r="127" spans="1:5" x14ac:dyDescent="0.25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2664517.9279377516</v>
      </c>
    </row>
    <row r="128" spans="1:5" x14ac:dyDescent="0.25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#DIV/0!</v>
      </c>
    </row>
    <row r="132" spans="1:5" x14ac:dyDescent="0.25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0</v>
      </c>
    </row>
    <row r="134" spans="1:5" x14ac:dyDescent="0.25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0</v>
      </c>
    </row>
    <row r="135" spans="1:5" x14ac:dyDescent="0.25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1140754.5761623941</v>
      </c>
    </row>
    <row r="155" spans="1:5" x14ac:dyDescent="0.25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518611.23090216261</v>
      </c>
    </row>
    <row r="156" spans="1:5" x14ac:dyDescent="0.25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406.03482371480391</v>
      </c>
    </row>
    <row r="157" spans="1:5" x14ac:dyDescent="0.25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1266377.3160230415</v>
      </c>
    </row>
    <row r="158" spans="1:5" x14ac:dyDescent="0.25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178353.93031038792</v>
      </c>
    </row>
    <row r="161" spans="1:5" x14ac:dyDescent="0.25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634849.09418543812</v>
      </c>
    </row>
    <row r="162" spans="1:5" x14ac:dyDescent="0.25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0</v>
      </c>
    </row>
    <row r="168" spans="1:5" x14ac:dyDescent="0.25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0</v>
      </c>
    </row>
    <row r="169" spans="1:5" x14ac:dyDescent="0.25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0</v>
      </c>
    </row>
    <row r="172" spans="1:5" x14ac:dyDescent="0.25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43973.731648257439</v>
      </c>
    </row>
    <row r="173" spans="1:5" x14ac:dyDescent="0.25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424.39636029513713</v>
      </c>
    </row>
    <row r="174" spans="1:5" x14ac:dyDescent="0.25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1324256.6444942397</v>
      </c>
    </row>
    <row r="175" spans="1:5" x14ac:dyDescent="0.25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73643.638189782447</v>
      </c>
    </row>
    <row r="178" spans="1:18" x14ac:dyDescent="0.25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322768.46749024681</v>
      </c>
    </row>
    <row r="179" spans="1:18" x14ac:dyDescent="0.25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#DIV/0!</v>
      </c>
    </row>
    <row r="183" spans="1:18" x14ac:dyDescent="0.25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0</v>
      </c>
    </row>
    <row r="185" spans="1:18" x14ac:dyDescent="0.25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0</v>
      </c>
    </row>
    <row r="186" spans="1:18" x14ac:dyDescent="0.25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1"/>
    </row>
    <row r="189" spans="1:18" x14ac:dyDescent="0.25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2657507.9598111873</v>
      </c>
      <c r="G203" s="291"/>
    </row>
    <row r="204" spans="1:7" x14ac:dyDescent="0.25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541644.90666485392</v>
      </c>
      <c r="G204" s="291"/>
    </row>
    <row r="205" spans="1:7" x14ac:dyDescent="0.25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1"/>
    </row>
    <row r="206" spans="1:7" x14ac:dyDescent="0.25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293264.09403304121</v>
      </c>
      <c r="G206" s="291"/>
    </row>
    <row r="207" spans="1:7" x14ac:dyDescent="0.25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589344.8057454204</v>
      </c>
      <c r="G207" s="291"/>
    </row>
    <row r="208" spans="1:7" x14ac:dyDescent="0.25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2557087.1196415746</v>
      </c>
      <c r="G208" s="291"/>
    </row>
    <row r="209" spans="1:7" x14ac:dyDescent="0.25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188096.56093269461</v>
      </c>
      <c r="G209" s="291"/>
    </row>
    <row r="210" spans="1:7" x14ac:dyDescent="0.25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1"/>
    </row>
    <row r="211" spans="1:7" x14ac:dyDescent="0.25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1"/>
    </row>
    <row r="212" spans="1:7" x14ac:dyDescent="0.25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10475226.633309843</v>
      </c>
      <c r="G212" s="291"/>
    </row>
    <row r="213" spans="1:7" x14ac:dyDescent="0.25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685129.28051204176</v>
      </c>
      <c r="G213" s="291"/>
    </row>
    <row r="214" spans="1:7" x14ac:dyDescent="0.25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4912693.6343060844</v>
      </c>
      <c r="G214" s="291"/>
    </row>
    <row r="215" spans="1:7" x14ac:dyDescent="0.25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2386814.7443207805</v>
      </c>
      <c r="G215" s="291"/>
    </row>
    <row r="216" spans="1:7" x14ac:dyDescent="0.25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27615.731046643767</v>
      </c>
      <c r="G216" s="291"/>
    </row>
    <row r="217" spans="1:7" x14ac:dyDescent="0.25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2182533.5827186201</v>
      </c>
      <c r="G217" s="291"/>
    </row>
    <row r="218" spans="1:7" x14ac:dyDescent="0.25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0</v>
      </c>
    </row>
    <row r="219" spans="1:7" x14ac:dyDescent="0.25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81557.737283545939</v>
      </c>
    </row>
    <row r="220" spans="1:7" x14ac:dyDescent="0.25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112073.72164637063</v>
      </c>
    </row>
    <row r="222" spans="1:7" x14ac:dyDescent="0.25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88740.110439454962</v>
      </c>
    </row>
    <row r="223" spans="1:7" x14ac:dyDescent="0.25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0</v>
      </c>
    </row>
    <row r="224" spans="1:7" x14ac:dyDescent="0.25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38751.234035816837</v>
      </c>
    </row>
    <row r="225" spans="1:5" x14ac:dyDescent="0.25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2097784.2500767186</v>
      </c>
    </row>
    <row r="228" spans="1:5" x14ac:dyDescent="0.25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0</v>
      </c>
    </row>
    <row r="229" spans="1:5" x14ac:dyDescent="0.25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2083858.9217546936</v>
      </c>
    </row>
    <row r="230" spans="1:5" x14ac:dyDescent="0.25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1012833.8916346655</v>
      </c>
    </row>
    <row r="231" spans="1:5" x14ac:dyDescent="0.25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4158.2160376315423</v>
      </c>
    </row>
    <row r="232" spans="1:5" x14ac:dyDescent="0.25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322423.8733791869</v>
      </c>
    </row>
    <row r="249" spans="1:5" x14ac:dyDescent="0.25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65715.418897709809</v>
      </c>
    </row>
    <row r="250" spans="1:5" x14ac:dyDescent="0.25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35580.456032910348</v>
      </c>
    </row>
    <row r="252" spans="1:5" x14ac:dyDescent="0.25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71502.640028910202</v>
      </c>
    </row>
    <row r="253" spans="1:5" x14ac:dyDescent="0.25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310240.24994508084</v>
      </c>
    </row>
    <row r="254" spans="1:5" x14ac:dyDescent="0.25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22820.937006537704</v>
      </c>
    </row>
    <row r="255" spans="1:5" x14ac:dyDescent="0.25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1270913.6517041866</v>
      </c>
    </row>
    <row r="258" spans="1:5" x14ac:dyDescent="0.25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83123.75342946584</v>
      </c>
    </row>
    <row r="259" spans="1:5" x14ac:dyDescent="0.25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596035.73507669987</v>
      </c>
    </row>
    <row r="260" spans="1:5" x14ac:dyDescent="0.25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289581.84379516833</v>
      </c>
    </row>
    <row r="261" spans="1:5" x14ac:dyDescent="0.25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3350.4964443791791</v>
      </c>
    </row>
    <row r="262" spans="1:5" x14ac:dyDescent="0.25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264797.29963641899</v>
      </c>
    </row>
    <row r="263" spans="1:5" x14ac:dyDescent="0.25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0</v>
      </c>
    </row>
    <row r="264" spans="1:5" x14ac:dyDescent="0.25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9879.5604259102856</v>
      </c>
    </row>
    <row r="265" spans="1:5" x14ac:dyDescent="0.25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13576.138108301233</v>
      </c>
    </row>
    <row r="267" spans="1:5" x14ac:dyDescent="0.25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10749.602827265073</v>
      </c>
    </row>
    <row r="268" spans="1:5" x14ac:dyDescent="0.25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0</v>
      </c>
    </row>
    <row r="269" spans="1:5" x14ac:dyDescent="0.25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4694.1611058241288</v>
      </c>
    </row>
    <row r="270" spans="1:5" x14ac:dyDescent="0.25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254116.73925064973</v>
      </c>
    </row>
    <row r="273" spans="1:7" x14ac:dyDescent="0.25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0</v>
      </c>
    </row>
    <row r="274" spans="1:7" x14ac:dyDescent="0.25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252429.88369052325</v>
      </c>
    </row>
    <row r="275" spans="1:7" x14ac:dyDescent="0.25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122690.4272616855</v>
      </c>
    </row>
    <row r="276" spans="1:7" x14ac:dyDescent="0.25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503.70875867908762</v>
      </c>
    </row>
    <row r="277" spans="1:7" x14ac:dyDescent="0.25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25">
      <c r="A284" t="s">
        <v>164</v>
      </c>
      <c r="B284" t="s">
        <v>23</v>
      </c>
      <c r="C284" t="str">
        <f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>C279</f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25">
      <c r="A286" t="s">
        <v>164</v>
      </c>
      <c r="B286" t="s">
        <v>23</v>
      </c>
      <c r="C286" t="str">
        <f>C280</f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25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25">
      <c r="A291" t="s">
        <v>120</v>
      </c>
      <c r="B291" t="s">
        <v>24</v>
      </c>
      <c r="C291" t="str">
        <f t="shared" ref="C291:C349" si="21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25">
      <c r="A292" t="s">
        <v>120</v>
      </c>
      <c r="B292" t="s">
        <v>24</v>
      </c>
      <c r="C292" t="str">
        <f t="shared" si="21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25">
      <c r="A293" t="s">
        <v>120</v>
      </c>
      <c r="B293" t="s">
        <v>24</v>
      </c>
      <c r="C293" t="str">
        <f t="shared" si="21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25">
      <c r="A294" t="s">
        <v>120</v>
      </c>
      <c r="B294" t="s">
        <v>24</v>
      </c>
      <c r="C294" t="str">
        <f t="shared" si="21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25">
      <c r="A295" t="s">
        <v>120</v>
      </c>
      <c r="B295" t="s">
        <v>24</v>
      </c>
      <c r="C295" t="str">
        <f t="shared" si="21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25">
      <c r="A296" t="s">
        <v>164</v>
      </c>
      <c r="B296" t="s">
        <v>24</v>
      </c>
      <c r="C296" t="str">
        <f t="shared" si="21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25">
      <c r="A297" t="s">
        <v>164</v>
      </c>
      <c r="B297" t="s">
        <v>24</v>
      </c>
      <c r="C297" t="str">
        <f t="shared" si="21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25">
      <c r="A298" t="s">
        <v>164</v>
      </c>
      <c r="B298" t="s">
        <v>24</v>
      </c>
      <c r="C298" t="str">
        <f t="shared" si="21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25">
      <c r="A299" t="s">
        <v>164</v>
      </c>
      <c r="B299" t="s">
        <v>24</v>
      </c>
      <c r="C299" t="str">
        <f t="shared" si="21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25">
      <c r="A300" t="s">
        <v>164</v>
      </c>
      <c r="B300" t="s">
        <v>24</v>
      </c>
      <c r="C300" t="str">
        <f t="shared" si="21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25">
      <c r="A301" t="s">
        <v>164</v>
      </c>
      <c r="B301" t="s">
        <v>24</v>
      </c>
      <c r="C301" t="str">
        <f t="shared" si="21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25">
      <c r="A302" t="s">
        <v>120</v>
      </c>
      <c r="B302" t="s">
        <v>23</v>
      </c>
      <c r="C302" t="str">
        <f>C290</f>
        <v>Halm</v>
      </c>
      <c r="D302">
        <f t="shared" ref="D302:D325" si="22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1213336.3801391786</v>
      </c>
      <c r="F302">
        <v>1</v>
      </c>
    </row>
    <row r="303" spans="1:7" x14ac:dyDescent="0.25">
      <c r="A303" t="s">
        <v>120</v>
      </c>
      <c r="B303" t="s">
        <v>23</v>
      </c>
      <c r="C303" t="str">
        <f t="shared" si="21"/>
        <v>Rapsolie</v>
      </c>
      <c r="D303">
        <f t="shared" si="22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235602.02928792752</v>
      </c>
      <c r="F303">
        <v>1</v>
      </c>
    </row>
    <row r="304" spans="1:7" x14ac:dyDescent="0.25">
      <c r="A304" t="s">
        <v>120</v>
      </c>
      <c r="B304" t="s">
        <v>23</v>
      </c>
      <c r="C304" t="str">
        <f t="shared" si="21"/>
        <v>Pil &amp; poppel</v>
      </c>
      <c r="D304">
        <f t="shared" si="22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896780.35875026754</v>
      </c>
      <c r="F304">
        <v>1</v>
      </c>
    </row>
    <row r="305" spans="1:7" x14ac:dyDescent="0.25">
      <c r="A305" t="s">
        <v>120</v>
      </c>
      <c r="B305" t="s">
        <v>23</v>
      </c>
      <c r="C305" t="str">
        <f t="shared" si="21"/>
        <v>Træ til energi</v>
      </c>
      <c r="D305">
        <f t="shared" si="22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2225869.1010711943</v>
      </c>
      <c r="F305">
        <v>1</v>
      </c>
    </row>
    <row r="306" spans="1:7" x14ac:dyDescent="0.25">
      <c r="A306" t="s">
        <v>120</v>
      </c>
      <c r="B306" t="s">
        <v>23</v>
      </c>
      <c r="C306" t="str">
        <f t="shared" si="21"/>
        <v>Have/parkaffald</v>
      </c>
      <c r="D306">
        <f t="shared" si="22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526734.10986839118</v>
      </c>
      <c r="F306">
        <v>1</v>
      </c>
    </row>
    <row r="307" spans="1:7" x14ac:dyDescent="0.25">
      <c r="A307" t="s">
        <v>120</v>
      </c>
      <c r="B307" t="s">
        <v>23</v>
      </c>
      <c r="C307" t="str">
        <f t="shared" si="21"/>
        <v>Bioaffald</v>
      </c>
      <c r="D307">
        <f t="shared" si="22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25">
      <c r="A308" t="s">
        <v>164</v>
      </c>
      <c r="B308" t="s">
        <v>23</v>
      </c>
      <c r="C308" t="str">
        <f t="shared" si="21"/>
        <v>Halm</v>
      </c>
      <c r="D308">
        <f t="shared" si="22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25">
      <c r="A309" t="s">
        <v>164</v>
      </c>
      <c r="B309" t="s">
        <v>23</v>
      </c>
      <c r="C309" t="str">
        <f t="shared" si="21"/>
        <v>Rapsolie</v>
      </c>
      <c r="D309">
        <f t="shared" si="22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25">
      <c r="A310" t="s">
        <v>164</v>
      </c>
      <c r="B310" t="s">
        <v>23</v>
      </c>
      <c r="C310" t="str">
        <f t="shared" si="21"/>
        <v>Pil &amp; poppel</v>
      </c>
      <c r="D310">
        <f t="shared" si="22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25">
      <c r="A311" t="s">
        <v>164</v>
      </c>
      <c r="B311" t="s">
        <v>23</v>
      </c>
      <c r="C311" t="str">
        <f t="shared" si="21"/>
        <v>Træmaterialer</v>
      </c>
      <c r="D311">
        <f t="shared" si="22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613377.28282504401</v>
      </c>
      <c r="F311">
        <v>1</v>
      </c>
      <c r="G311">
        <v>1</v>
      </c>
    </row>
    <row r="312" spans="1:7" x14ac:dyDescent="0.25">
      <c r="A312" t="s">
        <v>164</v>
      </c>
      <c r="B312" t="s">
        <v>23</v>
      </c>
      <c r="C312" t="str">
        <f t="shared" si="21"/>
        <v>Have/parkaffald</v>
      </c>
      <c r="D312">
        <f t="shared" si="22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25">
      <c r="A313" t="s">
        <v>164</v>
      </c>
      <c r="B313" t="s">
        <v>23</v>
      </c>
      <c r="C313" t="str">
        <f t="shared" si="21"/>
        <v>Bioaffald</v>
      </c>
      <c r="D313">
        <f t="shared" si="22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25">
      <c r="A314" t="s">
        <v>120</v>
      </c>
      <c r="B314" t="s">
        <v>24</v>
      </c>
      <c r="C314" t="str">
        <f>C302</f>
        <v>Halm</v>
      </c>
      <c r="D314">
        <f t="shared" si="22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550882.085706549</v>
      </c>
      <c r="F314">
        <v>1</v>
      </c>
    </row>
    <row r="315" spans="1:7" x14ac:dyDescent="0.25">
      <c r="A315" t="s">
        <v>120</v>
      </c>
      <c r="B315" t="s">
        <v>24</v>
      </c>
      <c r="C315" t="str">
        <f t="shared" si="21"/>
        <v>Rapsolie</v>
      </c>
      <c r="D315">
        <f t="shared" si="22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72246.926438643844</v>
      </c>
      <c r="F315">
        <v>1</v>
      </c>
    </row>
    <row r="316" spans="1:7" x14ac:dyDescent="0.25">
      <c r="A316" t="s">
        <v>120</v>
      </c>
      <c r="B316" t="s">
        <v>24</v>
      </c>
      <c r="C316" t="str">
        <f t="shared" si="21"/>
        <v>Pil &amp; poppel</v>
      </c>
      <c r="D316">
        <f t="shared" si="22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272404.80098126631</v>
      </c>
      <c r="F316">
        <v>1</v>
      </c>
    </row>
    <row r="317" spans="1:7" x14ac:dyDescent="0.25">
      <c r="A317" t="s">
        <v>120</v>
      </c>
      <c r="B317" t="s">
        <v>24</v>
      </c>
      <c r="C317" t="str">
        <f t="shared" si="21"/>
        <v>Træ til energi</v>
      </c>
      <c r="D317">
        <f t="shared" si="22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648970.86702196393</v>
      </c>
      <c r="F317">
        <v>1</v>
      </c>
    </row>
    <row r="318" spans="1:7" x14ac:dyDescent="0.25">
      <c r="A318" t="s">
        <v>120</v>
      </c>
      <c r="B318" t="s">
        <v>24</v>
      </c>
      <c r="C318" t="str">
        <f t="shared" si="21"/>
        <v>Have/parkaffald</v>
      </c>
      <c r="D318">
        <f t="shared" si="22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456074.89013160887</v>
      </c>
      <c r="F318">
        <v>1</v>
      </c>
    </row>
    <row r="319" spans="1:7" x14ac:dyDescent="0.25">
      <c r="A319" t="s">
        <v>120</v>
      </c>
      <c r="B319" t="s">
        <v>24</v>
      </c>
      <c r="C319" t="str">
        <f t="shared" si="21"/>
        <v>Bioaffald</v>
      </c>
      <c r="D319">
        <f t="shared" si="22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25">
      <c r="A320" t="s">
        <v>164</v>
      </c>
      <c r="B320" t="s">
        <v>24</v>
      </c>
      <c r="C320" t="str">
        <f t="shared" si="21"/>
        <v>Halm</v>
      </c>
      <c r="D320">
        <f t="shared" si="22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25">
      <c r="A321" t="s">
        <v>164</v>
      </c>
      <c r="B321" t="s">
        <v>24</v>
      </c>
      <c r="C321" t="str">
        <f t="shared" si="21"/>
        <v>Rapsolie</v>
      </c>
      <c r="D321">
        <f t="shared" si="22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25">
      <c r="A322" t="s">
        <v>164</v>
      </c>
      <c r="B322" t="s">
        <v>24</v>
      </c>
      <c r="C322" t="str">
        <f t="shared" si="21"/>
        <v>Pil &amp; poppel</v>
      </c>
      <c r="D322">
        <f t="shared" si="22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25">
      <c r="A323" t="s">
        <v>164</v>
      </c>
      <c r="B323" t="s">
        <v>24</v>
      </c>
      <c r="C323" t="str">
        <f t="shared" si="21"/>
        <v>Træmaterialer</v>
      </c>
      <c r="D323">
        <f t="shared" si="22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178680.65524972283</v>
      </c>
      <c r="F323">
        <v>1</v>
      </c>
      <c r="G323">
        <v>1</v>
      </c>
    </row>
    <row r="324" spans="1:7" x14ac:dyDescent="0.25">
      <c r="A324" t="s">
        <v>164</v>
      </c>
      <c r="B324" t="s">
        <v>24</v>
      </c>
      <c r="C324" t="str">
        <f t="shared" si="21"/>
        <v>Have/parkaffald</v>
      </c>
      <c r="D324">
        <f t="shared" si="22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25">
      <c r="A325" t="s">
        <v>164</v>
      </c>
      <c r="B325" t="s">
        <v>24</v>
      </c>
      <c r="C325" t="str">
        <f t="shared" si="21"/>
        <v>Bioaffald</v>
      </c>
      <c r="D325">
        <f t="shared" si="22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25">
      <c r="A326" t="s">
        <v>120</v>
      </c>
      <c r="B326" t="s">
        <v>23</v>
      </c>
      <c r="C326" t="str">
        <f>C314</f>
        <v>Halm</v>
      </c>
      <c r="D326">
        <f t="shared" ref="D326:D349" si="23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624132.67276765837</v>
      </c>
      <c r="F326">
        <v>1</v>
      </c>
    </row>
    <row r="327" spans="1:7" x14ac:dyDescent="0.25">
      <c r="A327" t="s">
        <v>120</v>
      </c>
      <c r="B327" t="s">
        <v>23</v>
      </c>
      <c r="C327" t="str">
        <f t="shared" si="21"/>
        <v>Rapsolie</v>
      </c>
      <c r="D327">
        <f t="shared" si="23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207773.55150751706</v>
      </c>
      <c r="F327">
        <v>1</v>
      </c>
    </row>
    <row r="328" spans="1:7" x14ac:dyDescent="0.25">
      <c r="A328" t="s">
        <v>120</v>
      </c>
      <c r="B328" t="s">
        <v>23</v>
      </c>
      <c r="C328" t="str">
        <f t="shared" si="21"/>
        <v>Pil &amp; poppel</v>
      </c>
      <c r="D328">
        <f t="shared" si="23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1315903.5397993135</v>
      </c>
      <c r="F328">
        <v>1</v>
      </c>
    </row>
    <row r="329" spans="1:7" x14ac:dyDescent="0.25">
      <c r="A329" t="s">
        <v>120</v>
      </c>
      <c r="B329" t="s">
        <v>23</v>
      </c>
      <c r="C329" t="str">
        <f t="shared" si="21"/>
        <v>Træ til energi</v>
      </c>
      <c r="D329">
        <f t="shared" si="23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2312878.2492368715</v>
      </c>
      <c r="F329">
        <v>1</v>
      </c>
    </row>
    <row r="330" spans="1:7" x14ac:dyDescent="0.25">
      <c r="A330" t="s">
        <v>120</v>
      </c>
      <c r="B330" t="s">
        <v>23</v>
      </c>
      <c r="C330" t="str">
        <f t="shared" si="21"/>
        <v>Have/parkaffald</v>
      </c>
      <c r="D330">
        <f t="shared" si="23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524881.97503939818</v>
      </c>
      <c r="F330">
        <v>1</v>
      </c>
    </row>
    <row r="331" spans="1:7" x14ac:dyDescent="0.25">
      <c r="A331" t="s">
        <v>120</v>
      </c>
      <c r="B331" t="s">
        <v>23</v>
      </c>
      <c r="C331" t="str">
        <f t="shared" si="21"/>
        <v>Bioaffald</v>
      </c>
      <c r="D331">
        <f t="shared" si="23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25">
      <c r="A332" t="s">
        <v>164</v>
      </c>
      <c r="B332" t="s">
        <v>23</v>
      </c>
      <c r="C332" t="str">
        <f t="shared" si="21"/>
        <v>Halm</v>
      </c>
      <c r="D332">
        <f t="shared" si="23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25">
      <c r="A333" t="s">
        <v>164</v>
      </c>
      <c r="B333" t="s">
        <v>23</v>
      </c>
      <c r="C333" t="str">
        <f t="shared" si="21"/>
        <v>Rapsolie</v>
      </c>
      <c r="D333">
        <f t="shared" si="23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25">
      <c r="A334" t="s">
        <v>164</v>
      </c>
      <c r="B334" t="s">
        <v>23</v>
      </c>
      <c r="C334" t="str">
        <f t="shared" si="21"/>
        <v>Pil &amp; poppel</v>
      </c>
      <c r="D334">
        <f t="shared" si="23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25">
      <c r="A335" t="s">
        <v>164</v>
      </c>
      <c r="B335" t="s">
        <v>23</v>
      </c>
      <c r="C335" t="str">
        <f t="shared" si="21"/>
        <v>Træmaterialer</v>
      </c>
      <c r="D335">
        <f t="shared" si="23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676235.95848651009</v>
      </c>
      <c r="F335">
        <v>1</v>
      </c>
      <c r="G335">
        <v>1</v>
      </c>
    </row>
    <row r="336" spans="1:7" x14ac:dyDescent="0.25">
      <c r="A336" t="s">
        <v>164</v>
      </c>
      <c r="B336" t="s">
        <v>23</v>
      </c>
      <c r="C336" t="str">
        <f t="shared" si="21"/>
        <v>Have/parkaffald</v>
      </c>
      <c r="D336">
        <f t="shared" si="23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25">
      <c r="A337" t="s">
        <v>164</v>
      </c>
      <c r="B337" t="s">
        <v>23</v>
      </c>
      <c r="C337" t="str">
        <f t="shared" si="21"/>
        <v>Bioaffald</v>
      </c>
      <c r="D337">
        <f t="shared" si="23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25">
      <c r="A338" t="s">
        <v>120</v>
      </c>
      <c r="B338" t="s">
        <v>24</v>
      </c>
      <c r="C338" t="str">
        <f>C326</f>
        <v>Halm</v>
      </c>
      <c r="D338">
        <f t="shared" si="23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238579.25343299913</v>
      </c>
      <c r="F338">
        <v>1</v>
      </c>
    </row>
    <row r="339" spans="1:7" x14ac:dyDescent="0.25">
      <c r="A339" t="s">
        <v>120</v>
      </c>
      <c r="B339" t="s">
        <v>24</v>
      </c>
      <c r="C339" t="str">
        <f t="shared" si="21"/>
        <v>Rapsolie</v>
      </c>
      <c r="D339">
        <f t="shared" si="23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69114.43723327505</v>
      </c>
      <c r="F339">
        <v>1</v>
      </c>
    </row>
    <row r="340" spans="1:7" x14ac:dyDescent="0.25">
      <c r="A340" t="s">
        <v>120</v>
      </c>
      <c r="B340" t="s">
        <v>24</v>
      </c>
      <c r="C340" t="str">
        <f t="shared" si="21"/>
        <v>Pil &amp; poppel</v>
      </c>
      <c r="D340">
        <f t="shared" si="23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437726.22620455944</v>
      </c>
      <c r="F340">
        <v>1</v>
      </c>
    </row>
    <row r="341" spans="1:7" x14ac:dyDescent="0.25">
      <c r="A341" t="s">
        <v>120</v>
      </c>
      <c r="B341" t="s">
        <v>24</v>
      </c>
      <c r="C341" t="str">
        <f t="shared" si="21"/>
        <v>Træ til energi</v>
      </c>
      <c r="D341">
        <f t="shared" si="23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641761.08642399055</v>
      </c>
      <c r="F341">
        <v>1</v>
      </c>
    </row>
    <row r="342" spans="1:7" x14ac:dyDescent="0.25">
      <c r="A342" t="s">
        <v>120</v>
      </c>
      <c r="B342" t="s">
        <v>24</v>
      </c>
      <c r="C342" t="str">
        <f t="shared" si="21"/>
        <v>Have/parkaffald</v>
      </c>
      <c r="D342">
        <f t="shared" si="23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457927.02496060182</v>
      </c>
      <c r="F342">
        <v>1</v>
      </c>
    </row>
    <row r="343" spans="1:7" x14ac:dyDescent="0.25">
      <c r="A343" t="s">
        <v>120</v>
      </c>
      <c r="B343" t="s">
        <v>24</v>
      </c>
      <c r="C343" t="str">
        <f t="shared" si="21"/>
        <v>Bioaffald</v>
      </c>
      <c r="D343">
        <f t="shared" si="23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25">
      <c r="A344" t="s">
        <v>164</v>
      </c>
      <c r="B344" t="s">
        <v>24</v>
      </c>
      <c r="C344" t="str">
        <f t="shared" si="21"/>
        <v>Halm</v>
      </c>
      <c r="D344">
        <f t="shared" si="23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25">
      <c r="A345" t="s">
        <v>164</v>
      </c>
      <c r="B345" t="s">
        <v>24</v>
      </c>
      <c r="C345" t="str">
        <f t="shared" si="21"/>
        <v>Rapsolie</v>
      </c>
      <c r="D345">
        <f t="shared" si="23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25">
      <c r="A346" t="s">
        <v>164</v>
      </c>
      <c r="B346" t="s">
        <v>24</v>
      </c>
      <c r="C346" t="str">
        <f t="shared" si="21"/>
        <v>Pil &amp; poppel</v>
      </c>
      <c r="D346">
        <f t="shared" si="23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25">
      <c r="A347" t="s">
        <v>164</v>
      </c>
      <c r="B347" t="s">
        <v>24</v>
      </c>
      <c r="C347" t="str">
        <f t="shared" si="21"/>
        <v>Træmaterialer</v>
      </c>
      <c r="D347">
        <f t="shared" si="23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183690.80267816613</v>
      </c>
      <c r="F347">
        <v>1</v>
      </c>
      <c r="G347">
        <v>1</v>
      </c>
    </row>
    <row r="348" spans="1:7" x14ac:dyDescent="0.25">
      <c r="A348" t="s">
        <v>164</v>
      </c>
      <c r="B348" t="s">
        <v>24</v>
      </c>
      <c r="C348" t="str">
        <f t="shared" si="21"/>
        <v>Have/parkaffald</v>
      </c>
      <c r="D348">
        <f t="shared" si="23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25">
      <c r="A349" t="s">
        <v>164</v>
      </c>
      <c r="B349" t="s">
        <v>24</v>
      </c>
      <c r="C349" t="str">
        <f t="shared" si="21"/>
        <v>Bioaffald</v>
      </c>
      <c r="D349">
        <f t="shared" si="23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4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4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4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4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4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4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5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2624286.3778383415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5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2432259.1444606641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5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1612.6002200520545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5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167730.1780268476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5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18349026.989869542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5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1027550.6043709198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6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0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6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68744.822418311567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6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561.84151705662089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6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21799.461540380005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6"/>
        <v>2050</v>
      </c>
      <c r="E366" t="e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#DIV/0!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6"/>
        <v>2050</v>
      </c>
      <c r="E367" t="e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#DIV/0!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7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7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7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7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7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7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380251.52538746473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172870.41030072086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135.34494123826798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22506.567396310857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2955271.7916417704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469385.8379067207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0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4885.9701831397142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47.155151143904114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3097.7085905225945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2050</v>
      </c>
      <c r="E384" t="e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#DIV/0!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2050</v>
      </c>
      <c r="E385" t="e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#DIV/0!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14277650.729439929</v>
      </c>
      <c r="G387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6058655.6146041919</v>
      </c>
      <c r="G38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1732245.2164050208</v>
      </c>
      <c r="G390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733919.99628634495</v>
      </c>
      <c r="G391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736256.34152477351</v>
      </c>
      <c r="G393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649292.34846099082</v>
      </c>
      <c r="G394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225771.64512076203</v>
      </c>
      <c r="G396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215982.61635398451</v>
      </c>
      <c r="G397">
        <v>1</v>
      </c>
    </row>
    <row r="398" spans="1:7" x14ac:dyDescent="0.25">
      <c r="A398" t="s">
        <v>310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25">
      <c r="A399" t="s">
        <v>310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25">
      <c r="A400" t="s">
        <v>310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25">
      <c r="A401" t="s">
        <v>310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25">
      <c r="A402" t="s">
        <v>310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25">
      <c r="A403" t="s">
        <v>310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25">
      <c r="A404" t="s">
        <v>120</v>
      </c>
      <c r="B404" t="s">
        <v>23</v>
      </c>
      <c r="C404" t="s">
        <v>306</v>
      </c>
      <c r="D404">
        <f t="shared" ref="D404:D411" si="30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25">
      <c r="A405" t="s">
        <v>120</v>
      </c>
      <c r="B405" t="s">
        <v>23</v>
      </c>
      <c r="C405" t="s">
        <v>307</v>
      </c>
      <c r="D405">
        <f t="shared" si="30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25">
      <c r="A406" t="s">
        <v>120</v>
      </c>
      <c r="B406" t="s">
        <v>23</v>
      </c>
      <c r="C406" t="s">
        <v>306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25">
      <c r="A407" t="s">
        <v>120</v>
      </c>
      <c r="B407" t="s">
        <v>23</v>
      </c>
      <c r="C407" t="s">
        <v>307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25">
      <c r="A408" t="s">
        <v>120</v>
      </c>
      <c r="B408" t="s">
        <v>23</v>
      </c>
      <c r="C408" t="s">
        <v>306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25">
      <c r="A409" t="s">
        <v>120</v>
      </c>
      <c r="B409" t="s">
        <v>23</v>
      </c>
      <c r="C409" t="s">
        <v>307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25">
      <c r="A410" t="s">
        <v>120</v>
      </c>
      <c r="B410" t="s">
        <v>24</v>
      </c>
      <c r="C410" t="s">
        <v>306</v>
      </c>
      <c r="D410">
        <f t="shared" si="30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25">
      <c r="A411" t="s">
        <v>120</v>
      </c>
      <c r="B411" t="s">
        <v>24</v>
      </c>
      <c r="C411" t="s">
        <v>307</v>
      </c>
      <c r="D411">
        <f t="shared" si="30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25">
      <c r="A412" t="s">
        <v>120</v>
      </c>
      <c r="B412" t="s">
        <v>24</v>
      </c>
      <c r="C412" t="s">
        <v>306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25">
      <c r="A413" t="s">
        <v>120</v>
      </c>
      <c r="B413" t="s">
        <v>24</v>
      </c>
      <c r="C413" t="s">
        <v>307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25">
      <c r="A414" t="s">
        <v>120</v>
      </c>
      <c r="B414" t="s">
        <v>24</v>
      </c>
      <c r="C414" t="s">
        <v>306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25">
      <c r="A415" t="s">
        <v>120</v>
      </c>
      <c r="B415" t="s">
        <v>24</v>
      </c>
      <c r="C415" t="s">
        <v>307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541644.90666485392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1754981.2868040325</v>
      </c>
      <c r="F14">
        <f>E14-D14</f>
        <v>1213336.3801391786</v>
      </c>
      <c r="G14">
        <f t="shared" si="3"/>
        <v>1213336.3801391786</v>
      </c>
      <c r="H14">
        <f t="shared" si="1"/>
        <v>550882.085706549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235602.02928792752</v>
      </c>
      <c r="F15">
        <f t="shared" si="2"/>
        <v>235602.02928792752</v>
      </c>
      <c r="G15">
        <f t="shared" si="3"/>
        <v>235602.02928792752</v>
      </c>
      <c r="H15">
        <f t="shared" si="1"/>
        <v>72246.926438643844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896780.35875026754</v>
      </c>
      <c r="F16">
        <f t="shared" si="2"/>
        <v>896780.35875026754</v>
      </c>
      <c r="G16">
        <f t="shared" si="3"/>
        <v>896780.35875026754</v>
      </c>
      <c r="H16">
        <f t="shared" si="1"/>
        <v>272404.80098126631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2225869.1010711943</v>
      </c>
      <c r="F17">
        <f t="shared" ca="1" si="2"/>
        <v>2225869.1010711943</v>
      </c>
      <c r="G17">
        <f t="shared" ca="1" si="3"/>
        <v>2225869.1010711943</v>
      </c>
      <c r="H17">
        <f t="shared" ca="1" si="1"/>
        <v>648970.86702196393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0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526734.10986839118</v>
      </c>
      <c r="G18">
        <f t="shared" si="3"/>
        <v>526734.10986839118</v>
      </c>
      <c r="H18">
        <f t="shared" si="1"/>
        <v>456074.89013160887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65715.418897709809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616597.50460425881</v>
      </c>
      <c r="F20">
        <f t="shared" si="2"/>
        <v>550882.085706549</v>
      </c>
      <c r="G20">
        <f t="shared" si="3"/>
        <v>550882.085706549</v>
      </c>
      <c r="H20">
        <f t="shared" si="1"/>
        <v>1213336.3801391786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72246.926438643844</v>
      </c>
      <c r="F21">
        <f t="shared" si="2"/>
        <v>72246.926438643844</v>
      </c>
      <c r="G21">
        <f t="shared" si="3"/>
        <v>72246.926438643844</v>
      </c>
      <c r="H21">
        <f t="shared" si="1"/>
        <v>235602.02928792752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272404.80098126631</v>
      </c>
      <c r="F22">
        <f t="shared" si="2"/>
        <v>272404.80098126631</v>
      </c>
      <c r="G22">
        <f t="shared" si="3"/>
        <v>272404.80098126631</v>
      </c>
      <c r="H22">
        <f t="shared" si="1"/>
        <v>896780.35875026754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648970.86702196393</v>
      </c>
      <c r="F23">
        <f t="shared" ca="1" si="2"/>
        <v>648970.86702196393</v>
      </c>
      <c r="G23">
        <f t="shared" ca="1" si="3"/>
        <v>648970.86702196393</v>
      </c>
      <c r="H23">
        <f t="shared" ca="1" si="1"/>
        <v>2225869.1010711943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0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456074.89013160887</v>
      </c>
      <c r="G24">
        <f t="shared" si="3"/>
        <v>456074.89013160887</v>
      </c>
      <c r="H24">
        <f t="shared" si="1"/>
        <v>526734.10986839118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81557.737283545939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705690.41005120426</v>
      </c>
      <c r="F26">
        <f t="shared" si="2"/>
        <v>624132.67276765837</v>
      </c>
      <c r="G26">
        <f t="shared" si="3"/>
        <v>624132.67276765837</v>
      </c>
      <c r="H26">
        <f t="shared" si="1"/>
        <v>238579.25343299913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207773.55150751706</v>
      </c>
      <c r="F27">
        <f t="shared" si="2"/>
        <v>207773.55150751706</v>
      </c>
      <c r="G27">
        <f t="shared" si="3"/>
        <v>207773.55150751706</v>
      </c>
      <c r="H27">
        <f t="shared" si="1"/>
        <v>69114.43723327505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1315903.5397993135</v>
      </c>
      <c r="F28">
        <f t="shared" si="2"/>
        <v>1315903.5397993135</v>
      </c>
      <c r="G28">
        <f t="shared" si="3"/>
        <v>1315903.5397993135</v>
      </c>
      <c r="H28">
        <f t="shared" si="1"/>
        <v>437726.22620455944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2312878.2492368715</v>
      </c>
      <c r="F29">
        <f t="shared" ca="1" si="2"/>
        <v>2312878.2492368715</v>
      </c>
      <c r="G29">
        <f t="shared" ca="1" si="3"/>
        <v>2312878.2492368715</v>
      </c>
      <c r="H29">
        <f t="shared" ca="1" si="1"/>
        <v>641761.08642399055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0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524881.97503939818</v>
      </c>
      <c r="G30">
        <f t="shared" si="3"/>
        <v>524881.97503939818</v>
      </c>
      <c r="H30">
        <f t="shared" si="1"/>
        <v>457927.02496060182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9879.5604259102856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248458.81385890942</v>
      </c>
      <c r="F32">
        <f t="shared" si="2"/>
        <v>238579.25343299913</v>
      </c>
      <c r="G32">
        <f t="shared" si="3"/>
        <v>238579.25343299913</v>
      </c>
      <c r="H32">
        <f t="shared" si="1"/>
        <v>624132.67276765837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69114.43723327505</v>
      </c>
      <c r="F33">
        <f t="shared" si="2"/>
        <v>69114.43723327505</v>
      </c>
      <c r="G33">
        <f t="shared" si="3"/>
        <v>69114.43723327505</v>
      </c>
      <c r="H33">
        <f t="shared" si="1"/>
        <v>207773.55150751706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437726.22620455944</v>
      </c>
      <c r="F34">
        <f t="shared" si="2"/>
        <v>437726.22620455944</v>
      </c>
      <c r="G34">
        <f t="shared" si="3"/>
        <v>437726.22620455944</v>
      </c>
      <c r="H34">
        <f t="shared" si="1"/>
        <v>1315903.5397993135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641761.08642399055</v>
      </c>
      <c r="F35">
        <f t="shared" ca="1" si="2"/>
        <v>641761.08642399055</v>
      </c>
      <c r="G35">
        <f t="shared" ca="1" si="3"/>
        <v>641761.08642399055</v>
      </c>
      <c r="H35">
        <f t="shared" ca="1" si="1"/>
        <v>2312878.2492368715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0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457927.02496060182</v>
      </c>
      <c r="G36">
        <f t="shared" si="3"/>
        <v>457927.02496060182</v>
      </c>
      <c r="H36">
        <f t="shared" si="1"/>
        <v>524881.97503939818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174" zoomScale="80" zoomScaleNormal="80" workbookViewId="0">
      <selection activeCell="H188" sqref="H188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4" width="14.42578125" bestFit="1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1903494.0653747609</v>
      </c>
      <c r="O3">
        <f>SUMIF($F$3:$F$494,"Roer",J3:J494)</f>
        <v>1115629.1792631589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-14977.136889477004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-9180.50628807049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-3311.1766801946765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-20456.825285870404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-83871.966581071218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1144.5736818569644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597.91162485065297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-8700.6771294542905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-6109.2989850833546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-674074.4748612477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-428430.02545910742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12353.466412444523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77009.557429923152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3088.3666031111302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19252.389357480781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-86560.382820211555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-539603.74759542011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-77904.344538190417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-485643.37283587817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127028.56723918195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43971.427121255299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-26301.776225343885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-801076.95589190233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5815.9325080565959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2907.9662540282984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-65494.400344135225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-36676.864192715722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-14977.136889477004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-9178.2792350017862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-2558.6365256049771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-15807.546811808948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-82374.252892123521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840.41616411625125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458.40881679068264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-7962.4221374896288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-1555.367698333157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-512331.07277112949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-326612.55775362212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3135.0028409305678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19614.272625588896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10972.509943256982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68649.954189561104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-43251.162461405875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-270602.65490535798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-21625.581230702948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-135301.32745267905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32708.999660059962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43260.289872982532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-235819.8879993915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-225630.13975250421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2699.6291358284216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1472.5249831791393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-68025.361090017483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-18622.327357221977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3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14231744.940235101</v>
      </c>
      <c r="I95" s="404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9730814.0573006514</v>
      </c>
      <c r="J95" s="405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0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3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15352538.506892066</v>
      </c>
      <c r="I96" s="404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10497145.511353366</v>
      </c>
      <c r="J96" s="405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0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3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1968084.6638925183</v>
      </c>
      <c r="I97" s="404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1345658.314829719</v>
      </c>
      <c r="J97" s="405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0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3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160864.90802355704</v>
      </c>
      <c r="I98" s="404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109989.78093659866</v>
      </c>
      <c r="J98" s="405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0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3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-8783081404.0200005</v>
      </c>
      <c r="I99" s="404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-6005344555.5385208</v>
      </c>
      <c r="J99" s="405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0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3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-674539.66619999998</v>
      </c>
      <c r="I100" s="404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-461209.78795151296</v>
      </c>
      <c r="J100" s="405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0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3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1288169.8408620751</v>
      </c>
      <c r="I101" s="404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880773.31685543491</v>
      </c>
      <c r="J101" s="405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0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3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224727.20289902308</v>
      </c>
      <c r="I102" s="404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137941.42145938147</v>
      </c>
      <c r="J102" s="405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507725.7507076452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3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4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5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3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243586.51339107481</v>
      </c>
      <c r="I104" s="404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149517.59053663543</v>
      </c>
      <c r="J104" s="405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550334.5557560845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3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7449.8701829066958</v>
      </c>
      <c r="I105" s="404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4572.8584232847197</v>
      </c>
      <c r="J105" s="405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16831.477820646374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3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-406756309.19</v>
      </c>
      <c r="I106" s="404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-249674017.00118873</v>
      </c>
      <c r="J106" s="405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-918983771.3210001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3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-27458.796750000001</v>
      </c>
      <c r="I107" s="404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-16854.681615741814</v>
      </c>
      <c r="J107" s="405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-62037.608325000008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3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65622.565085531067</v>
      </c>
      <c r="I108" s="404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40280.258869133482</v>
      </c>
      <c r="J108" s="405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148260.93900338138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3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411928.1258385395</v>
      </c>
      <c r="I109" s="404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335011.67555850605</v>
      </c>
      <c r="J109" s="405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0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3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11953488.544958346</v>
      </c>
      <c r="I110" s="404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8853423.2858368177</v>
      </c>
      <c r="J110" s="405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0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3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234254.90515230247</v>
      </c>
      <c r="I111" s="404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156490.48337099882</v>
      </c>
      <c r="J111" s="405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0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3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4474552.90572685</v>
      </c>
      <c r="I112" s="404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1928489.0964590292</v>
      </c>
      <c r="J112" s="405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0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3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50974.141893857719</v>
      </c>
      <c r="I113" s="404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34052.512579001894</v>
      </c>
      <c r="J113" s="405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0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3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-3101358722</v>
      </c>
      <c r="I114" s="404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-2297040016.7128444</v>
      </c>
      <c r="J114" s="405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0</v>
      </c>
      <c r="L114" s="94"/>
      <c r="M114" s="94"/>
      <c r="N114" s="94"/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3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-12971.687549999999</v>
      </c>
      <c r="I115" s="404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-8665.5417248030899</v>
      </c>
      <c r="J115" s="405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0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3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3757079.4072644925</v>
      </c>
      <c r="I116" s="404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2509860.667053218</v>
      </c>
      <c r="J116" s="405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0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3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21677.657032824009</v>
      </c>
      <c r="I117" s="404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17792.267834927461</v>
      </c>
      <c r="J117" s="405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15704.824852854279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3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1171427.2358122203</v>
      </c>
      <c r="I118" s="404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875613.29200583894</v>
      </c>
      <c r="J118" s="405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687448.22418311588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3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9671.5700607984036</v>
      </c>
      <c r="I119" s="404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6520.4368071249492</v>
      </c>
      <c r="J119" s="405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4344.6902101132364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3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447449.07465188007</v>
      </c>
      <c r="I120" s="404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194621.86242994375</v>
      </c>
      <c r="J120" s="405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0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3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8943.0621574433171</v>
      </c>
      <c r="I121" s="404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6029.2870023407413</v>
      </c>
      <c r="J121" s="405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4017.427817781906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3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-544112030</v>
      </c>
      <c r="I122" s="404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-406710473.55147189</v>
      </c>
      <c r="J122" s="405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-319310356.92611325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3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-2743.422</v>
      </c>
      <c r="I123" s="404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-1849.5766120521321</v>
      </c>
      <c r="J123" s="405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-1232.4078335452102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3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551216.37540002866</v>
      </c>
      <c r="I124" s="404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371622.34469215496</v>
      </c>
      <c r="J124" s="405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247618.98789956214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3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97185929.8774468</v>
      </c>
      <c r="I125" s="404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76657601.004271179</v>
      </c>
      <c r="J125" s="405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0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3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6185.7778797696892</v>
      </c>
      <c r="I126" s="404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4879.1722547326508</v>
      </c>
      <c r="J126" s="405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0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3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137099.40658193204</v>
      </c>
      <c r="I127" s="404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108140.25878985807</v>
      </c>
      <c r="J127" s="405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0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3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202533.97911315371</v>
      </c>
      <c r="I128" s="404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159753.25831878959</v>
      </c>
      <c r="J128" s="405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0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3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8553.8229892246891</v>
      </c>
      <c r="I129" s="404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6747.0214113917264</v>
      </c>
      <c r="J129" s="405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0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3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-336558388.31999999</v>
      </c>
      <c r="I130" s="404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-265468043.35780993</v>
      </c>
      <c r="J130" s="405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0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3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-7976.870891999999</v>
      </c>
      <c r="I131" s="404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-6291.9373912727669</v>
      </c>
      <c r="J131" s="405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0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3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14555.244181520657</v>
      </c>
      <c r="I132" s="404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11480.778157844003</v>
      </c>
      <c r="J132" s="405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0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3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1144367.3520506443</v>
      </c>
      <c r="I133" s="404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889322.42607195396</v>
      </c>
      <c r="J133" s="405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3180048.1032192786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3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2021.8344763254286</v>
      </c>
      <c r="I134" s="404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1571.2286254755672</v>
      </c>
      <c r="J134" s="405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5618.4151705662098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3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7613.0179455684893</v>
      </c>
      <c r="I135" s="404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5916.3061380159543</v>
      </c>
      <c r="J135" s="405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21155.587175915862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3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14016.013855362682</v>
      </c>
      <c r="I136" s="404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10892.267612644744</v>
      </c>
      <c r="J136" s="405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38948.680417674739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3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1438.3001997417073</v>
      </c>
      <c r="I137" s="404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1117.7465179882759</v>
      </c>
      <c r="J137" s="405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3996.8492755865582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3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-56591304</v>
      </c>
      <c r="I138" s="404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-43978811.242448129</v>
      </c>
      <c r="J138" s="405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-157259876.928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3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-2526.3975</v>
      </c>
      <c r="I139" s="404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-1963.3397876092913</v>
      </c>
      <c r="J139" s="405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-7020.5302199999996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3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2692.1636914788196</v>
      </c>
      <c r="I140" s="404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2092.1617006973256</v>
      </c>
      <c r="J140" s="405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7481.1729164606168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3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6000728.6487308554</v>
      </c>
      <c r="I141" s="404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4137067.5137802726</v>
      </c>
      <c r="J141" s="405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0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3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1958622.8291241296</v>
      </c>
      <c r="I142" s="404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1350328.4938290964</v>
      </c>
      <c r="J142" s="405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0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3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-136963849.32909226</v>
      </c>
      <c r="I143" s="404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-87931200.302799433</v>
      </c>
      <c r="J143" s="405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0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3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1946337.0798042775</v>
      </c>
      <c r="I144" s="404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1156730.0717158429</v>
      </c>
      <c r="J144" s="405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0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3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190413.34522670315</v>
      </c>
      <c r="I145" s="404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100692.28864021107</v>
      </c>
      <c r="J145" s="405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3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62150.439848632843</v>
      </c>
      <c r="I146" s="404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32865.711281443299</v>
      </c>
      <c r="J146" s="405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3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-2942669.3865277474</v>
      </c>
      <c r="I147" s="404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-1449067.8763098537</v>
      </c>
      <c r="J147" s="405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3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361986.6881069821</v>
      </c>
      <c r="I148" s="404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165012.47524724531</v>
      </c>
      <c r="J148" s="405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3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112295.35066349972</v>
      </c>
      <c r="I149" s="404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57629.90191927983</v>
      </c>
      <c r="J149" s="405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3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36652.921718189653</v>
      </c>
      <c r="I150" s="404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18810.255911698143</v>
      </c>
      <c r="J150" s="405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3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-1144236.3018493962</v>
      </c>
      <c r="I151" s="404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-546827.38439636608</v>
      </c>
      <c r="J151" s="405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3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468584.15317518299</v>
      </c>
      <c r="I152" s="404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207299.88062621429</v>
      </c>
      <c r="J152" s="405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3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514065.70872799889</v>
      </c>
      <c r="I153" s="404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354411.05039416085</v>
      </c>
      <c r="J153" s="405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420045.64366621693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3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167789.76216454705</v>
      </c>
      <c r="I154" s="404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115678.88082102814</v>
      </c>
      <c r="J154" s="405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137101.84797854404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3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-11733311.468827365</v>
      </c>
      <c r="I155" s="404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-7532821.0037496788</v>
      </c>
      <c r="J155" s="405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-7842802.7723166263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3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248861.6063304602</v>
      </c>
      <c r="I156" s="404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147901.25858718195</v>
      </c>
      <c r="J156" s="405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131520.17135347903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3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16312.180902553693</v>
      </c>
      <c r="I157" s="404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8626.0278964992031</v>
      </c>
      <c r="J157" s="405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3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5324.2550661412697</v>
      </c>
      <c r="I158" s="404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2815.5139403475987</v>
      </c>
      <c r="J158" s="405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3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-252090.28974464818</v>
      </c>
      <c r="I159" s="404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-124137.60868653002</v>
      </c>
      <c r="J159" s="405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3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46284.166091931889</v>
      </c>
      <c r="I160" s="404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21098.744960828808</v>
      </c>
      <c r="J160" s="405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3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9620.0299005188881</v>
      </c>
      <c r="I161" s="404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4936.993173374939</v>
      </c>
      <c r="J161" s="405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3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3139.9537094546145</v>
      </c>
      <c r="I162" s="404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1611.4222293066466</v>
      </c>
      <c r="J162" s="405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3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-98023.536789473103</v>
      </c>
      <c r="I163" s="404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-46845.178871910677</v>
      </c>
      <c r="J163" s="405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3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59913.879394365205</v>
      </c>
      <c r="I164" s="404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26505.676647716173</v>
      </c>
      <c r="J164" s="405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3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151288.25314661043</v>
      </c>
      <c r="I165" s="404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877116.05091437174</v>
      </c>
      <c r="J165" s="405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0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3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-1467704.1161021357</v>
      </c>
      <c r="I166" s="404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-7928081.995730293</v>
      </c>
      <c r="J166" s="405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0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3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16685.552909583264</v>
      </c>
      <c r="I167" s="404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83434.783775589807</v>
      </c>
      <c r="J167" s="405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0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3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2218.5848349981225</v>
      </c>
      <c r="I168" s="404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1172.5882203317885</v>
      </c>
      <c r="J168" s="405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3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-17487.700773523011</v>
      </c>
      <c r="I169" s="404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-8611.5231080486938</v>
      </c>
      <c r="J169" s="405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3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1434.1434151806104</v>
      </c>
      <c r="I170" s="404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653.75761754131122</v>
      </c>
      <c r="J170" s="405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3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660.08898837497532</v>
      </c>
      <c r="I171" s="404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338.57840165208194</v>
      </c>
      <c r="J171" s="405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3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-4345.4160226653421</v>
      </c>
      <c r="I172" s="404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-2076.6623764231022</v>
      </c>
      <c r="J172" s="405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3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936.5902571566595</v>
      </c>
      <c r="I173" s="404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414.34403444639076</v>
      </c>
      <c r="J173" s="405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3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11026.048730184528</v>
      </c>
      <c r="I174" s="404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63925.1502893406</v>
      </c>
      <c r="J174" s="405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1356473.9038224784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3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-106967.83635905928</v>
      </c>
      <c r="I175" s="404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-577807.04452386196</v>
      </c>
      <c r="J175" s="405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-10781632.13054782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3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2133.4400616815751</v>
      </c>
      <c r="I176" s="404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10668.097797487311</v>
      </c>
      <c r="J176" s="405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170018.23994198319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3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161.69282144484706</v>
      </c>
      <c r="I177" s="404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85.459476125283842</v>
      </c>
      <c r="J177" s="405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3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-1274.5222242793175</v>
      </c>
      <c r="I178" s="404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-627.61695938441324</v>
      </c>
      <c r="J178" s="405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3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183.37174876511565</v>
      </c>
      <c r="I179" s="404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83.59043895339336</v>
      </c>
      <c r="J179" s="405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3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48.107987240936367</v>
      </c>
      <c r="I180" s="404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24.675953869241219</v>
      </c>
      <c r="J180" s="405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3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-316.6985395250839</v>
      </c>
      <c r="I181" s="404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-151.34936178020735</v>
      </c>
      <c r="J181" s="405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3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119.75384854349258</v>
      </c>
      <c r="I182" s="404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52.9786556787694</v>
      </c>
      <c r="J182" s="405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3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18287.386999956889</v>
      </c>
      <c r="I183" s="404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105317.46814810643</v>
      </c>
      <c r="J183" s="405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0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3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-15647250.586681526</v>
      </c>
      <c r="I184" s="404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-83360553.018953681</v>
      </c>
      <c r="J184" s="405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0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3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3388.2919548163195</v>
      </c>
      <c r="I185" s="404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16710.147958072102</v>
      </c>
      <c r="J185" s="405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0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3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1332.8042066416401</v>
      </c>
      <c r="I186" s="404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7675.6490460323321</v>
      </c>
      <c r="J186" s="405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163457.7733526399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3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-1140388.2580028614</v>
      </c>
      <c r="I187" s="404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-6075405.7281063097</v>
      </c>
      <c r="J187" s="405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-113207137.37075211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3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433.23214017838967</v>
      </c>
      <c r="I188" s="404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2136.5848218252418</v>
      </c>
      <c r="J188" s="405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34003.647988396639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3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1856679.0274235527</v>
      </c>
      <c r="I189" s="404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1505614.9449514647</v>
      </c>
      <c r="J189" s="405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0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3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-6557474.8258948205</v>
      </c>
      <c r="I190" s="404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-4951789.1711565303</v>
      </c>
      <c r="J190" s="405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0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3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99397.95717709836</v>
      </c>
      <c r="I191" s="404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69483.213219415382</v>
      </c>
      <c r="J191" s="405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0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3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72157.52731348855</v>
      </c>
      <c r="I192" s="404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38157.549089656844</v>
      </c>
      <c r="J192" s="405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3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-169898.74999687725</v>
      </c>
      <c r="I193" s="404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-83663.772074706401</v>
      </c>
      <c r="J193" s="405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3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22641.407361399019</v>
      </c>
      <c r="I194" s="404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10321.138302968409</v>
      </c>
      <c r="J194" s="405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3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71978.294997334495</v>
      </c>
      <c r="I195" s="404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36939.214816145279</v>
      </c>
      <c r="J195" s="405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3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-108949.33153327699</v>
      </c>
      <c r="I196" s="404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-52066.586156882666</v>
      </c>
      <c r="J196" s="405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3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49573.996961028934</v>
      </c>
      <c r="I197" s="404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21931.351247261682</v>
      </c>
      <c r="J197" s="405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3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135316.74143163557</v>
      </c>
      <c r="I198" s="404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109730.81787018363</v>
      </c>
      <c r="J198" s="405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948178.75571234117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3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-477915.73683653522</v>
      </c>
      <c r="I199" s="404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-360891.65924773726</v>
      </c>
      <c r="J199" s="405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-2739446.7621003077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3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12709.173321378878</v>
      </c>
      <c r="I200" s="404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8884.2288595377431</v>
      </c>
      <c r="J200" s="405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57598.690225193066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3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5258.9173042875573</v>
      </c>
      <c r="I201" s="404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2780.9627445380484</v>
      </c>
      <c r="J201" s="405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3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-12382.401526228334</v>
      </c>
      <c r="I202" s="404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-6097.504655254409</v>
      </c>
      <c r="J202" s="405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3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2894.9646307445764</v>
      </c>
      <c r="I203" s="404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1319.6763725499436</v>
      </c>
      <c r="J203" s="405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3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5245.854662536889</v>
      </c>
      <c r="I204" s="404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2692.1692474224824</v>
      </c>
      <c r="J204" s="405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3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-7940.3431107291908</v>
      </c>
      <c r="I205" s="404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-3794.6681532755997</v>
      </c>
      <c r="J205" s="405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3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6338.6063205370474</v>
      </c>
      <c r="I206" s="404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2804.1757807645145</v>
      </c>
      <c r="J206" s="405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3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9409787.8886368591</v>
      </c>
      <c r="I207" s="404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14563557.937962404</v>
      </c>
      <c r="J207" s="405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0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3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-29393734.83955488</v>
      </c>
      <c r="I208" s="404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-42363404.509830728</v>
      </c>
      <c r="J208" s="405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0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3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431176.57641327148</v>
      </c>
      <c r="I209" s="404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488581.4714720893</v>
      </c>
      <c r="J209" s="405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0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3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1141734.8185532175</v>
      </c>
      <c r="I210" s="404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710878.28045816126</v>
      </c>
      <c r="J210" s="405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3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-2492703.3187545058</v>
      </c>
      <c r="I211" s="404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-1445270.1074022148</v>
      </c>
      <c r="J211" s="405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3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306634.99709491339</v>
      </c>
      <c r="I212" s="404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139780.27792311943</v>
      </c>
      <c r="J212" s="405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3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1366909.1315970949</v>
      </c>
      <c r="I213" s="404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825956.01495948376</v>
      </c>
      <c r="J213" s="405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3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-2066065.7974563106</v>
      </c>
      <c r="I214" s="404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-1162545.2130443652</v>
      </c>
      <c r="J214" s="405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3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805799.00076710421</v>
      </c>
      <c r="I215" s="404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356482.47072771541</v>
      </c>
      <c r="J215" s="405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3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938456.78825367626</v>
      </c>
      <c r="I216" s="404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1452452.4856198884</v>
      </c>
      <c r="J216" s="405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25960693.530883059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3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-2931495.4086924591</v>
      </c>
      <c r="I217" s="404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-4224986.2596580051</v>
      </c>
      <c r="J217" s="405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-66338259.457071841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3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55130.88998390019</v>
      </c>
      <c r="I218" s="404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62470.766793422539</v>
      </c>
      <c r="J218" s="405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657600.85676739528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3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113867.47539237716</v>
      </c>
      <c r="I219" s="404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70897.299260451764</v>
      </c>
      <c r="J219" s="405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3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-248602.24037701587</v>
      </c>
      <c r="I220" s="404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-144139.65109560092</v>
      </c>
      <c r="J220" s="405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3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39206.815060960464</v>
      </c>
      <c r="I221" s="404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17872.518002258748</v>
      </c>
      <c r="J221" s="405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3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136324.55573438658</v>
      </c>
      <c r="I222" s="404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82374.22970752744</v>
      </c>
      <c r="J222" s="405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3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-206052.83514871012</v>
      </c>
      <c r="I223" s="404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-115942.93726331244</v>
      </c>
      <c r="J223" s="405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3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103030.68044644492</v>
      </c>
      <c r="I224" s="404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45580.388522871704</v>
      </c>
      <c r="J224" s="405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3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228295.83737196182</v>
      </c>
      <c r="I225" s="404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679245.18304148212</v>
      </c>
      <c r="J225" s="405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0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3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67776.181350591316</v>
      </c>
      <c r="I226" s="404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201653.45648562003</v>
      </c>
      <c r="J226" s="405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3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4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5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3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134475.37812254048</v>
      </c>
      <c r="I228" s="404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344902.7827711975</v>
      </c>
      <c r="J228" s="405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0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3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8988.1461515200863</v>
      </c>
      <c r="I229" s="404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4753.0124821437275</v>
      </c>
      <c r="J229" s="405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3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2668.3895360672113</v>
      </c>
      <c r="I230" s="404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1411.0683736494673</v>
      </c>
      <c r="J230" s="405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3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4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5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3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31031.020333635548</v>
      </c>
      <c r="I232" s="404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14145.562925196517</v>
      </c>
      <c r="J232" s="405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3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3560.384134370031</v>
      </c>
      <c r="I233" s="404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1827.186853653041</v>
      </c>
      <c r="J233" s="405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3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1057.0023682721239</v>
      </c>
      <c r="I234" s="404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542.45293729483603</v>
      </c>
      <c r="J234" s="405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3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4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5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3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26980.711121681303</v>
      </c>
      <c r="I236" s="404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11936.165909229743</v>
      </c>
      <c r="J236" s="405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3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16638.443338506684</v>
      </c>
      <c r="I237" s="404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49504.111073981883</v>
      </c>
      <c r="J237" s="405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983865.71975473268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3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4939.6001525197526</v>
      </c>
      <c r="I238" s="404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14696.718294882414</v>
      </c>
      <c r="J238" s="405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292088.81867644796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3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4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5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3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17194.225480632958</v>
      </c>
      <c r="I240" s="404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44099.792085817578</v>
      </c>
      <c r="J240" s="405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657600.85676739528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3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655.06564719629318</v>
      </c>
      <c r="I241" s="404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346.40460282468547</v>
      </c>
      <c r="J241" s="405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3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194.47506626492333</v>
      </c>
      <c r="I242" s="404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102.84016323728594</v>
      </c>
      <c r="J242" s="405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3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4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5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3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3967.6732496296468</v>
      </c>
      <c r="I244" s="404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1808.6730960122318</v>
      </c>
      <c r="J244" s="405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3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259.48458090593903</v>
      </c>
      <c r="I245" s="404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133.16732045287918</v>
      </c>
      <c r="J245" s="405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3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77.035456343029438</v>
      </c>
      <c r="I246" s="404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39.534546774417556</v>
      </c>
      <c r="J246" s="405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3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4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5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3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3449.7945804716023</v>
      </c>
      <c r="I248" s="404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1526.1762478966382</v>
      </c>
      <c r="J248" s="405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3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346761.79388166772</v>
      </c>
      <c r="I249" s="404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1771509.807832205</v>
      </c>
      <c r="J249" s="405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0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3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-576131.59912925877</v>
      </c>
      <c r="I250" s="404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-2740832.1776188947</v>
      </c>
      <c r="J250" s="405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0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3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9703.3123842265704</v>
      </c>
      <c r="I251" s="404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42732.439172452141</v>
      </c>
      <c r="J251" s="405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0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3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3621.7615488648539</v>
      </c>
      <c r="I252" s="404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1915.2200641721374</v>
      </c>
      <c r="J252" s="405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3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-3900.1794783652108</v>
      </c>
      <c r="I253" s="404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-1920.5775612498142</v>
      </c>
      <c r="J253" s="405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3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594.00455425100313</v>
      </c>
      <c r="I254" s="404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270.77836015927238</v>
      </c>
      <c r="J254" s="405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3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1489.163191827615</v>
      </c>
      <c r="I255" s="404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764.23759469787262</v>
      </c>
      <c r="J255" s="405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3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-981.82075140833501</v>
      </c>
      <c r="I256" s="404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-469.20943914376829</v>
      </c>
      <c r="J256" s="405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3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536.0963111377207</v>
      </c>
      <c r="I257" s="404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237.16700735599932</v>
      </c>
      <c r="J257" s="405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3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25272.368195039431</v>
      </c>
      <c r="I258" s="404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129109.51816086422</v>
      </c>
      <c r="J258" s="405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1115629.1792631589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3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-41989.083454102067</v>
      </c>
      <c r="I259" s="404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-199754.76299800738</v>
      </c>
      <c r="J259" s="405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-1516293.1164706231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3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1240.6802150158394</v>
      </c>
      <c r="I260" s="404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5463.8343816295765</v>
      </c>
      <c r="J260" s="405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35423.412539781872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3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263.95783212721415</v>
      </c>
      <c r="I261" s="404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139.58327442729322</v>
      </c>
      <c r="J261" s="405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3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-284.2492268269275</v>
      </c>
      <c r="I262" s="404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-139.97373451009315</v>
      </c>
      <c r="J262" s="405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3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75.95032179799955</v>
      </c>
      <c r="I263" s="404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34.622131165245413</v>
      </c>
      <c r="J263" s="405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3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108.53179661197174</v>
      </c>
      <c r="I264" s="404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55.698448394481645</v>
      </c>
      <c r="J264" s="405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3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-71.556140177280099</v>
      </c>
      <c r="I265" s="404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-34.196482760946282</v>
      </c>
      <c r="J265" s="405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3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68.546086144021544</v>
      </c>
      <c r="I266" s="404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30.324532698692284</v>
      </c>
      <c r="J266" s="405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3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22799.307708789471</v>
      </c>
      <c r="I267" s="404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698351.25056458265</v>
      </c>
      <c r="J267" s="405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0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3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-375960.31557485583</v>
      </c>
      <c r="I268" s="404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-10723651.436494801</v>
      </c>
      <c r="J268" s="405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0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3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5278.7362480253596</v>
      </c>
      <c r="I269" s="404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139382.28118342155</v>
      </c>
      <c r="J269" s="405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0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3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832.19283099213862</v>
      </c>
      <c r="I270" s="404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440.07104986685306</v>
      </c>
      <c r="J270" s="405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3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-11435.708317520553</v>
      </c>
      <c r="I271" s="404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-5631.3215618563945</v>
      </c>
      <c r="J271" s="405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3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870.88590683653945</v>
      </c>
      <c r="I272" s="404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396.99536990312703</v>
      </c>
      <c r="J272" s="405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3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554.51944988025582</v>
      </c>
      <c r="I273" s="404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284.57902593574931</v>
      </c>
      <c r="J273" s="405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3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-6531.4422836308104</v>
      </c>
      <c r="I274" s="404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-3121.3583195368269</v>
      </c>
      <c r="J274" s="405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3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1329.6940839065478</v>
      </c>
      <c r="I275" s="404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588.25170035180224</v>
      </c>
      <c r="J275" s="405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3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1661.6377847126773</v>
      </c>
      <c r="I276" s="404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50896.581587523695</v>
      </c>
      <c r="J276" s="405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1207470.6320248828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3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-27400.387498206695</v>
      </c>
      <c r="I277" s="404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-781551.11745339201</v>
      </c>
      <c r="J277" s="405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-16288075.215443019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3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674.94721017724225</v>
      </c>
      <c r="I278" s="404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17821.629536440963</v>
      </c>
      <c r="J278" s="405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317224.44030641014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3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60.651098261657197</v>
      </c>
      <c r="I279" s="404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32.072845972206274</v>
      </c>
      <c r="J279" s="405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3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-833.44657995995362</v>
      </c>
      <c r="I280" s="404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-410.41670232120464</v>
      </c>
      <c r="J280" s="405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3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111.35279081652958</v>
      </c>
      <c r="I281" s="404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50.760429159466241</v>
      </c>
      <c r="J281" s="405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3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40.413967040056363</v>
      </c>
      <c r="I282" s="404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20.740421958043608</v>
      </c>
      <c r="J282" s="405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3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-476.0184574800515</v>
      </c>
      <c r="I283" s="404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-227.48791277421816</v>
      </c>
      <c r="J283" s="405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3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170.01669910248501</v>
      </c>
      <c r="I284" s="404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75.214753186994344</v>
      </c>
      <c r="J284" s="405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3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1415136.4303395611</v>
      </c>
      <c r="I285" s="404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870421.22816913447</v>
      </c>
      <c r="J285" s="405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0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3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-6748143.454119416</v>
      </c>
      <c r="I286" s="404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-3865128.1510668965</v>
      </c>
      <c r="J286" s="405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0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3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107987.44231752631</v>
      </c>
      <c r="I287" s="404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57257.155381722725</v>
      </c>
      <c r="J287" s="405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0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3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51653.603137711965</v>
      </c>
      <c r="I288" s="404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27314.889669403336</v>
      </c>
      <c r="J288" s="405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3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-180581.0800621245</v>
      </c>
      <c r="I289" s="404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-88924.105230907124</v>
      </c>
      <c r="J289" s="405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3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23102.379527231336</v>
      </c>
      <c r="I290" s="404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10531.273538885136</v>
      </c>
      <c r="J290" s="405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3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34418.618533530331</v>
      </c>
      <c r="I291" s="404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17663.6129507113</v>
      </c>
      <c r="J291" s="405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3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-89042.384060234079</v>
      </c>
      <c r="I292" s="404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-42553.110661999563</v>
      </c>
      <c r="J292" s="405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3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33789.372952466074</v>
      </c>
      <c r="I293" s="404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14948.292493498313</v>
      </c>
      <c r="J293" s="405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3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103136.64753378094</v>
      </c>
      <c r="I294" s="404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63437.224490122077</v>
      </c>
      <c r="J294" s="405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0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3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-491811.86916932458</v>
      </c>
      <c r="I295" s="404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-281694.64882889652</v>
      </c>
      <c r="J295" s="405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0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3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13807.437898352086</v>
      </c>
      <c r="I296" s="404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7320.9865906891891</v>
      </c>
      <c r="J296" s="405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0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3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3764.5695117789446</v>
      </c>
      <c r="I297" s="404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1990.7381987059639</v>
      </c>
      <c r="J297" s="405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3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-13160.941098214729</v>
      </c>
      <c r="I298" s="404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-6480.8833281581619</v>
      </c>
      <c r="J298" s="405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3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2953.9052299105738</v>
      </c>
      <c r="I299" s="404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1346.5445820186367</v>
      </c>
      <c r="J299" s="405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3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2508.4655105943393</v>
      </c>
      <c r="I300" s="404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1287.3428907723817</v>
      </c>
      <c r="J300" s="405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3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-6489.5036149866719</v>
      </c>
      <c r="I301" s="404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-3101.3159450354469</v>
      </c>
      <c r="J301" s="405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3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4320.3603924019699</v>
      </c>
      <c r="I302" s="404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1911.3113141756708</v>
      </c>
      <c r="J302" s="405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3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6504856.0144051285</v>
      </c>
      <c r="I303" s="404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3382568.0660425602</v>
      </c>
      <c r="J303" s="405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0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3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-23382991.73904337</v>
      </c>
      <c r="I304" s="404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-11322891.907288229</v>
      </c>
      <c r="J304" s="405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0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3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332286.10382513731</v>
      </c>
      <c r="I305" s="404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148952.01615405752</v>
      </c>
      <c r="J305" s="405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0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3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256100.14280202685</v>
      </c>
      <c r="I306" s="404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135428.05767693956</v>
      </c>
      <c r="J306" s="405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3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-623324.69415606023</v>
      </c>
      <c r="I307" s="404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-306945.72585947346</v>
      </c>
      <c r="J307" s="405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3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76677.061543462041</v>
      </c>
      <c r="I308" s="404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34953.417171607813</v>
      </c>
      <c r="J308" s="405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3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101446.37947259334</v>
      </c>
      <c r="I309" s="404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52062.216864085043</v>
      </c>
      <c r="J309" s="405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3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-162798.69607567054</v>
      </c>
      <c r="I310" s="404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-77801.049498528329</v>
      </c>
      <c r="J310" s="405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3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66668.824451160137</v>
      </c>
      <c r="I311" s="404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29494.039131640624</v>
      </c>
      <c r="J311" s="405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3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690328.21436586988</v>
      </c>
      <c r="I312" s="404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358975.22832651337</v>
      </c>
      <c r="J312" s="405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0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3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-2481521.3277586871</v>
      </c>
      <c r="I313" s="404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-1201642.5474301397</v>
      </c>
      <c r="J313" s="405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0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3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42486.604410541935</v>
      </c>
      <c r="I314" s="404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19045.230341081002</v>
      </c>
      <c r="J314" s="405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0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3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27178.642215577976</v>
      </c>
      <c r="I315" s="404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14372.310320801069</v>
      </c>
      <c r="J315" s="405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3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-66150.368606776319</v>
      </c>
      <c r="I316" s="404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-32574.632608402768</v>
      </c>
      <c r="J316" s="405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3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9804.0451997782384</v>
      </c>
      <c r="I317" s="404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4469.1968489547226</v>
      </c>
      <c r="J317" s="405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3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10766.002789318034</v>
      </c>
      <c r="I318" s="404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5525.1057247266735</v>
      </c>
      <c r="J318" s="405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3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-17277.020877038922</v>
      </c>
      <c r="I319" s="404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-8256.6408014522949</v>
      </c>
      <c r="J319" s="405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3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8524.3768498453428</v>
      </c>
      <c r="I320" s="404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3771.1525057168606</v>
      </c>
      <c r="J320" s="405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3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437619.52462483628</v>
      </c>
      <c r="I321" s="404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679383.2767816619</v>
      </c>
      <c r="J321" s="405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0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3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233734.77619974819</v>
      </c>
      <c r="I322" s="404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362862.0050454695</v>
      </c>
      <c r="J322" s="405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0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3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-17405322.002124168</v>
      </c>
      <c r="I323" s="404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-25162202.498299684</v>
      </c>
      <c r="J323" s="405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0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3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226139.32914571706</v>
      </c>
      <c r="I324" s="404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302635.31956316921</v>
      </c>
      <c r="J324" s="405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0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3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10970.76631747676</v>
      </c>
      <c r="I325" s="404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5801.4398482862143</v>
      </c>
      <c r="J325" s="405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3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5859.5411439959262</v>
      </c>
      <c r="I326" s="404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3098.5780301689083</v>
      </c>
      <c r="J326" s="405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3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-301280.51440040348</v>
      </c>
      <c r="I327" s="404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-148360.50464061066</v>
      </c>
      <c r="J327" s="405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3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33227.489001172784</v>
      </c>
      <c r="I328" s="404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15146.828285336558</v>
      </c>
      <c r="J328" s="405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3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5255.5335283396789</v>
      </c>
      <c r="I329" s="404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2697.1364351431575</v>
      </c>
      <c r="J329" s="405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3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2807.0067351538642</v>
      </c>
      <c r="I330" s="404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1440.554055692136</v>
      </c>
      <c r="J330" s="405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3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-98114.66814270505</v>
      </c>
      <c r="I331" s="404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-46888.730295199544</v>
      </c>
      <c r="J331" s="405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3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34938.799154324508</v>
      </c>
      <c r="I332" s="404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15456.794355585007</v>
      </c>
      <c r="J332" s="405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3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30775.08230427558</v>
      </c>
      <c r="I333" s="404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47776.836001611722</v>
      </c>
      <c r="J333" s="405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649292.34846099082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3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16437.125334125107</v>
      </c>
      <c r="I334" s="404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25517.846992640825</v>
      </c>
      <c r="J334" s="405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346790.28977475746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3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-1224008.9552836879</v>
      </c>
      <c r="I335" s="404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-1769502.5227813469</v>
      </c>
      <c r="J335" s="405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-21125086.75845547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3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28914.517063691259</v>
      </c>
      <c r="I336" s="404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38695.410235104806</v>
      </c>
      <c r="J336" s="405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394560.5140604371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3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771.50633681338331</v>
      </c>
      <c r="I337" s="404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407.97948621550057</v>
      </c>
      <c r="J337" s="405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3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412.06539202371204</v>
      </c>
      <c r="I338" s="404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217.90388348512991</v>
      </c>
      <c r="J338" s="405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3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-21187.200537488741</v>
      </c>
      <c r="I339" s="404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-10433.279330790463</v>
      </c>
      <c r="J339" s="405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3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4248.5170595378513</v>
      </c>
      <c r="I340" s="404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1936.6964011596392</v>
      </c>
      <c r="J340" s="405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3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369.58926141650096</v>
      </c>
      <c r="I341" s="404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189.67297185505956</v>
      </c>
      <c r="J341" s="405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3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197.39947246886021</v>
      </c>
      <c r="I342" s="404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101.30528263264658</v>
      </c>
      <c r="J342" s="405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3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-6899.7995231976638</v>
      </c>
      <c r="I343" s="404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-3297.3952321135785</v>
      </c>
      <c r="J343" s="405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3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4467.3277671290516</v>
      </c>
      <c r="I344" s="404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1976.3291322782006</v>
      </c>
      <c r="J344" s="405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3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713868.47629670356</v>
      </c>
      <c r="I345" s="404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602877.44254291337</v>
      </c>
      <c r="J345" s="405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0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3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118594.54840773206</v>
      </c>
      <c r="I346" s="404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100155.67351354605</v>
      </c>
      <c r="J346" s="405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0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3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-7493968.4308534022</v>
      </c>
      <c r="I347" s="404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-5893470.5525056934</v>
      </c>
      <c r="J347" s="405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0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3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113593.29207563492</v>
      </c>
      <c r="I348" s="404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82696.830751067202</v>
      </c>
      <c r="J348" s="405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0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3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61141.787199729049</v>
      </c>
      <c r="I349" s="404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32332.326693612988</v>
      </c>
      <c r="J349" s="405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3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10157.449001543764</v>
      </c>
      <c r="I350" s="404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5371.3503404604662</v>
      </c>
      <c r="J350" s="405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3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-481385.54750765581</v>
      </c>
      <c r="I351" s="404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-237050.18858277958</v>
      </c>
      <c r="J351" s="405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3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57023.485545682102</v>
      </c>
      <c r="I352" s="404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25994.288757761151</v>
      </c>
      <c r="J352" s="405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3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52515.612858242159</v>
      </c>
      <c r="I353" s="404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26950.978828325478</v>
      </c>
      <c r="J353" s="405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3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8724.3877521914255</v>
      </c>
      <c r="I354" s="404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4477.3501974377177</v>
      </c>
      <c r="J354" s="405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3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-315024.29205221619</v>
      </c>
      <c r="I355" s="404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-150549.2435136039</v>
      </c>
      <c r="J355" s="405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3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107506.48772046529</v>
      </c>
      <c r="I356" s="404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47560.468957353405</v>
      </c>
      <c r="J356" s="405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3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52027.493495891315</v>
      </c>
      <c r="I357" s="404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43938.348956712223</v>
      </c>
      <c r="J357" s="405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0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3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8643.2967707723092</v>
      </c>
      <c r="I358" s="404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7299.4519653461457</v>
      </c>
      <c r="J358" s="405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0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3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-546168.3863913751</v>
      </c>
      <c r="I359" s="404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-429522.39946126455</v>
      </c>
      <c r="J359" s="405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0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3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14524.210337271257</v>
      </c>
      <c r="I360" s="404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10573.742006301549</v>
      </c>
      <c r="J360" s="405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0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3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4456.0784535034427</v>
      </c>
      <c r="I361" s="404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2356.4143432771866</v>
      </c>
      <c r="J361" s="405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3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740.28568204070768</v>
      </c>
      <c r="I362" s="404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391.46972331960768</v>
      </c>
      <c r="J362" s="405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3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-35083.890483435673</v>
      </c>
      <c r="I363" s="404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-17276.469761867425</v>
      </c>
      <c r="J363" s="405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3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7291.109211610591</v>
      </c>
      <c r="I364" s="404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3323.6691232973785</v>
      </c>
      <c r="J364" s="405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3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3827.3936966497154</v>
      </c>
      <c r="I365" s="404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1964.2159897193983</v>
      </c>
      <c r="J365" s="405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3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635.84265464065186</v>
      </c>
      <c r="I366" s="404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326.31404244722529</v>
      </c>
      <c r="J366" s="405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3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-22959.305320245483</v>
      </c>
      <c r="I367" s="404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-10972.188922459012</v>
      </c>
      <c r="J367" s="405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3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13745.942315270115</v>
      </c>
      <c r="I368" s="404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6081.1535809342822</v>
      </c>
      <c r="J368" s="405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3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673444.82878693647</v>
      </c>
      <c r="I369" s="404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614141.68784566643</v>
      </c>
      <c r="J369" s="405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0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3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-1481578.6233312604</v>
      </c>
      <c r="I370" s="404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-1258171.048701742</v>
      </c>
      <c r="J370" s="405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0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3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26475.734135173829</v>
      </c>
      <c r="I371" s="404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20813.250776117358</v>
      </c>
      <c r="J371" s="405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0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3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24581.270876446844</v>
      </c>
      <c r="I372" s="404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12998.797008095895</v>
      </c>
      <c r="J372" s="405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3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-40968.78479407807</v>
      </c>
      <c r="I373" s="404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-20174.386646472947</v>
      </c>
      <c r="J373" s="405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3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4367.9666208174622</v>
      </c>
      <c r="I374" s="404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1991.147762001176</v>
      </c>
      <c r="J374" s="405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3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16379.368213872083</v>
      </c>
      <c r="I375" s="404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8405.8812594458996</v>
      </c>
      <c r="J375" s="405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3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-21059.187703549822</v>
      </c>
      <c r="I376" s="404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-10064.127934790835</v>
      </c>
      <c r="J376" s="405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3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6669.1392394898348</v>
      </c>
      <c r="I377" s="404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2950.4023105727692</v>
      </c>
      <c r="J377" s="405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3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49081.375089311769</v>
      </c>
      <c r="I378" s="404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44759.299129866427</v>
      </c>
      <c r="J378" s="405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386762.96576702269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3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-107979.02519648591</v>
      </c>
      <c r="I379" s="404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-91696.84364356476</v>
      </c>
      <c r="J379" s="405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-696049.95010911056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3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3385.2274582982932</v>
      </c>
      <c r="I380" s="404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2661.2137614025846</v>
      </c>
      <c r="J380" s="405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17253.318153943164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3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1791.5091548510034</v>
      </c>
      <c r="I381" s="404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947.36614551394439</v>
      </c>
      <c r="J381" s="405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3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-2985.8485914183389</v>
      </c>
      <c r="I382" s="404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-1470.3307470278537</v>
      </c>
      <c r="J382" s="405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3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558.49482647875982</v>
      </c>
      <c r="I383" s="404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254.59116801224519</v>
      </c>
      <c r="J383" s="405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3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1193.7457690173312</v>
      </c>
      <c r="I384" s="404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612.62956283180495</v>
      </c>
      <c r="J384" s="405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3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-1534.8159887365687</v>
      </c>
      <c r="I385" s="404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-733.48434348223088</v>
      </c>
      <c r="J385" s="405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3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852.72624213059839</v>
      </c>
      <c r="I386" s="404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377.24290717622023</v>
      </c>
      <c r="J386" s="405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3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120836.39776565302</v>
      </c>
      <c r="I387" s="404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815768.63788652851</v>
      </c>
      <c r="J387" s="405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0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3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-594515.07700701291</v>
      </c>
      <c r="I388" s="404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-3737494.2759856903</v>
      </c>
      <c r="J388" s="405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0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3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9738.6244854822507</v>
      </c>
      <c r="I389" s="404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56675.088211526934</v>
      </c>
      <c r="J389" s="405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0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3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19693.41996083039</v>
      </c>
      <c r="I390" s="404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10414.057505517419</v>
      </c>
      <c r="J390" s="405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3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-80743.02183940461</v>
      </c>
      <c r="I391" s="404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-39760.538414315299</v>
      </c>
      <c r="J391" s="405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3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7173.811842991131</v>
      </c>
      <c r="I392" s="404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3270.1988444948461</v>
      </c>
      <c r="J392" s="405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3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18860.433776221762</v>
      </c>
      <c r="I393" s="404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9679.1625143571073</v>
      </c>
      <c r="J393" s="405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3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-66280.952985007927</v>
      </c>
      <c r="I394" s="404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-31675.48529749483</v>
      </c>
      <c r="J394" s="405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3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15742.662203036411</v>
      </c>
      <c r="I395" s="404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6964.4950075983543</v>
      </c>
      <c r="J395" s="405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3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8806.6851353812599</v>
      </c>
      <c r="I396" s="404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59454.085606874774</v>
      </c>
      <c r="J396" s="405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1315903.5397993135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3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-43328.890866075802</v>
      </c>
      <c r="I397" s="404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-272392.55632007576</v>
      </c>
      <c r="J397" s="405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-5296171.0372533286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3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1245.1952737549332</v>
      </c>
      <c r="I398" s="404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7246.5626008930758</v>
      </c>
      <c r="J398" s="405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120338.79689958273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3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1435.277383642456</v>
      </c>
      <c r="I399" s="404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758.98758262152398</v>
      </c>
      <c r="J399" s="405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3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-5884.6372729340701</v>
      </c>
      <c r="I400" s="404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-2897.7903107240459</v>
      </c>
      <c r="J400" s="405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3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917.25444543181561</v>
      </c>
      <c r="I401" s="404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418.13257626620367</v>
      </c>
      <c r="J401" s="405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3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1374.5684649257814</v>
      </c>
      <c r="I402" s="404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705.42765436820673</v>
      </c>
      <c r="J402" s="405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3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-4830.6263195963184</v>
      </c>
      <c r="I403" s="404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-2308.5430440125774</v>
      </c>
      <c r="J403" s="405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3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2012.8806281383841</v>
      </c>
      <c r="I404" s="404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890.49087789340456</v>
      </c>
      <c r="J404" s="405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3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1646745.8486558588</v>
      </c>
      <c r="I405" s="404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1019368.9149933872</v>
      </c>
      <c r="J405" s="405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3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-5970797.1307319021</v>
      </c>
      <c r="I406" s="404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-3441799.3846899867</v>
      </c>
      <c r="J406" s="405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3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234735.24578556098</v>
      </c>
      <c r="I407" s="404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125258.86232625076</v>
      </c>
      <c r="J407" s="405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3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314716.31243677461</v>
      </c>
      <c r="I408" s="404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538747.75984079181</v>
      </c>
      <c r="J408" s="405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3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-950919.48403666483</v>
      </c>
      <c r="I409" s="404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-1515857.5737806486</v>
      </c>
      <c r="J409" s="405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3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202768.25813771781</v>
      </c>
      <c r="I410" s="404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299220.63737918442</v>
      </c>
      <c r="J410" s="405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3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394392.38835482521</v>
      </c>
      <c r="I411" s="404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530545.26116273913</v>
      </c>
      <c r="J411" s="405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3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-1021424.3974796053</v>
      </c>
      <c r="I412" s="404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-1279524.3960411875</v>
      </c>
      <c r="J412" s="405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3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582246.51992913405</v>
      </c>
      <c r="I413" s="404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675190.25653827703</v>
      </c>
      <c r="J413" s="405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3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210555.41784967913</v>
      </c>
      <c r="I414" s="404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130338.05308487613</v>
      </c>
      <c r="J414" s="405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3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-763435.1626166756</v>
      </c>
      <c r="I415" s="404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-440073.68118747033</v>
      </c>
      <c r="J415" s="405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3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30013.603981918917</v>
      </c>
      <c r="I416" s="404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16015.787814498904</v>
      </c>
      <c r="J416" s="405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3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40240.104277975639</v>
      </c>
      <c r="I417" s="404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68885.104390242021</v>
      </c>
      <c r="J417" s="405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153383.87274960431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3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-121586.00519088602</v>
      </c>
      <c r="I418" s="404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-193819.84482214213</v>
      </c>
      <c r="J418" s="405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-379120.29629629618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3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25926.25653417455</v>
      </c>
      <c r="I419" s="404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38258.803800262642</v>
      </c>
      <c r="J419" s="405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63917.095435242481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3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50427.60799704762</v>
      </c>
      <c r="I420" s="404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67836.320488355428</v>
      </c>
      <c r="J420" s="405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3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-130600.87018814778</v>
      </c>
      <c r="I421" s="404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-163601.92684087506</v>
      </c>
      <c r="J421" s="405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3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74446.921724604632</v>
      </c>
      <c r="I422" s="404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86330.848630643159</v>
      </c>
      <c r="J422" s="405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613377.28282504401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676235.95848651009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664492.05639379763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732588.95502705255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>SUMIFS(H3:H424,$F$3:$F$424,$D$425)*H423/SUM(H423:H424)*'[1]Processer - data'!H$425</f>
        <v>-93826.565102358349</v>
      </c>
      <c r="I425" s="314">
        <f ca="1">SUMIFS(I3:I424,$F$3:$F$424,$D$425)*I423/SUM(I423:I424)*'[1]Processer - data'!I$425</f>
        <v>-98348.072466594749</v>
      </c>
      <c r="J425" s="315">
        <f ca="1">SUMIFS(J3:J424,$F$3:$F$424,$D$425)*J423/SUM(J423:J424)*'[1]Processer - data'!J$425</f>
        <v>-452403.36919811758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1363412.0539430196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0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53077.773972224328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0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6974.419499950277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0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706621.13097372942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0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951875.76678713446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48971.913359549246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18236.445077333861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938.22496535210962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84891.942149499315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4367.5035975559585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83762.916953084175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4309.4177359038522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87951.528514645848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3915.1017916004403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42657.204064842423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1898.8560958451085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5630.6083895113643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250.6426592677754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57874.101421306659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2576.2258142459946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146352.36036688712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6001.6248923716248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539.81826816692853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22.136894461188312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2391473717.9102354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0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102931361.17385405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15498805.231172113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317702768.53579462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121413198.45023485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89751125.90159224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13514202.122302512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677435748.40227306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0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189670590.73129457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39075512.144903168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1742164915.5171633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348888501.2937783</v>
      </c>
    </row>
    <row r="450" spans="1:13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66002407.046963841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0</v>
      </c>
    </row>
    <row r="451" spans="1:13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1519987410.4543028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644745950.39090228</v>
      </c>
    </row>
    <row r="452" spans="1:13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472589319.37551457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200541110.54366377</v>
      </c>
    </row>
    <row r="453" spans="1:13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75943260.378270358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11435094.103486741</v>
      </c>
    </row>
    <row r="454" spans="1:13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1622120506.9333565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3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94474309.602180302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  <c r="L458" s="114"/>
      <c r="M458" s="114"/>
    </row>
    <row r="459" spans="1:13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-100202.60226309163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  <c r="L459" s="114"/>
      <c r="M459" s="114"/>
    </row>
    <row r="460" spans="1:13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102884561.8106861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8723717.9648837391</v>
      </c>
      <c r="L460" s="114"/>
      <c r="M460" s="114"/>
    </row>
    <row r="461" spans="1:13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-214717.56124906169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-18206.185782189059</v>
      </c>
      <c r="L461" s="114"/>
      <c r="M461" s="114"/>
    </row>
    <row r="462" spans="1:13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63375.188648045747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66241.11486097562</v>
      </c>
      <c r="L462" s="114"/>
      <c r="M462" s="114"/>
    </row>
    <row r="463" spans="1:13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79750952.571255848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31095080.989674129</v>
      </c>
      <c r="L463" s="114"/>
      <c r="M463" s="114"/>
    </row>
    <row r="464" spans="1:13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#DIV/0!</v>
      </c>
      <c r="L464" s="114"/>
      <c r="M464" s="114"/>
    </row>
    <row r="465" spans="1:13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  <c r="L470" s="114"/>
      <c r="M470" s="114"/>
    </row>
    <row r="471" spans="1:13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82792636.443627074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42159210.739292949</v>
      </c>
      <c r="L471" s="114"/>
      <c r="M471" s="114"/>
    </row>
    <row r="472" spans="1:13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  <c r="L472" s="114"/>
      <c r="M472" s="114"/>
    </row>
    <row r="473" spans="1:13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20586639.459937267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21098537.171562839</v>
      </c>
      <c r="L473" s="126"/>
      <c r="M473" s="114"/>
    </row>
    <row r="474" spans="1:13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59">
        <f ca="1">SUMIFS('Forbrug af biomasse'!$E$1:$E$425,'Forbrug af biomasse'!$A$1:$A$425,"Biogas",'Forbrug af biomasse'!$B$1:$B$425,$A$1,'Forbrug af biomasse'!$D$1:$D$425,I$2)*'[1]Processer - data'!I474</f>
        <v>21343677.064342611</v>
      </c>
      <c r="J474" s="260" t="e">
        <f ca="1">SUMIFS('Forbrug af biomasse'!$E$1:$E$425,'Forbrug af biomasse'!$A$1:$A$425,"Biogas",'Forbrug af biomasse'!$B$1:$B$425,$A$1,'Forbrug af biomasse'!$D$1:$D$425,J$2)*'[1]Processer - data'!J474</f>
        <v>#DIV/0!</v>
      </c>
    </row>
    <row r="475" spans="1:13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59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13908717.80254321</v>
      </c>
      <c r="J475" s="260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0</v>
      </c>
    </row>
    <row r="476" spans="1:13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59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19458073.155685313</v>
      </c>
      <c r="J476" s="260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549958.57934649254</v>
      </c>
    </row>
    <row r="477" spans="1:13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59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11288.201540364382</v>
      </c>
      <c r="J477" s="260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3932.8906193963462</v>
      </c>
    </row>
    <row r="478" spans="1:13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59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2348222.4923758665</v>
      </c>
      <c r="J478" s="260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305192.46156532009</v>
      </c>
    </row>
    <row r="479" spans="1:13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49011407.308287665</v>
      </c>
      <c r="I479" s="259">
        <f ca="1">I474*'[1]Processer - data'!I$479*Biogasanlæg!AB$3</f>
        <v>128443188.9290868</v>
      </c>
      <c r="J479" s="260" t="e">
        <f ca="1">J474*'[1]Processer - data'!J$479*Biogasanlæg!AC$3</f>
        <v>#DIV/0!</v>
      </c>
    </row>
    <row r="480" spans="1:13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Vestdanmark'!H$3:H$504,'Resultater - Vestdanmark'!$F$3:$F$504,"Gødning",'Resultater - Vestdanmark'!$A$3:$A$504,"&lt;&gt;Gødning")-SUM(H475:H479)</f>
        <v>91199509.604784429</v>
      </c>
      <c r="I480" s="259">
        <f ca="1">-SUMIFS('Resultater - Vestdanmark'!I$3:I$504,'Resultater - Vestdanmark'!$F$3:$F$504,"Gødning",'Resultater - Vestdanmark'!$A$3:$A$504,"&lt;&gt;Gødning")-SUM(I475:I479)</f>
        <v>164408096.69934717</v>
      </c>
      <c r="J480" s="260" t="e">
        <f ca="1">-SUMIFS('Resultater - Vestdanmark'!J$3:J$504,'Resultater - Vestdanmark'!$F$3:$F$504,"Gødning",'Resultater - Vestdanmark'!$A$3:$A$504,"&lt;&gt;Gødning")-SUM(J475:J479)</f>
        <v>#DIV/0!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12.540809849344866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6.4509144356528374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8.2460710250774625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7.2720743027630963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16.500758601004918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24.212625132307366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32.260787180482176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33.521860264419189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9.4033734851313486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9.3703087657301456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12.632071606880629</v>
      </c>
      <c r="I489" s="259">
        <f ca="1">SUM(I455:I473)*'[1]Processer - data'!$H$489</f>
        <v>13.650528221370328</v>
      </c>
      <c r="J489" s="260" t="e">
        <f>SUM(J455:J473)*'[1]Processer - data'!$H$489</f>
        <v>#DIV/0!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2386814.7443207805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1012833.8916346655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4914030.3559545483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2085246.2474831352</v>
      </c>
    </row>
    <row r="492" spans="1:10" x14ac:dyDescent="0.25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6976805.6291645998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2960575.4754863908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4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5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368128.17076238676</v>
      </c>
      <c r="J493" s="276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324646.17423049541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235602.02928792752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207773.55150751706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autoFilter ref="A2:U497" xr:uid="{909A89E6-B9A6-46D5-83F7-24899AA46FB2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90" zoomScale="80" zoomScaleNormal="80" workbookViewId="0">
      <selection activeCell="H103" sqref="H1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4.42578125" bestFit="1" customWidth="1"/>
    <col min="13" max="14" width="13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594657.92108707852</v>
      </c>
      <c r="O3">
        <f>SUMIF($F$3:$F$494,"Roer",J3:J494)</f>
        <v>371106.34306601883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-2647.2424109586382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-1731.4549502152695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-587.13706980532299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-3886.4796678685052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-14824.557501368374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202.9555359462961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106.02154862866215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-1542.8020213073119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-1083.2994585041538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-119144.22825533217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-80668.73605144961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2190.5137574581831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14614.721265087281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547.62843936454567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3653.6803162718193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-15348.866713840824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-102404.93034750642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-13813.980042456744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-92164.437312755792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22452.407196714055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7771.9871065548659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-4648.8612966589626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-141591.03263538438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1031.2797838275148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515.63989191375754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-11613.451658052703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-6503.5329285095131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-2647.2424109586382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-1731.0600496891564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-453.69682666774958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-3003.1888342620268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-14559.83326027251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149.0223964694128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81.28494352877064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-1411.8948198450812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-275.79743428716347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-90555.726019096532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-61500.968484459918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555.89796608108406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3720.6760272116003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1945.6428812837928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13022.366095240593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-7669.2859505675169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-51331.233649351307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-3834.6429752837603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-25665.616824675664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5781.3590968093122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7646.313644167155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-41681.478151671967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-39880.426626599721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478.69760313671463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261.10778352911717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-12062.241021972182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-3302.1067051100317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3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404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1409966.8846348331</v>
      </c>
      <c r="J95" s="405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0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3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404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1521006.1015498589</v>
      </c>
      <c r="J96" s="405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0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3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404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194982.00775092631</v>
      </c>
      <c r="J97" s="405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0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3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404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15937.201949973736</v>
      </c>
      <c r="J98" s="405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0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3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404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-870157101.37618876</v>
      </c>
      <c r="J99" s="405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0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3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404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-66827.967737519255</v>
      </c>
      <c r="J100" s="405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0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3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193358.10774986746</v>
      </c>
      <c r="I101" s="404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127621.51268366147</v>
      </c>
      <c r="J101" s="405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0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3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404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19987.314024489475</v>
      </c>
      <c r="J102" s="405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73567.996547734467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3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4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5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3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404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21664.667527880702</v>
      </c>
      <c r="J104" s="405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79741.889477801044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3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404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662.59399336867864</v>
      </c>
      <c r="J105" s="405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2438.8325793536246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3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404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-36177044.782940283</v>
      </c>
      <c r="J106" s="405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-133158097.303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3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404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-2442.1947423227016</v>
      </c>
      <c r="J107" s="405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-8989.0704750000004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3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2131.9049352044335</v>
      </c>
      <c r="I108" s="404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5836.4933062703567</v>
      </c>
      <c r="J108" s="405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21482.58234600586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3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404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23810.623116054863</v>
      </c>
      <c r="J109" s="405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0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3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404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629248.29349462397</v>
      </c>
      <c r="J110" s="405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0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3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404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11122.406150723473</v>
      </c>
      <c r="J111" s="405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0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3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404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137065.45296564736</v>
      </c>
      <c r="J112" s="405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0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3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404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2420.2486131911915</v>
      </c>
      <c r="J113" s="405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0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3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404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-163259844.68829125</v>
      </c>
      <c r="J114" s="405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0</v>
      </c>
      <c r="L114" s="94">
        <f>SUM(H114,H122)</f>
        <v>-259098224</v>
      </c>
      <c r="M114" s="94">
        <f>SUM(I114,I122)</f>
        <v>-192166388.87646565</v>
      </c>
      <c r="N114" s="94">
        <f>SUM(J114,J122)</f>
        <v>-22694667.441501949</v>
      </c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3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404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-615.89479758206471</v>
      </c>
      <c r="J115" s="405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0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3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261508.01856614495</v>
      </c>
      <c r="I116" s="404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178385.86167895389</v>
      </c>
      <c r="J116" s="405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0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3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404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1264.567818691974</v>
      </c>
      <c r="J117" s="405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1116.2048757004002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3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404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62233.347708259513</v>
      </c>
      <c r="J118" s="405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48859.701831397157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3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404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463.43358961347798</v>
      </c>
      <c r="J119" s="405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308.79455462725559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3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404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13832.556160135324</v>
      </c>
      <c r="J120" s="405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0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3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404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428.52560356868003</v>
      </c>
      <c r="J121" s="405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285.53470414333128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3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404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-28906544.188174393</v>
      </c>
      <c r="J122" s="405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-22694667.441501949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3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404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-131.45682627455747</v>
      </c>
      <c r="J123" s="405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-87.592166454789748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3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43795.491649532909</v>
      </c>
      <c r="I124" s="404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26412.690173313775</v>
      </c>
      <c r="J124" s="405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17599.274375814286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3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404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6433844.15701913</v>
      </c>
      <c r="J125" s="405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0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3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404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409.50712637684086</v>
      </c>
      <c r="J126" s="405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0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3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404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9076.1720043247769</v>
      </c>
      <c r="J127" s="405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0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3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404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13408.032003791041</v>
      </c>
      <c r="J128" s="405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0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3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404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566.27501664899421</v>
      </c>
      <c r="J129" s="405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0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3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404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-22280634.891480386</v>
      </c>
      <c r="J130" s="405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0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3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404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-528.07998281755465</v>
      </c>
      <c r="J131" s="405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0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3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1255.2076446666574</v>
      </c>
      <c r="I132" s="404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963.57747309052729</v>
      </c>
      <c r="J132" s="405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0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3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404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74640.502960304148</v>
      </c>
      <c r="J133" s="405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266900.26350807853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3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404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131.87263857623103</v>
      </c>
      <c r="J134" s="405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471.55151143904124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3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404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496.55339038185514</v>
      </c>
      <c r="J135" s="405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1775.5806228855408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3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404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914.18400025847995</v>
      </c>
      <c r="J136" s="405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3268.9483710154163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3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404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93.812052680681433</v>
      </c>
      <c r="J137" s="405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335.45408441344171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3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404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-3691125.3944550995</v>
      </c>
      <c r="J138" s="405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-13198763.424000001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3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404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-164.78238368103121</v>
      </c>
      <c r="J139" s="405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-589.23050999999998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3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189.0017945792238</v>
      </c>
      <c r="I140" s="404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175.59435929674734</v>
      </c>
      <c r="J140" s="405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627.89208148501882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3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404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1271871.5909527973</v>
      </c>
      <c r="J141" s="405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0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3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404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415135.70760801568</v>
      </c>
      <c r="J142" s="405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0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3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404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-27032963.627252638</v>
      </c>
      <c r="J143" s="405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0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3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404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355617.13984982629</v>
      </c>
      <c r="J144" s="405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0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3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404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20062.71878122017</v>
      </c>
      <c r="J145" s="405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3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404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6548.4212533933114</v>
      </c>
      <c r="J146" s="405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3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404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-288723.61220414884</v>
      </c>
      <c r="J147" s="405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3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404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32878.375603397122</v>
      </c>
      <c r="J148" s="405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3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404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12521.504416262853</v>
      </c>
      <c r="J149" s="405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3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404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4086.9877377071552</v>
      </c>
      <c r="J150" s="405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3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404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-118811.61134445545</v>
      </c>
      <c r="J151" s="405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3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404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45040.964574043843</v>
      </c>
      <c r="J152" s="405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3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404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108957.69648781573</v>
      </c>
      <c r="J153" s="405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139725.28295175743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3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404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35563.519739381838</v>
      </c>
      <c r="J154" s="405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45605.983042246247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3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404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-2315838.6955225808</v>
      </c>
      <c r="J155" s="405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-2608854.1876833737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3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404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45469.746006468282</v>
      </c>
      <c r="J156" s="405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43749.2768543774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3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404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1718.7172346911207</v>
      </c>
      <c r="J157" s="405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3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404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560.98500861009506</v>
      </c>
      <c r="J158" s="405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3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404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-24734.147638158061</v>
      </c>
      <c r="J159" s="405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3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404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4203.8788918414966</v>
      </c>
      <c r="J160" s="405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3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404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1072.6824055689174</v>
      </c>
      <c r="J161" s="405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3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404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350.12085547168073</v>
      </c>
      <c r="J162" s="405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3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404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-10178.259802469276</v>
      </c>
      <c r="J163" s="405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3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404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5759.005935239682</v>
      </c>
      <c r="J164" s="405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3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404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269654.52785355423</v>
      </c>
      <c r="J165" s="405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0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3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404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-2437355.0171773364</v>
      </c>
      <c r="J166" s="405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0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3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404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25650.616246408732</v>
      </c>
      <c r="J167" s="405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0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3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404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358.69596338777023</v>
      </c>
      <c r="J168" s="405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3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404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-2634.2739283220408</v>
      </c>
      <c r="J169" s="405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3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404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199.9851391818701</v>
      </c>
      <c r="J170" s="405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3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404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112.94194686582182</v>
      </c>
      <c r="J171" s="405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3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404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-692.72667905509638</v>
      </c>
      <c r="J172" s="405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3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404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138.21561474172893</v>
      </c>
      <c r="J173" s="405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3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404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19652.708670956086</v>
      </c>
      <c r="J174" s="405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451221.67765863304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3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404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-177637.02490578446</v>
      </c>
      <c r="J175" s="405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-3586435.4810917759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3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404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3279.7266355781462</v>
      </c>
      <c r="J176" s="405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56555.393541304329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3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404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26.142143156358138</v>
      </c>
      <c r="J177" s="405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3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404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-191.98868450272806</v>
      </c>
      <c r="J178" s="405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3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404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25.570402730047942</v>
      </c>
      <c r="J179" s="405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3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404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8.2313291608811472</v>
      </c>
      <c r="J180" s="405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3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404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-50.486656836195486</v>
      </c>
      <c r="J181" s="405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3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404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17.672457798542066</v>
      </c>
      <c r="J182" s="405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3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404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32378.656885384629</v>
      </c>
      <c r="J183" s="405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0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3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404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-25628253.236974005</v>
      </c>
      <c r="J184" s="405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0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3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404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5137.3447990370742</v>
      </c>
      <c r="J185" s="405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0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3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404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2359.7909369090657</v>
      </c>
      <c r="J186" s="405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54373.099630359844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3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404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-1867814.3423768911</v>
      </c>
      <c r="J187" s="405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-37657572.551463649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3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404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656.86868540282103</v>
      </c>
      <c r="J188" s="405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11311.078708260868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3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404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462875.90642868931</v>
      </c>
      <c r="J189" s="405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0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3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404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-1522344.0154658761</v>
      </c>
      <c r="J190" s="405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0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3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404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21361.441322270857</v>
      </c>
      <c r="J191" s="405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0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3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404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1256.9641761239689</v>
      </c>
      <c r="J192" s="405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3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404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-2756.0041681453968</v>
      </c>
      <c r="J193" s="405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3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404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339.9930397303433</v>
      </c>
      <c r="J194" s="405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3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404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1326.9212386629201</v>
      </c>
      <c r="J195" s="405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3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404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-1870.3228896474409</v>
      </c>
      <c r="J196" s="405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3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404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787.81251597823893</v>
      </c>
      <c r="J197" s="405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3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404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33734.888163228221</v>
      </c>
      <c r="J198" s="405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315405.11591647175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3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404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-110950.05031464739</v>
      </c>
      <c r="J199" s="405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-911258.04954164382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3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404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2731.3062347498271</v>
      </c>
      <c r="J200" s="405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19159.806584640937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3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404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91.608885487020018</v>
      </c>
      <c r="J201" s="405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3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404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-200.86051379755554</v>
      </c>
      <c r="J202" s="405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3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404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43.472024905869681</v>
      </c>
      <c r="J203" s="405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3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404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96.707430579133302</v>
      </c>
      <c r="J204" s="405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3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404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-136.31112061587223</v>
      </c>
      <c r="J205" s="405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3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404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100.73090126469828</v>
      </c>
      <c r="J206" s="405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3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404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4477320.1169163398</v>
      </c>
      <c r="J207" s="405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0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3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404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-13023913.801895238</v>
      </c>
      <c r="J208" s="405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0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3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404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150206.12822038401</v>
      </c>
      <c r="J209" s="405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0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3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404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53702.181606308273</v>
      </c>
      <c r="J210" s="405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3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404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-109180.65709907476</v>
      </c>
      <c r="J211" s="405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3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404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10559.481245044732</v>
      </c>
      <c r="J212" s="405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3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404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68040.682411319634</v>
      </c>
      <c r="J213" s="405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3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404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-95768.259080275297</v>
      </c>
      <c r="J214" s="405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3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404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29366.346556816159</v>
      </c>
      <c r="J215" s="405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3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404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446532.00546410703</v>
      </c>
      <c r="J216" s="405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8635645.444543466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3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404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-1298900.7256772411</v>
      </c>
      <c r="J217" s="405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-22066963.942928161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3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404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19205.583008963073</v>
      </c>
      <c r="J218" s="405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218746.38427188696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3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404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5355.8249632099241</v>
      </c>
      <c r="J219" s="405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3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404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-10888.803234805602</v>
      </c>
      <c r="J220" s="405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3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404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1350.1512620426749</v>
      </c>
      <c r="J221" s="405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3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404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6785.8320550906119</v>
      </c>
      <c r="J222" s="405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3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404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-9551.1582085343543</v>
      </c>
      <c r="J223" s="405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3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404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3754.8255397370076</v>
      </c>
      <c r="J224" s="405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3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404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208822.46874733453</v>
      </c>
      <c r="J225" s="405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0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3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404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61994.952141145608</v>
      </c>
      <c r="J226" s="405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3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4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5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3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404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106034.54006637918</v>
      </c>
      <c r="J228" s="405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0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3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404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298.73866261544339</v>
      </c>
      <c r="J229" s="405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3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404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88.689158799108654</v>
      </c>
      <c r="J230" s="405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3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4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5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3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404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889.08383179962811</v>
      </c>
      <c r="J232" s="405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3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404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125.23349368794042</v>
      </c>
      <c r="J233" s="405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3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404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37.179162253110881</v>
      </c>
      <c r="J234" s="405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3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4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5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3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404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818.09244361801734</v>
      </c>
      <c r="J236" s="405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3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404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15219.203530192479</v>
      </c>
      <c r="J237" s="405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327276.13808680209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3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404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4518.2580214691579</v>
      </c>
      <c r="J238" s="405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97161.328660373067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3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4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5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3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404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13557.736859272198</v>
      </c>
      <c r="J240" s="405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218746.38427188696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3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404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21.772391332960751</v>
      </c>
      <c r="J241" s="405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3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404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6.4637601824273236</v>
      </c>
      <c r="J242" s="405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3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4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5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3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404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113.67960505913281</v>
      </c>
      <c r="J244" s="405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3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404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9.1271501609338603</v>
      </c>
      <c r="J245" s="405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3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404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2.7096568717266756</v>
      </c>
      <c r="J246" s="405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3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4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5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3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404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104.60253866512387</v>
      </c>
      <c r="J248" s="405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3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404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544620.79484345089</v>
      </c>
      <c r="J249" s="405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0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3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404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-842622.59938258084</v>
      </c>
      <c r="J250" s="405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0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3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404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13137.367281177752</v>
      </c>
      <c r="J251" s="405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0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3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404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6718.4401598762888</v>
      </c>
      <c r="J252" s="405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3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404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-6737.2338349199144</v>
      </c>
      <c r="J253" s="405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3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404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949.86902202586441</v>
      </c>
      <c r="J254" s="405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3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404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2923.4335404896524</v>
      </c>
      <c r="J255" s="405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3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404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-1794.864086017004</v>
      </c>
      <c r="J256" s="405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3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404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907.23354727947481</v>
      </c>
      <c r="J257" s="405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3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404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39692.542537300491</v>
      </c>
      <c r="J258" s="405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371106.34306601883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3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404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-61411.230870274936</v>
      </c>
      <c r="J259" s="405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-504384.4351948924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3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404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1679.7636742736738</v>
      </c>
      <c r="J260" s="405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11783.353582809534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3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404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489.64706150607287</v>
      </c>
      <c r="J261" s="405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3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404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-491.01676452359311</v>
      </c>
      <c r="J262" s="405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3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404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121.45169152748747</v>
      </c>
      <c r="J263" s="405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3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404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213.06294445516235</v>
      </c>
      <c r="J264" s="405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3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404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-130.81160278388074</v>
      </c>
      <c r="J265" s="405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3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404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116.00025516420594</v>
      </c>
      <c r="J266" s="405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3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404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214696.3067778995</v>
      </c>
      <c r="J267" s="405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0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3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404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-3296805.6643811138</v>
      </c>
      <c r="J268" s="405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0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3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404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42850.730167901245</v>
      </c>
      <c r="J269" s="405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0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3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404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161.4523726229128</v>
      </c>
      <c r="J270" s="405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3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404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-2066.0078126915291</v>
      </c>
      <c r="J271" s="405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3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404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145.64885468054186</v>
      </c>
      <c r="J272" s="405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3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404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113.85171517780626</v>
      </c>
      <c r="J273" s="405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3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404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-1248.7638440508847</v>
      </c>
      <c r="J274" s="405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3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404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235.34223866671925</v>
      </c>
      <c r="J275" s="405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3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404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15647.295090582549</v>
      </c>
      <c r="J276" s="405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401656.76816227223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3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404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-240274.7017918686</v>
      </c>
      <c r="J277" s="405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-5418115.7513104891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3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404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5478.9592474338369</v>
      </c>
      <c r="J278" s="405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105522.519634194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3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404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11.766820563517307</v>
      </c>
      <c r="J279" s="405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3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404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-150.57284584813868</v>
      </c>
      <c r="J280" s="405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3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404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18.622883113153417</v>
      </c>
      <c r="J281" s="405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3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404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8.2976340426712536</v>
      </c>
      <c r="J282" s="405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3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404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-91.011236567418166</v>
      </c>
      <c r="J283" s="405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3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404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30.091215010863291</v>
      </c>
      <c r="J284" s="405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3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404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267596.31758075376</v>
      </c>
      <c r="J285" s="405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0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3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404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-1188268.4230700212</v>
      </c>
      <c r="J286" s="405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0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3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404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17602.746164091488</v>
      </c>
      <c r="J287" s="405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0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3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404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4045.9600984310205</v>
      </c>
      <c r="J288" s="405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3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404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-13171.694482659446</v>
      </c>
      <c r="J289" s="405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3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404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1559.9225565139345</v>
      </c>
      <c r="J290" s="405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3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404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2853.098342649967</v>
      </c>
      <c r="J291" s="405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3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404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-6873.3508735234464</v>
      </c>
      <c r="J292" s="405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3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404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2414.5087790167831</v>
      </c>
      <c r="J293" s="405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3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404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19502.704118105099</v>
      </c>
      <c r="J294" s="405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0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3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404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-86602.265971124565</v>
      </c>
      <c r="J295" s="405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0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3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404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2250.7137800938722</v>
      </c>
      <c r="J296" s="405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0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3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404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294.87387340278849</v>
      </c>
      <c r="J297" s="405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3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404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-959.96709727466146</v>
      </c>
      <c r="J298" s="405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3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404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199.45406024130898</v>
      </c>
      <c r="J299" s="405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3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404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207.93684046032007</v>
      </c>
      <c r="J300" s="405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3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404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-500.93711900872643</v>
      </c>
      <c r="J301" s="405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3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404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308.72274873658517</v>
      </c>
      <c r="J302" s="405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3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404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1039913.4684975256</v>
      </c>
      <c r="J303" s="405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0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3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404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-3481032.0344881159</v>
      </c>
      <c r="J304" s="405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0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3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404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45792.783688071533</v>
      </c>
      <c r="J305" s="405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0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3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404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3923.7633249660585</v>
      </c>
      <c r="J306" s="405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3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404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-8893.152589956755</v>
      </c>
      <c r="J307" s="405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3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404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1012.7069584602563</v>
      </c>
      <c r="J308" s="405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3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404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1644.8710899621815</v>
      </c>
      <c r="J309" s="405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3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404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-2458.0723756526686</v>
      </c>
      <c r="J310" s="405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3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404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931.8445355583026</v>
      </c>
      <c r="J311" s="405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3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404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110360.87596914559</v>
      </c>
      <c r="J312" s="405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0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3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404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-369424.72257602046</v>
      </c>
      <c r="J313" s="405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0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3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404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5855.1346656267579</v>
      </c>
      <c r="J314" s="405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0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3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404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416.40960594972029</v>
      </c>
      <c r="J315" s="405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3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404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-943.78632423418674</v>
      </c>
      <c r="J316" s="405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3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404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129.48624523445721</v>
      </c>
      <c r="J317" s="405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3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404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174.56203794227676</v>
      </c>
      <c r="J318" s="405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3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404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-260.86307062118101</v>
      </c>
      <c r="J319" s="405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3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404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119.1470533935574</v>
      </c>
      <c r="J320" s="405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3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404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208864.92333731602</v>
      </c>
      <c r="J321" s="405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0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3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404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111555.79987907715</v>
      </c>
      <c r="J322" s="405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0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3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404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-7735694.5268088803</v>
      </c>
      <c r="J323" s="405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0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3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404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93040.121798640714</v>
      </c>
      <c r="J324" s="405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0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3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404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1375.4583811340844</v>
      </c>
      <c r="J325" s="405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3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404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734.63919865562013</v>
      </c>
      <c r="J326" s="405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3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404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-35174.66437189588</v>
      </c>
      <c r="J327" s="405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3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404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3591.1484833923496</v>
      </c>
      <c r="J328" s="405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3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404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697.31600458987987</v>
      </c>
      <c r="J329" s="405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3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404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372.43996463147778</v>
      </c>
      <c r="J330" s="405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3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404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-12122.583657139157</v>
      </c>
      <c r="J331" s="405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3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404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3996.1901605588814</v>
      </c>
      <c r="J332" s="405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3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404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14688.181958272047</v>
      </c>
      <c r="J333" s="405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215982.61635398451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3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404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7845.0314248228906</v>
      </c>
      <c r="J334" s="405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115357.39530774487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3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404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-544003.68892902555</v>
      </c>
      <c r="J335" s="405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-7027114.2415445354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3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404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11896.250862322246</v>
      </c>
      <c r="J336" s="405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131247.83056313219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3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404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96.727505295372154</v>
      </c>
      <c r="J337" s="405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3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404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51.662644215784738</v>
      </c>
      <c r="J338" s="405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3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404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-2473.6172180580311</v>
      </c>
      <c r="J339" s="405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3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404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459.16968310447328</v>
      </c>
      <c r="J340" s="405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3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404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49.037934154650479</v>
      </c>
      <c r="J341" s="405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3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404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26.191405821669591</v>
      </c>
      <c r="J342" s="405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3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404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-852.50654688854024</v>
      </c>
      <c r="J343" s="405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3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404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510.95892529503112</v>
      </c>
      <c r="J344" s="405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3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404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185344.49569471885</v>
      </c>
      <c r="J345" s="405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0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3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404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30791.171618619235</v>
      </c>
      <c r="J346" s="405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0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3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404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-1811848.0645725792</v>
      </c>
      <c r="J347" s="405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0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3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404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25423.745042537477</v>
      </c>
      <c r="J348" s="405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0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3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404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14086.264576639678</v>
      </c>
      <c r="J349" s="405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3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404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2340.1428157812179</v>
      </c>
      <c r="J350" s="405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3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404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-103275.94750485396</v>
      </c>
      <c r="J351" s="405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3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404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11324.963786034199</v>
      </c>
      <c r="J352" s="405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3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404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12804.083060573643</v>
      </c>
      <c r="J353" s="405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3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404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2127.1347576814619</v>
      </c>
      <c r="J354" s="405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3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404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-71524.119065714869</v>
      </c>
      <c r="J355" s="405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3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404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22595.401777755167</v>
      </c>
      <c r="J356" s="405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3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404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13508.103893704278</v>
      </c>
      <c r="J357" s="405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0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3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404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2244.0933229453253</v>
      </c>
      <c r="J358" s="405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0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3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404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-132049.41319738791</v>
      </c>
      <c r="J359" s="405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0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3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404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3250.7185399037821</v>
      </c>
      <c r="J360" s="405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0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3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404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1026.6219380415989</v>
      </c>
      <c r="J361" s="405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3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404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170.55209631768457</v>
      </c>
      <c r="J362" s="405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3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404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-7526.8608511262446</v>
      </c>
      <c r="J363" s="405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3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404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1448.0270188913894</v>
      </c>
      <c r="J364" s="405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3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404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933.17518600999415</v>
      </c>
      <c r="J365" s="405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3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404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155.0278425856128</v>
      </c>
      <c r="J366" s="405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3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404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-5212.7538377870515</v>
      </c>
      <c r="J367" s="405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3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404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2889.0822871543637</v>
      </c>
      <c r="J368" s="405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3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404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188807.49782034862</v>
      </c>
      <c r="J369" s="405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0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3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404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-386803.45633054746</v>
      </c>
      <c r="J370" s="405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0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3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404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6398.6827116899449</v>
      </c>
      <c r="J371" s="405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0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3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404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1489.9584754615391</v>
      </c>
      <c r="J372" s="405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3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404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-2312.4446325632407</v>
      </c>
      <c r="J373" s="405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3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404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228.23092644974716</v>
      </c>
      <c r="J374" s="405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3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404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1050.6772072727758</v>
      </c>
      <c r="J375" s="405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3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404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-1257.9466097358352</v>
      </c>
      <c r="J376" s="405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3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404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368.77994874365896</v>
      </c>
      <c r="J377" s="405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3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404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13760.491170282347</v>
      </c>
      <c r="J378" s="405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128654.0299653736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3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404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-28190.647124277235</v>
      </c>
      <c r="J379" s="405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-231536.20968114355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3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404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818.14526093816903</v>
      </c>
      <c r="J380" s="405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5739.1971498031962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3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404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108.58975772871135</v>
      </c>
      <c r="J381" s="405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3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404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-168.53342327766316</v>
      </c>
      <c r="J382" s="405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3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404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29.18195186225644</v>
      </c>
      <c r="J383" s="405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3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404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76.574471884854148</v>
      </c>
      <c r="J384" s="405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3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404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-91.680486293119017</v>
      </c>
      <c r="J385" s="405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3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404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47.152762683861823</v>
      </c>
      <c r="J386" s="405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3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404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250794.30100236979</v>
      </c>
      <c r="J387" s="405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0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3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404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-1149029.5420949629</v>
      </c>
      <c r="J388" s="405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0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3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404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17423.799435440727</v>
      </c>
      <c r="J389" s="405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0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3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404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1542.5601801821217</v>
      </c>
      <c r="J390" s="405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3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404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-5889.4454220201715</v>
      </c>
      <c r="J391" s="405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3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404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484.39126787256032</v>
      </c>
      <c r="J392" s="405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3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404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1563.4175525137905</v>
      </c>
      <c r="J393" s="405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3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404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-5116.3527448826171</v>
      </c>
      <c r="J394" s="405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3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404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1124.9334560839472</v>
      </c>
      <c r="J395" s="405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3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404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18278.155286947014</v>
      </c>
      <c r="J396" s="405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437726.22620455944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3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404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-83742.494609169371</v>
      </c>
      <c r="J397" s="405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-1761734.7254984535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3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404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2227.8333803924561</v>
      </c>
      <c r="J398" s="405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40029.86984964319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3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404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112.42342589181629</v>
      </c>
      <c r="J399" s="405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3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404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-429.22904367219536</v>
      </c>
      <c r="J400" s="405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3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404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61.935001016029382</v>
      </c>
      <c r="J401" s="405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3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404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113.94353336169182</v>
      </c>
      <c r="J402" s="405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3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404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-372.88522745530173</v>
      </c>
      <c r="J403" s="405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3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404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143.83569516338824</v>
      </c>
      <c r="J404" s="405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3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404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313387.77028943755</v>
      </c>
      <c r="J405" s="405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3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404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-1058123.1378421523</v>
      </c>
      <c r="J406" s="405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3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404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38508.723383692748</v>
      </c>
      <c r="J407" s="405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3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404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81823.465231792637</v>
      </c>
      <c r="J408" s="405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3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404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-230224.10250252177</v>
      </c>
      <c r="J409" s="405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3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404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45444.77257124133</v>
      </c>
      <c r="J410" s="405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3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404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80577.693248265845</v>
      </c>
      <c r="J411" s="405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3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404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-194330.49700966838</v>
      </c>
      <c r="J412" s="405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3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404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102545.96046400453</v>
      </c>
      <c r="J413" s="405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3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404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40070.234867227278</v>
      </c>
      <c r="J414" s="405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3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404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-135293.22670321056</v>
      </c>
      <c r="J415" s="405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3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404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4923.7836849744581</v>
      </c>
      <c r="J416" s="405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3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404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10462.072168483857</v>
      </c>
      <c r="J417" s="405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23295.502857875057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3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404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-29436.802370598383</v>
      </c>
      <c r="J418" s="405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-57579.703703703672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3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404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5810.6374372412547</v>
      </c>
      <c r="J419" s="405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9707.5452111545728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3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404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10302.785876217804</v>
      </c>
      <c r="J420" s="405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3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404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-24847.39161917727</v>
      </c>
      <c r="J421" s="405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3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404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13111.681788613041</v>
      </c>
      <c r="J422" s="405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178680.65524972283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183690.80267816613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193570.70985386643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198998.3695680133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 ca="1">SUMIFS(H3:H424,$F$3:$F$424,$D$425)*H423/SUM(H423:H424)*'[1]Processer - data'!H$425</f>
        <v>-27463.486962461298</v>
      </c>
      <c r="I425" s="314">
        <f ca="1">SUMIFS(I3:I424,$F$3:$F$424,$D$425)*I423/SUM(I423:I424)*'[1]Processer - data'!I$425</f>
        <v>-27684.464474275122</v>
      </c>
      <c r="J425" s="315">
        <f ca="1">SUMIFS(J3:J424,$F$3:$F$424,$D$425)*J423/SUM(J423:J424)*'[1]Processer - data'!J$425</f>
        <v>-98634.16391809177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96903.161700864599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0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3772.4502281445671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0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495.69995997819609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0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50222.397196773512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0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137924.05255645732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7095.888967518189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2642.4082816803343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135.94609080949843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12300.597514072075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632.83867154539507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12137.005020218045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624.42219776296736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6251.0678007025454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278.2619831544028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3031.8185402921181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134.95931678923023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400.18991592828291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17.814178824309419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4113.3444523261478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183.10269880176259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12283.299585125167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503.71416194271836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45.306747993645999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1.857941381125793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290147096.7815752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0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12488214.019958759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1877459.9187129627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38545494.035652876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14707482.950659668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10889113.444232332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1637053.4657070346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82190330.666369006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0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23011907.190692831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4733442.7887180541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211369286.04581746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42262882.042125486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8007784.7570939315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0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184413456.43273097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78101806.013847902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57337205.071443327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24292704.597813729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9213865.2220427431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1385199.0863674909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196804820.47189137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13689054.91394873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-14519.067995055966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7312418.355720493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620029.61624042992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-15260.838055200808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-1293.9866269373474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5319.0561906639314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5559.5923198662958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10701235.818623275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4418618.291386947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#DIV/0!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10044870.2066449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5106989.0347676594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17602644.692720275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18407167.358469933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59">
        <f ca="1">SUMIFS('Forbrug af biomasse'!$E$1:$E$425,'Forbrug af biomasse'!$A$1:$A$425,"Biogas",'Forbrug af biomasse'!$B$1:$B$425,$A$1,'Forbrug af biomasse'!$D$1:$D$425,I$2)*'[1]Processer - data'!I474</f>
        <v>3437586.4612868829</v>
      </c>
      <c r="J474" s="260" t="e">
        <f ca="1">SUMIFS('Forbrug af biomasse'!$E$1:$E$425,'Forbrug af biomasse'!$A$1:$A$425,"Biogas",'Forbrug af biomasse'!$B$1:$B$425,$A$1,'Forbrug af biomasse'!$D$1:$D$425,J$2)*'[1]Processer - data'!J474</f>
        <v>#DIV/0!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59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2015333.084553563</v>
      </c>
      <c r="J475" s="260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0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59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1382963.2824057669</v>
      </c>
      <c r="J476" s="260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39087.761465117714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59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947.41458866787582</v>
      </c>
      <c r="J477" s="260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330.0860580073288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59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315091.94354835199</v>
      </c>
      <c r="J478" s="260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43367.920267316324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12613034.84027173</v>
      </c>
      <c r="I479" s="259">
        <f ca="1">I474*'[1]Processer - data'!I$479*Biogasanlæg!AB$3</f>
        <v>20686902.541492391</v>
      </c>
      <c r="J479" s="260" t="e">
        <f ca="1">J474*'[1]Processer - data'!J$479*Biogasanlæg!AC$3</f>
        <v>#DIV/0!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Østdanmark'!H$3:H$504,'Resultater - Østdanmark'!$F$3:$F$504,"Gødning",'Resultater - Østdanmark'!$A$3:$A$504,"&lt;&gt;Gødning")-SUM(H475:H479)</f>
        <v>59971256.963903613</v>
      </c>
      <c r="I480" s="259">
        <f ca="1">-SUMIFS('Resultater - Østdanmark'!I$3:I$504,'Resultater - Østdanmark'!$F$3:$F$504,"Gødning",'Resultater - Østdanmark'!$A$3:$A$504,"&lt;&gt;Gødning")-SUM(I475:I479)</f>
        <v>75101734.065075308</v>
      </c>
      <c r="J480" s="260" t="e">
        <f ca="1">-SUMIFS('Resultater - Østdanmark'!J$3:J$504,'Resultater - Østdanmark'!$F$3:$F$504,"Gødning",'Resultater - Østdanmark'!$A$3:$A$504,"&lt;&gt;Gødning")-SUM(J475:J479)</f>
        <v>#DIV/0!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5.6938105535613097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2.4659089600187367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2.5286424253525341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2.4190053031646266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5.0122483380552989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8.0541625621638921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9.4059039757787311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9.3014085239225324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8.1419495125715642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8.1750142319727654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3.9778561239632375</v>
      </c>
      <c r="I489" s="259">
        <f ca="1">SUM(I455:I473)*'[1]Processer - data'!$H$489</f>
        <v>2.1297948966469513</v>
      </c>
      <c r="J489" s="260" t="e">
        <f>SUM(J455:J473)*'[1]Processer - data'!$H$489</f>
        <v>#DIV/0!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289581.84379516833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122690.4272616855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596197.91369593481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252597.93847994076</v>
      </c>
    </row>
    <row r="492" spans="1:10" ht="15.75" thickBot="1" x14ac:dyDescent="0.3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846465.45891391754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358631.63054471865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7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112885.82256038101</v>
      </c>
      <c r="J493" s="27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107991.30817699226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72246.926438643844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69114.43723327505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11" zoomScale="70" zoomScaleNormal="7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49">
        <f>'Resultater - Vestdanmark'!H3+'Resultater - Østdanmark'!H3</f>
        <v>6905432.901678659</v>
      </c>
      <c r="I3" s="250">
        <f>'Resultater - Vestdanmark'!I3+'Resultater - Østdanmark'!I3</f>
        <v>7187550.2724163011</v>
      </c>
      <c r="J3" s="251">
        <f>'Resultater - Vestdanmark'!J3+'Resultater - Østdanmark'!J3</f>
        <v>7494121.763909651</v>
      </c>
      <c r="L3" s="94" t="s">
        <v>111</v>
      </c>
      <c r="M3" s="94">
        <f ca="1">SUMIF($F$3:$F$509,$L$3,H$3:H$509)</f>
        <v>15057851.655114515</v>
      </c>
      <c r="N3" s="94">
        <f ca="1">SUMIF($F$3:$F$509,$L$3,I$3:I$509)</f>
        <v>8931240.6195746455</v>
      </c>
      <c r="O3" s="94">
        <f ca="1">SUMIF($F$3:$F$509,$L$3,J$3:J$509)</f>
        <v>313238.09705259907</v>
      </c>
      <c r="Q3" s="94"/>
      <c r="U3" s="94"/>
    </row>
    <row r="4" spans="1:21" x14ac:dyDescent="0.25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2">
        <f ca="1">'Resultater - Vestdanmark'!H4+'Resultater - Østdanmark'!H4</f>
        <v>358674.32551850227</v>
      </c>
      <c r="I4" s="253">
        <f ca="1">'Resultater - Vestdanmark'!I4+'Resultater - Østdanmark'!I4</f>
        <v>363994.97174274386</v>
      </c>
      <c r="J4" s="254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1549282.418632678</v>
      </c>
      <c r="N4" s="94">
        <f t="shared" si="0"/>
        <v>1054511.5817145002</v>
      </c>
      <c r="O4" s="94">
        <f t="shared" si="0"/>
        <v>169743.52134938724</v>
      </c>
    </row>
    <row r="5" spans="1:21" x14ac:dyDescent="0.25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2">
        <f>'Resultater - Vestdanmark'!H5+'Resultater - Østdanmark'!H5</f>
        <v>982809</v>
      </c>
      <c r="I5" s="253">
        <f>'Resultater - Vestdanmark'!I5+'Resultater - Østdanmark'!I5</f>
        <v>982809</v>
      </c>
      <c r="J5" s="254">
        <f>'Resultater - Vestdanmark'!J5+'Resultater - Østdanmark'!J5</f>
        <v>982809</v>
      </c>
      <c r="L5" s="94" t="s">
        <v>168</v>
      </c>
      <c r="M5" s="94">
        <f t="shared" si="0"/>
        <v>4613599.2928801989</v>
      </c>
      <c r="N5" s="94">
        <f t="shared" si="0"/>
        <v>3086281.5635976405</v>
      </c>
      <c r="O5" s="94">
        <f t="shared" si="0"/>
        <v>265218.26227537642</v>
      </c>
    </row>
    <row r="6" spans="1:21" x14ac:dyDescent="0.25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2">
        <f>'Resultater - Vestdanmark'!H6+'Resultater - Østdanmark'!H6</f>
        <v>355018</v>
      </c>
      <c r="I6" s="253">
        <f>'Resultater - Vestdanmark'!I6+'Resultater - Østdanmark'!I6</f>
        <v>355018</v>
      </c>
      <c r="J6" s="254">
        <f>'Resultater - Vestdanmark'!J6+'Resultater - Østdanmark'!J6</f>
        <v>355018</v>
      </c>
      <c r="L6" s="94" t="s">
        <v>169</v>
      </c>
      <c r="M6" s="94">
        <f t="shared" si="0"/>
        <v>18691.617312245358</v>
      </c>
      <c r="N6" s="94">
        <f t="shared" si="0"/>
        <v>14712.111690928603</v>
      </c>
      <c r="O6" s="94">
        <f t="shared" si="0"/>
        <v>8109.0649979456357</v>
      </c>
    </row>
    <row r="7" spans="1:21" x14ac:dyDescent="0.25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2">
        <f>'Resultater - Vestdanmark'!H7+'Resultater - Østdanmark'!H7</f>
        <v>880.09999999999991</v>
      </c>
      <c r="I7" s="253">
        <f>'Resultater - Vestdanmark'!I7+'Resultater - Østdanmark'!I7</f>
        <v>880.09999999999991</v>
      </c>
      <c r="J7" s="254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24640.946264337239</v>
      </c>
      <c r="O7" s="94">
        <f>SUMIFS(J$3:J$509,$F$3:$F$509,$L$3,$C$3:$C$509,$L7)+SUMIFS(J$3:J$509,$F$3:$F$509,$L$3,$C$3:$C$509,"",$A$3:$A$509,"Grøntsager I drivhus")</f>
        <v>45314.726696657504</v>
      </c>
    </row>
    <row r="8" spans="1:21" x14ac:dyDescent="0.25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2">
        <f>'Resultater - Vestdanmark'!H8+'Resultater - Østdanmark'!H8</f>
        <v>-142.57619999999997</v>
      </c>
      <c r="I8" s="253">
        <f>'Resultater - Vestdanmark'!I8+'Resultater - Østdanmark'!I8</f>
        <v>-142.57619999999997</v>
      </c>
      <c r="J8" s="254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962229.23512527661</v>
      </c>
      <c r="O8" s="94">
        <f>SUMIFS(J$3:J$509,$F$3:$F$509,$L$3,$C$3:$C$509,$L8)</f>
        <v>73624.640646397049</v>
      </c>
    </row>
    <row r="9" spans="1:21" x14ac:dyDescent="0.25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2">
        <f>'Resultater - Vestdanmark'!H9+'Resultater - Østdanmark'!H9</f>
        <v>76.5</v>
      </c>
      <c r="I9" s="253">
        <f>'Resultater - Vestdanmark'!I9+'Resultater - Østdanmark'!I9</f>
        <v>382.5</v>
      </c>
      <c r="J9" s="254">
        <f>'Resultater - Vestdanmark'!J9+'Resultater - Østdanmark'!J9</f>
        <v>382.5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1832293.9271178551</v>
      </c>
      <c r="O9" s="94">
        <f>SUMIFS(J$3:J$509,$F$3:$F$509,$L$3,$C$3:$C$509,$L9)</f>
        <v>0</v>
      </c>
    </row>
    <row r="10" spans="1:21" x14ac:dyDescent="0.25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2">
        <f>'Resultater - Vestdanmark'!H10+'Resultater - Østdanmark'!H10</f>
        <v>-15.861000000000001</v>
      </c>
      <c r="I10" s="253">
        <f>'Resultater - Vestdanmark'!I10+'Resultater - Østdanmark'!I10</f>
        <v>-15.861000000000001</v>
      </c>
      <c r="J10" s="254">
        <f>'Resultater - Vestdanmark'!J10+'Resultater - Østdanmark'!J10</f>
        <v>-15.861000000000001</v>
      </c>
    </row>
    <row r="11" spans="1:21" x14ac:dyDescent="0.25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2">
        <f>'Resultater - Vestdanmark'!H11+'Resultater - Østdanmark'!H11</f>
        <v>1724391.5316257188</v>
      </c>
      <c r="I11" s="253">
        <f>'Resultater - Vestdanmark'!I11+'Resultater - Østdanmark'!I11</f>
        <v>1631885.8233455163</v>
      </c>
      <c r="J11" s="254">
        <f>'Resultater - Vestdanmark'!J11+'Resultater - Østdanmark'!J11</f>
        <v>1476221.0184099278</v>
      </c>
    </row>
    <row r="12" spans="1:21" x14ac:dyDescent="0.25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2">
        <f>'Resultater - Vestdanmark'!H12+'Resultater - Østdanmark'!H12</f>
        <v>2113608.4683742807</v>
      </c>
      <c r="I12" s="253">
        <f>'Resultater - Vestdanmark'!I12+'Resultater - Østdanmark'!I12</f>
        <v>2000223.0539784776</v>
      </c>
      <c r="J12" s="254">
        <f>'Resultater - Vestdanmark'!J12+'Resultater - Østdanmark'!J12</f>
        <v>1809422.7375158332</v>
      </c>
    </row>
    <row r="13" spans="1:21" x14ac:dyDescent="0.25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2">
        <f>'Resultater - Vestdanmark'!H13+'Resultater - Østdanmark'!H13</f>
        <v>-562410</v>
      </c>
      <c r="I13" s="253">
        <f>'Resultater - Vestdanmark'!I13+'Resultater - Østdanmark'!I13</f>
        <v>-532239.27923287847</v>
      </c>
      <c r="J13" s="254">
        <f>'Resultater - Vestdanmark'!J13+'Resultater - Østdanmark'!J13</f>
        <v>-481469.23000787059</v>
      </c>
    </row>
    <row r="14" spans="1:21" x14ac:dyDescent="0.25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2">
        <f>'Resultater - Vestdanmark'!H14+'Resultater - Østdanmark'!H14</f>
        <v>-1263438.0423418714</v>
      </c>
      <c r="I14" s="253">
        <f>'Resultater - Vestdanmark'!I14+'Resultater - Østdanmark'!I14</f>
        <v>-1195660.3776807606</v>
      </c>
      <c r="J14" s="254">
        <f>'Resultater - Vestdanmark'!J14+'Resultater - Østdanmark'!J14</f>
        <v>-1081606.9084991238</v>
      </c>
    </row>
    <row r="15" spans="1:21" x14ac:dyDescent="0.25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2">
        <f ca="1">'Resultater - Vestdanmark'!H15+'Resultater - Østdanmark'!H15</f>
        <v>0</v>
      </c>
      <c r="I15" s="253">
        <f ca="1">'Resultater - Vestdanmark'!I15+'Resultater - Østdanmark'!I15</f>
        <v>0</v>
      </c>
      <c r="J15" s="254">
        <f ca="1">'Resultater - Vestdanmark'!J15+'Resultater - Østdanmark'!J15</f>
        <v>0</v>
      </c>
    </row>
    <row r="16" spans="1:21" x14ac:dyDescent="0.25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2">
        <f ca="1">'Resultater - Vestdanmark'!H16+'Resultater - Østdanmark'!H16</f>
        <v>0</v>
      </c>
      <c r="I16" s="253">
        <f ca="1">'Resultater - Vestdanmark'!I16+'Resultater - Østdanmark'!I16</f>
        <v>0</v>
      </c>
      <c r="J16" s="254">
        <f ca="1">'Resultater - Vestdanmark'!J16+'Resultater - Østdanmark'!J16</f>
        <v>0</v>
      </c>
    </row>
    <row r="17" spans="1:10" x14ac:dyDescent="0.25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2">
        <f ca="1">'Resultater - Vestdanmark'!H17+'Resultater - Østdanmark'!H17</f>
        <v>0</v>
      </c>
      <c r="I17" s="253">
        <f ca="1">'Resultater - Vestdanmark'!I17+'Resultater - Østdanmark'!I17</f>
        <v>-17624.379300435641</v>
      </c>
      <c r="J17" s="254">
        <f ca="1">'Resultater - Vestdanmark'!J17+'Resultater - Østdanmark'!J17</f>
        <v>-10911.961238285759</v>
      </c>
    </row>
    <row r="18" spans="1:10" x14ac:dyDescent="0.25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2">
        <f ca="1">'Resultater - Vestdanmark'!H18+'Resultater - Østdanmark'!H18</f>
        <v>0</v>
      </c>
      <c r="I18" s="253">
        <f ca="1">'Resultater - Vestdanmark'!I18+'Resultater - Østdanmark'!I18</f>
        <v>0</v>
      </c>
      <c r="J18" s="254">
        <f ca="1">'Resultater - Vestdanmark'!J18+'Resultater - Østdanmark'!J18</f>
        <v>0</v>
      </c>
    </row>
    <row r="19" spans="1:10" x14ac:dyDescent="0.25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2">
        <f ca="1">'Resultater - Vestdanmark'!H19+'Resultater - Østdanmark'!H19</f>
        <v>0</v>
      </c>
      <c r="I19" s="253">
        <f ca="1">'Resultater - Vestdanmark'!I19+'Resultater - Østdanmark'!I19</f>
        <v>0</v>
      </c>
      <c r="J19" s="254">
        <f ca="1">'Resultater - Vestdanmark'!J19+'Resultater - Østdanmark'!J19</f>
        <v>0</v>
      </c>
    </row>
    <row r="20" spans="1:10" x14ac:dyDescent="0.25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2">
        <f ca="1">'Resultater - Vestdanmark'!H20+'Resultater - Østdanmark'!H20</f>
        <v>0</v>
      </c>
      <c r="I20" s="253">
        <f ca="1">'Resultater - Vestdanmark'!I20+'Resultater - Østdanmark'!I20</f>
        <v>0</v>
      </c>
      <c r="J20" s="254">
        <f ca="1">'Resultater - Vestdanmark'!J20+'Resultater - Østdanmark'!J20</f>
        <v>0</v>
      </c>
    </row>
    <row r="21" spans="1:10" x14ac:dyDescent="0.25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2">
        <f ca="1">'Resultater - Vestdanmark'!H21+'Resultater - Østdanmark'!H21</f>
        <v>0</v>
      </c>
      <c r="I21" s="253">
        <f ca="1">'Resultater - Vestdanmark'!I21+'Resultater - Østdanmark'!I21</f>
        <v>-3898.3137499999993</v>
      </c>
      <c r="J21" s="254">
        <f ca="1">'Resultater - Vestdanmark'!J21+'Resultater - Østdanmark'!J21</f>
        <v>-24343.304953738909</v>
      </c>
    </row>
    <row r="22" spans="1:10" x14ac:dyDescent="0.25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2">
        <f ca="1">'Resultater - Vestdanmark'!H22+'Resultater - Østdanmark'!H22</f>
        <v>0</v>
      </c>
      <c r="I22" s="253">
        <f ca="1">'Resultater - Vestdanmark'!I22+'Resultater - Østdanmark'!I22</f>
        <v>0</v>
      </c>
      <c r="J22" s="254">
        <f ca="1">'Resultater - Vestdanmark'!J22+'Resultater - Østdanmark'!J22</f>
        <v>0</v>
      </c>
    </row>
    <row r="23" spans="1:10" x14ac:dyDescent="0.25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2">
        <f ca="1">'Resultater - Vestdanmark'!H23+'Resultater - Østdanmark'!H23</f>
        <v>0</v>
      </c>
      <c r="I23" s="253">
        <f ca="1">'Resultater - Vestdanmark'!I23+'Resultater - Østdanmark'!I23</f>
        <v>0</v>
      </c>
      <c r="J23" s="254">
        <f ca="1">'Resultater - Vestdanmark'!J23+'Resultater - Østdanmark'!J23</f>
        <v>0</v>
      </c>
    </row>
    <row r="24" spans="1:10" x14ac:dyDescent="0.25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2">
        <f ca="1">'Resultater - Vestdanmark'!H24+'Resultater - Østdanmark'!H24</f>
        <v>0</v>
      </c>
      <c r="I24" s="253">
        <f ca="1">'Resultater - Vestdanmark'!I24+'Resultater - Østdanmark'!I24</f>
        <v>0</v>
      </c>
      <c r="J24" s="254">
        <f ca="1">'Resultater - Vestdanmark'!J24+'Resultater - Østdanmark'!J24</f>
        <v>0</v>
      </c>
    </row>
    <row r="25" spans="1:10" x14ac:dyDescent="0.25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2">
        <f ca="1">'Resultater - Vestdanmark'!H25+'Resultater - Østdanmark'!H25</f>
        <v>0</v>
      </c>
      <c r="I25" s="253">
        <f ca="1">'Resultater - Vestdanmark'!I25+'Resultater - Østdanmark'!I25</f>
        <v>0</v>
      </c>
      <c r="J25" s="254">
        <f ca="1">'Resultater - Vestdanmark'!J25+'Resultater - Østdanmark'!J25</f>
        <v>-98696.524082439588</v>
      </c>
    </row>
    <row r="26" spans="1:10" x14ac:dyDescent="0.25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2">
        <f ca="1">'Resultater - Vestdanmark'!H26+'Resultater - Østdanmark'!H26</f>
        <v>0</v>
      </c>
      <c r="I26" s="253">
        <f ca="1">'Resultater - Vestdanmark'!I26+'Resultater - Østdanmark'!I26</f>
        <v>0</v>
      </c>
      <c r="J26" s="254">
        <f ca="1">'Resultater - Vestdanmark'!J26+'Resultater - Østdanmark'!J26</f>
        <v>0</v>
      </c>
    </row>
    <row r="27" spans="1:10" x14ac:dyDescent="0.25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2">
        <f ca="1">'Resultater - Vestdanmark'!H27+'Resultater - Østdanmark'!H27</f>
        <v>0</v>
      </c>
      <c r="I27" s="253">
        <f ca="1">'Resultater - Vestdanmark'!I27+'Resultater - Østdanmark'!I27</f>
        <v>0</v>
      </c>
      <c r="J27" s="254">
        <f ca="1">'Resultater - Vestdanmark'!J27+'Resultater - Østdanmark'!J27</f>
        <v>1347.5292178032605</v>
      </c>
    </row>
    <row r="28" spans="1:10" x14ac:dyDescent="0.25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2">
        <f ca="1">'Resultater - Vestdanmark'!H28+'Resultater - Østdanmark'!H28</f>
        <v>0</v>
      </c>
      <c r="I28" s="253">
        <f ca="1">'Resultater - Vestdanmark'!I28+'Resultater - Østdanmark'!I28</f>
        <v>0</v>
      </c>
      <c r="J28" s="254">
        <f ca="1">'Resultater - Vestdanmark'!J28+'Resultater - Østdanmark'!J28</f>
        <v>703.93317347931509</v>
      </c>
    </row>
    <row r="29" spans="1:10" x14ac:dyDescent="0.25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2">
        <f ca="1">'Resultater - Vestdanmark'!H29+'Resultater - Østdanmark'!H29</f>
        <v>0</v>
      </c>
      <c r="I29" s="253">
        <f ca="1">'Resultater - Vestdanmark'!I29+'Resultater - Østdanmark'!I29</f>
        <v>0</v>
      </c>
      <c r="J29" s="254">
        <f ca="1">'Resultater - Vestdanmark'!J29+'Resultater - Østdanmark'!J29</f>
        <v>-10243.479150761603</v>
      </c>
    </row>
    <row r="30" spans="1:10" x14ac:dyDescent="0.25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2">
        <f ca="1">'Resultater - Vestdanmark'!H30+'Resultater - Østdanmark'!H30</f>
        <v>0</v>
      </c>
      <c r="I30" s="253">
        <f ca="1">'Resultater - Vestdanmark'!I30+'Resultater - Østdanmark'!I30</f>
        <v>0</v>
      </c>
      <c r="J30" s="254">
        <f ca="1">'Resultater - Vestdanmark'!J30+'Resultater - Østdanmark'!J30</f>
        <v>-7192.5984435875089</v>
      </c>
    </row>
    <row r="31" spans="1:10" x14ac:dyDescent="0.25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2">
        <f ca="1">'Resultater - Vestdanmark'!H31+'Resultater - Østdanmark'!H31</f>
        <v>0</v>
      </c>
      <c r="I31" s="253">
        <f ca="1">'Resultater - Vestdanmark'!I31+'Resultater - Østdanmark'!I31</f>
        <v>0</v>
      </c>
      <c r="J31" s="254">
        <f ca="1">'Resultater - Vestdanmark'!J31+'Resultater - Østdanmark'!J31</f>
        <v>0</v>
      </c>
    </row>
    <row r="32" spans="1:10" x14ac:dyDescent="0.25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2">
        <f ca="1">'Resultater - Vestdanmark'!H32+'Resultater - Østdanmark'!H32</f>
        <v>0</v>
      </c>
      <c r="I32" s="253">
        <f ca="1">'Resultater - Vestdanmark'!I32+'Resultater - Østdanmark'!I32</f>
        <v>0</v>
      </c>
      <c r="J32" s="254">
        <f ca="1">'Resultater - Vestdanmark'!J32+'Resultater - Østdanmark'!J32</f>
        <v>0</v>
      </c>
    </row>
    <row r="33" spans="1:10" x14ac:dyDescent="0.25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2">
        <f ca="1">'Resultater - Vestdanmark'!H33+'Resultater - Østdanmark'!H33</f>
        <v>0</v>
      </c>
      <c r="I33" s="253">
        <f ca="1">'Resultater - Vestdanmark'!I33+'Resultater - Østdanmark'!I33</f>
        <v>-793218.70311657991</v>
      </c>
      <c r="J33" s="254">
        <f ca="1">'Resultater - Vestdanmark'!J33+'Resultater - Østdanmark'!J33</f>
        <v>-509098.76151055703</v>
      </c>
    </row>
    <row r="34" spans="1:10" x14ac:dyDescent="0.25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2">
        <f ca="1">'Resultater - Vestdanmark'!H34+'Resultater - Østdanmark'!H34</f>
        <v>0</v>
      </c>
      <c r="I34" s="253">
        <f ca="1">'Resultater - Vestdanmark'!I34+'Resultater - Østdanmark'!I34</f>
        <v>0</v>
      </c>
      <c r="J34" s="254">
        <f ca="1">'Resultater - Vestdanmark'!J34+'Resultater - Østdanmark'!J34</f>
        <v>0</v>
      </c>
    </row>
    <row r="35" spans="1:10" x14ac:dyDescent="0.25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2">
        <f ca="1">'Resultater - Vestdanmark'!H35+'Resultater - Østdanmark'!H35</f>
        <v>0</v>
      </c>
      <c r="I35" s="253">
        <f ca="1">'Resultater - Vestdanmark'!I35+'Resultater - Østdanmark'!I35</f>
        <v>14543.980169902705</v>
      </c>
      <c r="J35" s="254">
        <f ca="1">'Resultater - Vestdanmark'!J35+'Resultater - Østdanmark'!J35</f>
        <v>91624.278695010435</v>
      </c>
    </row>
    <row r="36" spans="1:10" x14ac:dyDescent="0.25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2">
        <f ca="1">'Resultater - Vestdanmark'!H36+'Resultater - Østdanmark'!H36</f>
        <v>0</v>
      </c>
      <c r="I36" s="253">
        <f ca="1">'Resultater - Vestdanmark'!I36+'Resultater - Østdanmark'!I36</f>
        <v>3635.9950424756757</v>
      </c>
      <c r="J36" s="254">
        <f ca="1">'Resultater - Vestdanmark'!J36+'Resultater - Østdanmark'!J36</f>
        <v>22906.069673752601</v>
      </c>
    </row>
    <row r="37" spans="1:10" x14ac:dyDescent="0.25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2">
        <f ca="1">'Resultater - Vestdanmark'!H37+'Resultater - Østdanmark'!H37</f>
        <v>0</v>
      </c>
      <c r="I37" s="253">
        <f ca="1">'Resultater - Vestdanmark'!I37+'Resultater - Østdanmark'!I37</f>
        <v>-101909.24953405237</v>
      </c>
      <c r="J37" s="254">
        <f ca="1">'Resultater - Vestdanmark'!J37+'Resultater - Østdanmark'!J37</f>
        <v>-642008.67794292653</v>
      </c>
    </row>
    <row r="38" spans="1:10" x14ac:dyDescent="0.25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2">
        <f ca="1">'Resultater - Vestdanmark'!H38+'Resultater - Østdanmark'!H38</f>
        <v>0</v>
      </c>
      <c r="I38" s="253">
        <f ca="1">'Resultater - Vestdanmark'!I38+'Resultater - Østdanmark'!I38</f>
        <v>-91718.324580647168</v>
      </c>
      <c r="J38" s="254">
        <f ca="1">'Resultater - Vestdanmark'!J38+'Resultater - Østdanmark'!J38</f>
        <v>-577807.81014863402</v>
      </c>
    </row>
    <row r="39" spans="1:10" x14ac:dyDescent="0.25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2">
        <f ca="1">'Resultater - Vestdanmark'!H39+'Resultater - Østdanmark'!H39</f>
        <v>0</v>
      </c>
      <c r="I39" s="253">
        <f ca="1">'Resultater - Vestdanmark'!I39+'Resultater - Østdanmark'!I39</f>
        <v>0</v>
      </c>
      <c r="J39" s="254">
        <f ca="1">'Resultater - Vestdanmark'!J39+'Resultater - Østdanmark'!J39</f>
        <v>149480.974435896</v>
      </c>
    </row>
    <row r="40" spans="1:10" x14ac:dyDescent="0.25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2">
        <f ca="1">'Resultater - Vestdanmark'!H40+'Resultater - Østdanmark'!H40</f>
        <v>0</v>
      </c>
      <c r="I40" s="253">
        <f ca="1">'Resultater - Vestdanmark'!I40+'Resultater - Østdanmark'!I40</f>
        <v>0</v>
      </c>
      <c r="J40" s="254">
        <f ca="1">'Resultater - Vestdanmark'!J40+'Resultater - Østdanmark'!J40</f>
        <v>51743.414227810164</v>
      </c>
    </row>
    <row r="41" spans="1:10" x14ac:dyDescent="0.25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2">
        <f ca="1">'Resultater - Vestdanmark'!H41+'Resultater - Østdanmark'!H41</f>
        <v>0</v>
      </c>
      <c r="I41" s="253">
        <f ca="1">'Resultater - Vestdanmark'!I41+'Resultater - Østdanmark'!I41</f>
        <v>0</v>
      </c>
      <c r="J41" s="254">
        <f ca="1">'Resultater - Vestdanmark'!J41+'Resultater - Østdanmark'!J41</f>
        <v>-30950.637522002849</v>
      </c>
    </row>
    <row r="42" spans="1:10" x14ac:dyDescent="0.25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2">
        <f ca="1">'Resultater - Vestdanmark'!H42+'Resultater - Østdanmark'!H42</f>
        <v>0</v>
      </c>
      <c r="I42" s="253">
        <f ca="1">'Resultater - Vestdanmark'!I42+'Resultater - Østdanmark'!I42</f>
        <v>0</v>
      </c>
      <c r="J42" s="254">
        <f ca="1">'Resultater - Vestdanmark'!J42+'Resultater - Østdanmark'!J42</f>
        <v>-942667.98852728668</v>
      </c>
    </row>
    <row r="43" spans="1:10" x14ac:dyDescent="0.25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2">
        <f ca="1">'Resultater - Vestdanmark'!H43+'Resultater - Østdanmark'!H43</f>
        <v>0</v>
      </c>
      <c r="I43" s="253">
        <f ca="1">'Resultater - Vestdanmark'!I43+'Resultater - Østdanmark'!I43</f>
        <v>0</v>
      </c>
      <c r="J43" s="254">
        <f ca="1">'Resultater - Vestdanmark'!J43+'Resultater - Østdanmark'!J43</f>
        <v>6847.2122918841105</v>
      </c>
    </row>
    <row r="44" spans="1:10" x14ac:dyDescent="0.25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2">
        <f ca="1">'Resultater - Vestdanmark'!H44+'Resultater - Østdanmark'!H44</f>
        <v>0</v>
      </c>
      <c r="I44" s="253">
        <f ca="1">'Resultater - Vestdanmark'!I44+'Resultater - Østdanmark'!I44</f>
        <v>0</v>
      </c>
      <c r="J44" s="254">
        <f ca="1">'Resultater - Vestdanmark'!J44+'Resultater - Østdanmark'!J44</f>
        <v>3423.6061459420562</v>
      </c>
    </row>
    <row r="45" spans="1:10" x14ac:dyDescent="0.25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2">
        <f ca="1">'Resultater - Vestdanmark'!H45+'Resultater - Østdanmark'!H45</f>
        <v>0</v>
      </c>
      <c r="I45" s="253">
        <f ca="1">'Resultater - Vestdanmark'!I45+'Resultater - Østdanmark'!I45</f>
        <v>0</v>
      </c>
      <c r="J45" s="254">
        <f ca="1">'Resultater - Vestdanmark'!J45+'Resultater - Østdanmark'!J45</f>
        <v>-77107.852002187923</v>
      </c>
    </row>
    <row r="46" spans="1:10" x14ac:dyDescent="0.25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2">
        <f ca="1">'Resultater - Vestdanmark'!H46+'Resultater - Østdanmark'!H46</f>
        <v>0</v>
      </c>
      <c r="I46" s="253">
        <f ca="1">'Resultater - Vestdanmark'!I46+'Resultater - Østdanmark'!I46</f>
        <v>0</v>
      </c>
      <c r="J46" s="254">
        <f ca="1">'Resultater - Vestdanmark'!J46+'Resultater - Østdanmark'!J46</f>
        <v>-43180.397121225236</v>
      </c>
    </row>
    <row r="47" spans="1:10" x14ac:dyDescent="0.25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2">
        <f ca="1">'Resultater - Vestdanmark'!H47+'Resultater - Østdanmark'!H47</f>
        <v>0</v>
      </c>
      <c r="I47" s="253">
        <f ca="1">'Resultater - Vestdanmark'!I47+'Resultater - Østdanmark'!I47</f>
        <v>0</v>
      </c>
      <c r="J47" s="254">
        <f ca="1">'Resultater - Vestdanmark'!J47+'Resultater - Østdanmark'!J47</f>
        <v>0</v>
      </c>
    </row>
    <row r="48" spans="1:10" x14ac:dyDescent="0.25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2">
        <f ca="1">'Resultater - Vestdanmark'!H48+'Resultater - Østdanmark'!H48</f>
        <v>0</v>
      </c>
      <c r="I48" s="253">
        <f ca="1">'Resultater - Vestdanmark'!I48+'Resultater - Østdanmark'!I48</f>
        <v>0</v>
      </c>
      <c r="J48" s="254">
        <f ca="1">'Resultater - Vestdanmark'!J48+'Resultater - Østdanmark'!J48</f>
        <v>0</v>
      </c>
    </row>
    <row r="49" spans="1:10" x14ac:dyDescent="0.25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2">
        <f ca="1">'Resultater - Vestdanmark'!H49+'Resultater - Østdanmark'!H49</f>
        <v>0</v>
      </c>
      <c r="I49" s="253">
        <f ca="1">'Resultater - Vestdanmark'!I49+'Resultater - Østdanmark'!I49</f>
        <v>-17624.379300435641</v>
      </c>
      <c r="J49" s="254">
        <f ca="1">'Resultater - Vestdanmark'!J49+'Resultater - Østdanmark'!J49</f>
        <v>-10909.339284690943</v>
      </c>
    </row>
    <row r="50" spans="1:10" x14ac:dyDescent="0.25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2">
        <f ca="1">'Resultater - Vestdanmark'!H50+'Resultater - Østdanmark'!H50</f>
        <v>0</v>
      </c>
      <c r="I50" s="253">
        <f ca="1">'Resultater - Vestdanmark'!I50+'Resultater - Østdanmark'!I50</f>
        <v>0</v>
      </c>
      <c r="J50" s="254">
        <f ca="1">'Resultater - Vestdanmark'!J50+'Resultater - Østdanmark'!J50</f>
        <v>0</v>
      </c>
    </row>
    <row r="51" spans="1:10" x14ac:dyDescent="0.25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2">
        <f ca="1">'Resultater - Vestdanmark'!H51+'Resultater - Østdanmark'!H51</f>
        <v>0</v>
      </c>
      <c r="I51" s="253">
        <f ca="1">'Resultater - Vestdanmark'!I51+'Resultater - Østdanmark'!I51</f>
        <v>0</v>
      </c>
      <c r="J51" s="254">
        <f ca="1">'Resultater - Vestdanmark'!J51+'Resultater - Østdanmark'!J51</f>
        <v>0</v>
      </c>
    </row>
    <row r="52" spans="1:10" x14ac:dyDescent="0.25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2">
        <f ca="1">'Resultater - Vestdanmark'!H52+'Resultater - Østdanmark'!H52</f>
        <v>0</v>
      </c>
      <c r="I52" s="253">
        <f ca="1">'Resultater - Vestdanmark'!I52+'Resultater - Østdanmark'!I52</f>
        <v>0</v>
      </c>
      <c r="J52" s="254">
        <f ca="1">'Resultater - Vestdanmark'!J52+'Resultater - Østdanmark'!J52</f>
        <v>0</v>
      </c>
    </row>
    <row r="53" spans="1:10" x14ac:dyDescent="0.25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2">
        <f ca="1">'Resultater - Vestdanmark'!H53+'Resultater - Østdanmark'!H53</f>
        <v>0</v>
      </c>
      <c r="I53" s="253">
        <f ca="1">'Resultater - Vestdanmark'!I53+'Resultater - Østdanmark'!I53</f>
        <v>-3012.3333522727266</v>
      </c>
      <c r="J53" s="254">
        <f ca="1">'Resultater - Vestdanmark'!J53+'Resultater - Østdanmark'!J53</f>
        <v>-18810.735646070974</v>
      </c>
    </row>
    <row r="54" spans="1:10" x14ac:dyDescent="0.25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2">
        <f ca="1">'Resultater - Vestdanmark'!H54+'Resultater - Østdanmark'!H54</f>
        <v>0</v>
      </c>
      <c r="I54" s="253">
        <f ca="1">'Resultater - Vestdanmark'!I54+'Resultater - Østdanmark'!I54</f>
        <v>0</v>
      </c>
      <c r="J54" s="254">
        <f ca="1">'Resultater - Vestdanmark'!J54+'Resultater - Østdanmark'!J54</f>
        <v>0</v>
      </c>
    </row>
    <row r="55" spans="1:10" x14ac:dyDescent="0.25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2">
        <f ca="1">'Resultater - Vestdanmark'!H55+'Resultater - Østdanmark'!H55</f>
        <v>0</v>
      </c>
      <c r="I55" s="253">
        <f ca="1">'Resultater - Vestdanmark'!I55+'Resultater - Østdanmark'!I55</f>
        <v>0</v>
      </c>
      <c r="J55" s="254">
        <f ca="1">'Resultater - Vestdanmark'!J55+'Resultater - Østdanmark'!J55</f>
        <v>0</v>
      </c>
    </row>
    <row r="56" spans="1:10" x14ac:dyDescent="0.25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2">
        <f ca="1">'Resultater - Vestdanmark'!H56+'Resultater - Østdanmark'!H56</f>
        <v>0</v>
      </c>
      <c r="I56" s="253">
        <f ca="1">'Resultater - Vestdanmark'!I56+'Resultater - Østdanmark'!I56</f>
        <v>0</v>
      </c>
      <c r="J56" s="254">
        <f ca="1">'Resultater - Vestdanmark'!J56+'Resultater - Østdanmark'!J56</f>
        <v>0</v>
      </c>
    </row>
    <row r="57" spans="1:10" x14ac:dyDescent="0.25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2">
        <f ca="1">'Resultater - Vestdanmark'!H57+'Resultater - Østdanmark'!H57</f>
        <v>0</v>
      </c>
      <c r="I57" s="253">
        <f ca="1">'Resultater - Vestdanmark'!I57+'Resultater - Østdanmark'!I57</f>
        <v>0</v>
      </c>
      <c r="J57" s="254">
        <f ca="1">'Resultater - Vestdanmark'!J57+'Resultater - Østdanmark'!J57</f>
        <v>-96934.086152396034</v>
      </c>
    </row>
    <row r="58" spans="1:10" x14ac:dyDescent="0.25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2">
        <f ca="1">'Resultater - Vestdanmark'!H58+'Resultater - Østdanmark'!H58</f>
        <v>0</v>
      </c>
      <c r="I58" s="253">
        <f ca="1">'Resultater - Vestdanmark'!I58+'Resultater - Østdanmark'!I58</f>
        <v>0</v>
      </c>
      <c r="J58" s="254">
        <f ca="1">'Resultater - Vestdanmark'!J58+'Resultater - Østdanmark'!J58</f>
        <v>0</v>
      </c>
    </row>
    <row r="59" spans="1:10" x14ac:dyDescent="0.25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2">
        <f ca="1">'Resultater - Vestdanmark'!H59+'Resultater - Østdanmark'!H59</f>
        <v>0</v>
      </c>
      <c r="I59" s="253">
        <f ca="1">'Resultater - Vestdanmark'!I59+'Resultater - Østdanmark'!I59</f>
        <v>0</v>
      </c>
      <c r="J59" s="254">
        <f ca="1">'Resultater - Vestdanmark'!J59+'Resultater - Østdanmark'!J59</f>
        <v>989.43856058566405</v>
      </c>
    </row>
    <row r="60" spans="1:10" x14ac:dyDescent="0.25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2">
        <f ca="1">'Resultater - Vestdanmark'!H60+'Resultater - Østdanmark'!H60</f>
        <v>0</v>
      </c>
      <c r="I60" s="253">
        <f ca="1">'Resultater - Vestdanmark'!I60+'Resultater - Østdanmark'!I60</f>
        <v>0</v>
      </c>
      <c r="J60" s="254">
        <f ca="1">'Resultater - Vestdanmark'!J60+'Resultater - Østdanmark'!J60</f>
        <v>539.6937603194533</v>
      </c>
    </row>
    <row r="61" spans="1:10" x14ac:dyDescent="0.25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2">
        <f ca="1">'Resultater - Vestdanmark'!H61+'Resultater - Østdanmark'!H61</f>
        <v>0</v>
      </c>
      <c r="I61" s="253">
        <f ca="1">'Resultater - Vestdanmark'!I61+'Resultater - Østdanmark'!I61</f>
        <v>0</v>
      </c>
      <c r="J61" s="254">
        <f ca="1">'Resultater - Vestdanmark'!J61+'Resultater - Østdanmark'!J61</f>
        <v>-9374.3169573347095</v>
      </c>
    </row>
    <row r="62" spans="1:10" x14ac:dyDescent="0.25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2">
        <f ca="1">'Resultater - Vestdanmark'!H62+'Resultater - Østdanmark'!H62</f>
        <v>0</v>
      </c>
      <c r="I62" s="253">
        <f ca="1">'Resultater - Vestdanmark'!I62+'Resultater - Østdanmark'!I62</f>
        <v>0</v>
      </c>
      <c r="J62" s="254">
        <f ca="1">'Resultater - Vestdanmark'!J62+'Resultater - Østdanmark'!J62</f>
        <v>-1831.1651326203205</v>
      </c>
    </row>
    <row r="63" spans="1:10" x14ac:dyDescent="0.25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2">
        <f ca="1">'Resultater - Vestdanmark'!H63+'Resultater - Østdanmark'!H63</f>
        <v>0</v>
      </c>
      <c r="I63" s="253">
        <f ca="1">'Resultater - Vestdanmark'!I63+'Resultater - Østdanmark'!I63</f>
        <v>0</v>
      </c>
      <c r="J63" s="254">
        <f ca="1">'Resultater - Vestdanmark'!J63+'Resultater - Østdanmark'!J63</f>
        <v>0</v>
      </c>
    </row>
    <row r="64" spans="1:10" x14ac:dyDescent="0.25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2">
        <f ca="1">'Resultater - Vestdanmark'!H64+'Resultater - Østdanmark'!H64</f>
        <v>0</v>
      </c>
      <c r="I64" s="253">
        <f ca="1">'Resultater - Vestdanmark'!I64+'Resultater - Østdanmark'!I64</f>
        <v>0</v>
      </c>
      <c r="J64" s="254">
        <f ca="1">'Resultater - Vestdanmark'!J64+'Resultater - Østdanmark'!J64</f>
        <v>0</v>
      </c>
    </row>
    <row r="65" spans="1:10" x14ac:dyDescent="0.25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2">
        <f ca="1">'Resultater - Vestdanmark'!H65+'Resultater - Østdanmark'!H65</f>
        <v>0</v>
      </c>
      <c r="I65" s="253">
        <f ca="1">'Resultater - Vestdanmark'!I65+'Resultater - Østdanmark'!I65</f>
        <v>-602886.79879022599</v>
      </c>
      <c r="J65" s="254">
        <f ca="1">'Resultater - Vestdanmark'!J65+'Resultater - Østdanmark'!J65</f>
        <v>-388113.52623808203</v>
      </c>
    </row>
    <row r="66" spans="1:10" x14ac:dyDescent="0.25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2">
        <f ca="1">'Resultater - Vestdanmark'!H66+'Resultater - Østdanmark'!H66</f>
        <v>0</v>
      </c>
      <c r="I66" s="253">
        <f ca="1">'Resultater - Vestdanmark'!I66+'Resultater - Østdanmark'!I66</f>
        <v>0</v>
      </c>
      <c r="J66" s="254">
        <f ca="1">'Resultater - Vestdanmark'!J66+'Resultater - Østdanmark'!J66</f>
        <v>0</v>
      </c>
    </row>
    <row r="67" spans="1:10" x14ac:dyDescent="0.25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2">
        <f ca="1">'Resultater - Vestdanmark'!H67+'Resultater - Østdanmark'!H67</f>
        <v>0</v>
      </c>
      <c r="I67" s="253">
        <f ca="1">'Resultater - Vestdanmark'!I67+'Resultater - Østdanmark'!I67</f>
        <v>3690.900807011652</v>
      </c>
      <c r="J67" s="254">
        <f ca="1">'Resultater - Vestdanmark'!J67+'Resultater - Østdanmark'!J67</f>
        <v>23334.948652800496</v>
      </c>
    </row>
    <row r="68" spans="1:10" x14ac:dyDescent="0.25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2">
        <f ca="1">'Resultater - Vestdanmark'!H68+'Resultater - Østdanmark'!H68</f>
        <v>0</v>
      </c>
      <c r="I68" s="253">
        <f ca="1">'Resultater - Vestdanmark'!I68+'Resultater - Østdanmark'!I68</f>
        <v>12918.152824540775</v>
      </c>
      <c r="J68" s="254">
        <f ca="1">'Resultater - Vestdanmark'!J68+'Resultater - Østdanmark'!J68</f>
        <v>81672.320284801695</v>
      </c>
    </row>
    <row r="69" spans="1:10" x14ac:dyDescent="0.25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2">
        <f ca="1">'Resultater - Vestdanmark'!H69+'Resultater - Østdanmark'!H69</f>
        <v>0</v>
      </c>
      <c r="I69" s="253">
        <f ca="1">'Resultater - Vestdanmark'!I69+'Resultater - Østdanmark'!I69</f>
        <v>-50920.44841197339</v>
      </c>
      <c r="J69" s="254">
        <f ca="1">'Resultater - Vestdanmark'!J69+'Resultater - Østdanmark'!J69</f>
        <v>-321933.88855470927</v>
      </c>
    </row>
    <row r="70" spans="1:10" x14ac:dyDescent="0.25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2">
        <f ca="1">'Resultater - Vestdanmark'!H70+'Resultater - Østdanmark'!H70</f>
        <v>0</v>
      </c>
      <c r="I70" s="253">
        <f ca="1">'Resultater - Vestdanmark'!I70+'Resultater - Østdanmark'!I70</f>
        <v>-25460.224205986709</v>
      </c>
      <c r="J70" s="254">
        <f ca="1">'Resultater - Vestdanmark'!J70+'Resultater - Østdanmark'!J70</f>
        <v>-160966.94427735472</v>
      </c>
    </row>
    <row r="71" spans="1:10" x14ac:dyDescent="0.25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2">
        <f ca="1">'Resultater - Vestdanmark'!H71+'Resultater - Østdanmark'!H71</f>
        <v>0</v>
      </c>
      <c r="I71" s="253">
        <f ca="1">'Resultater - Vestdanmark'!I71+'Resultater - Østdanmark'!I71</f>
        <v>0</v>
      </c>
      <c r="J71" s="254">
        <f ca="1">'Resultater - Vestdanmark'!J71+'Resultater - Østdanmark'!J71</f>
        <v>38490.358756869275</v>
      </c>
    </row>
    <row r="72" spans="1:10" x14ac:dyDescent="0.25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2">
        <f ca="1">'Resultater - Vestdanmark'!H72+'Resultater - Østdanmark'!H72</f>
        <v>0</v>
      </c>
      <c r="I72" s="253">
        <f ca="1">'Resultater - Vestdanmark'!I72+'Resultater - Østdanmark'!I72</f>
        <v>0</v>
      </c>
      <c r="J72" s="254">
        <f ca="1">'Resultater - Vestdanmark'!J72+'Resultater - Østdanmark'!J72</f>
        <v>50906.603517149684</v>
      </c>
    </row>
    <row r="73" spans="1:10" x14ac:dyDescent="0.25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2">
        <f ca="1">'Resultater - Vestdanmark'!H73+'Resultater - Østdanmark'!H73</f>
        <v>0</v>
      </c>
      <c r="I73" s="253">
        <f ca="1">'Resultater - Vestdanmark'!I73+'Resultater - Østdanmark'!I73</f>
        <v>0</v>
      </c>
      <c r="J73" s="254">
        <f ca="1">'Resultater - Vestdanmark'!J73+'Resultater - Østdanmark'!J73</f>
        <v>-277501.36615106347</v>
      </c>
    </row>
    <row r="74" spans="1:10" x14ac:dyDescent="0.25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2">
        <f ca="1">'Resultater - Vestdanmark'!H74+'Resultater - Østdanmark'!H74</f>
        <v>0</v>
      </c>
      <c r="I74" s="253">
        <f ca="1">'Resultater - Vestdanmark'!I74+'Resultater - Østdanmark'!I74</f>
        <v>0</v>
      </c>
      <c r="J74" s="254">
        <f ca="1">'Resultater - Vestdanmark'!J74+'Resultater - Østdanmark'!J74</f>
        <v>-265510.56637910393</v>
      </c>
    </row>
    <row r="75" spans="1:10" x14ac:dyDescent="0.25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2">
        <f ca="1">'Resultater - Vestdanmark'!H75+'Resultater - Østdanmark'!H75</f>
        <v>0</v>
      </c>
      <c r="I75" s="253">
        <f ca="1">'Resultater - Vestdanmark'!I75+'Resultater - Østdanmark'!I75</f>
        <v>0</v>
      </c>
      <c r="J75" s="254">
        <f ca="1">'Resultater - Vestdanmark'!J75+'Resultater - Østdanmark'!J75</f>
        <v>3178.3267389651364</v>
      </c>
    </row>
    <row r="76" spans="1:10" x14ac:dyDescent="0.25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2">
        <f ca="1">'Resultater - Vestdanmark'!H76+'Resultater - Østdanmark'!H76</f>
        <v>0</v>
      </c>
      <c r="I76" s="253">
        <f ca="1">'Resultater - Vestdanmark'!I76+'Resultater - Østdanmark'!I76</f>
        <v>0</v>
      </c>
      <c r="J76" s="254">
        <f ca="1">'Resultater - Vestdanmark'!J76+'Resultater - Østdanmark'!J76</f>
        <v>1733.6327667082564</v>
      </c>
    </row>
    <row r="77" spans="1:10" x14ac:dyDescent="0.25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2">
        <f ca="1">'Resultater - Vestdanmark'!H77+'Resultater - Østdanmark'!H77</f>
        <v>0</v>
      </c>
      <c r="I77" s="253">
        <f ca="1">'Resultater - Vestdanmark'!I77+'Resultater - Østdanmark'!I77</f>
        <v>0</v>
      </c>
      <c r="J77" s="254">
        <f ca="1">'Resultater - Vestdanmark'!J77+'Resultater - Østdanmark'!J77</f>
        <v>-80087.602111989661</v>
      </c>
    </row>
    <row r="78" spans="1:10" x14ac:dyDescent="0.25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2">
        <f ca="1">'Resultater - Vestdanmark'!H78+'Resultater - Østdanmark'!H78</f>
        <v>0</v>
      </c>
      <c r="I78" s="253">
        <f ca="1">'Resultater - Vestdanmark'!I78+'Resultater - Østdanmark'!I78</f>
        <v>0</v>
      </c>
      <c r="J78" s="254">
        <f ca="1">'Resultater - Vestdanmark'!J78+'Resultater - Østdanmark'!J78</f>
        <v>-21924.434062332009</v>
      </c>
    </row>
    <row r="79" spans="1:10" x14ac:dyDescent="0.25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2">
        <f ca="1">'Resultater - Vestdanmark'!H79+'Resultater - Østdanmark'!H79</f>
        <v>0</v>
      </c>
      <c r="I79" s="253">
        <f ca="1">'Resultater - Vestdanmark'!I79+'Resultater - Østdanmark'!I79</f>
        <v>0</v>
      </c>
      <c r="J79" s="254">
        <f ca="1">'Resultater - Vestdanmark'!J79+'Resultater - Østdanmark'!J79</f>
        <v>0</v>
      </c>
    </row>
    <row r="80" spans="1:10" x14ac:dyDescent="0.25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2">
        <f ca="1">'Resultater - Vestdanmark'!H80+'Resultater - Østdanmark'!H80</f>
        <v>0</v>
      </c>
      <c r="I80" s="253">
        <f ca="1">'Resultater - Vestdanmark'!I80+'Resultater - Østdanmark'!I80</f>
        <v>0</v>
      </c>
      <c r="J80" s="254">
        <f ca="1">'Resultater - Vestdanmark'!J80+'Resultater - Østdanmark'!J80</f>
        <v>0</v>
      </c>
    </row>
    <row r="81" spans="1:10" x14ac:dyDescent="0.25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2">
        <f ca="1">'Resultater - Vestdanmark'!H81+'Resultater - Østdanmark'!H81</f>
        <v>0</v>
      </c>
      <c r="I81" s="253">
        <f ca="1">'Resultater - Vestdanmark'!I81+'Resultater - Østdanmark'!I81</f>
        <v>0</v>
      </c>
      <c r="J81" s="254">
        <f ca="1">'Resultater - Vestdanmark'!J81+'Resultater - Østdanmark'!J81</f>
        <v>0</v>
      </c>
    </row>
    <row r="82" spans="1:10" x14ac:dyDescent="0.25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2">
        <f ca="1">'Resultater - Vestdanmark'!H82+'Resultater - Østdanmark'!H82</f>
        <v>0</v>
      </c>
      <c r="I82" s="253">
        <f ca="1">'Resultater - Vestdanmark'!I82+'Resultater - Østdanmark'!I82</f>
        <v>0</v>
      </c>
      <c r="J82" s="254">
        <f ca="1">'Resultater - Vestdanmark'!J82+'Resultater - Østdanmark'!J82</f>
        <v>0</v>
      </c>
    </row>
    <row r="83" spans="1:10" x14ac:dyDescent="0.25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2">
        <f ca="1">'Resultater - Vestdanmark'!H83+'Resultater - Østdanmark'!H83</f>
        <v>0</v>
      </c>
      <c r="I83" s="253">
        <f ca="1">'Resultater - Vestdanmark'!I83+'Resultater - Østdanmark'!I83</f>
        <v>0</v>
      </c>
      <c r="J83" s="254">
        <f ca="1">'Resultater - Vestdanmark'!J83+'Resultater - Østdanmark'!J83</f>
        <v>0</v>
      </c>
    </row>
    <row r="84" spans="1:10" x14ac:dyDescent="0.25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2">
        <f ca="1">'Resultater - Vestdanmark'!H84+'Resultater - Østdanmark'!H84</f>
        <v>0</v>
      </c>
      <c r="I84" s="253">
        <f ca="1">'Resultater - Vestdanmark'!I84+'Resultater - Østdanmark'!I84</f>
        <v>0</v>
      </c>
      <c r="J84" s="254">
        <f ca="1">'Resultater - Vestdanmark'!J84+'Resultater - Østdanmark'!J84</f>
        <v>0</v>
      </c>
    </row>
    <row r="85" spans="1:10" x14ac:dyDescent="0.25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2">
        <f ca="1">'Resultater - Vestdanmark'!H85+'Resultater - Østdanmark'!H85</f>
        <v>0</v>
      </c>
      <c r="I85" s="253">
        <f ca="1">'Resultater - Vestdanmark'!I85+'Resultater - Østdanmark'!I85</f>
        <v>0</v>
      </c>
      <c r="J85" s="254">
        <f ca="1">'Resultater - Vestdanmark'!J85+'Resultater - Østdanmark'!J85</f>
        <v>0</v>
      </c>
    </row>
    <row r="86" spans="1:10" x14ac:dyDescent="0.25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2">
        <f ca="1">'Resultater - Vestdanmark'!H86+'Resultater - Østdanmark'!H86</f>
        <v>0</v>
      </c>
      <c r="I86" s="253">
        <f ca="1">'Resultater - Vestdanmark'!I86+'Resultater - Østdanmark'!I86</f>
        <v>0</v>
      </c>
      <c r="J86" s="254">
        <f ca="1">'Resultater - Vestdanmark'!J86+'Resultater - Østdanmark'!J86</f>
        <v>0</v>
      </c>
    </row>
    <row r="87" spans="1:10" x14ac:dyDescent="0.25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2">
        <f ca="1">'Resultater - Vestdanmark'!H87+'Resultater - Østdanmark'!H87</f>
        <v>0</v>
      </c>
      <c r="I87" s="253">
        <f ca="1">'Resultater - Vestdanmark'!I87+'Resultater - Østdanmark'!I87</f>
        <v>0</v>
      </c>
      <c r="J87" s="254">
        <f ca="1">'Resultater - Vestdanmark'!J87+'Resultater - Østdanmark'!J87</f>
        <v>0</v>
      </c>
    </row>
    <row r="88" spans="1:10" x14ac:dyDescent="0.25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2">
        <f ca="1">'Resultater - Vestdanmark'!H88+'Resultater - Østdanmark'!H88</f>
        <v>0</v>
      </c>
      <c r="I88" s="253">
        <f ca="1">'Resultater - Vestdanmark'!I88+'Resultater - Østdanmark'!I88</f>
        <v>0</v>
      </c>
      <c r="J88" s="254">
        <f ca="1">'Resultater - Vestdanmark'!J88+'Resultater - Østdanmark'!J88</f>
        <v>0</v>
      </c>
    </row>
    <row r="89" spans="1:10" x14ac:dyDescent="0.25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2">
        <f ca="1">'Resultater - Vestdanmark'!H89+'Resultater - Østdanmark'!H89</f>
        <v>0</v>
      </c>
      <c r="I89" s="253">
        <f ca="1">'Resultater - Vestdanmark'!I89+'Resultater - Østdanmark'!I89</f>
        <v>0</v>
      </c>
      <c r="J89" s="254">
        <f ca="1">'Resultater - Vestdanmark'!J89+'Resultater - Østdanmark'!J89</f>
        <v>0</v>
      </c>
    </row>
    <row r="90" spans="1:10" x14ac:dyDescent="0.25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2">
        <f ca="1">'Resultater - Vestdanmark'!H90+'Resultater - Østdanmark'!H90</f>
        <v>0</v>
      </c>
      <c r="I90" s="253">
        <f ca="1">'Resultater - Vestdanmark'!I90+'Resultater - Østdanmark'!I90</f>
        <v>0</v>
      </c>
      <c r="J90" s="254">
        <f ca="1">'Resultater - Vestdanmark'!J90+'Resultater - Østdanmark'!J90</f>
        <v>0</v>
      </c>
    </row>
    <row r="91" spans="1:10" x14ac:dyDescent="0.25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2">
        <f ca="1">'Resultater - Vestdanmark'!H91+'Resultater - Østdanmark'!H91</f>
        <v>0</v>
      </c>
      <c r="I91" s="253">
        <f ca="1">'Resultater - Vestdanmark'!I91+'Resultater - Østdanmark'!I91</f>
        <v>0</v>
      </c>
      <c r="J91" s="254">
        <f ca="1">'Resultater - Vestdanmark'!J91+'Resultater - Østdanmark'!J91</f>
        <v>0</v>
      </c>
    </row>
    <row r="92" spans="1:10" x14ac:dyDescent="0.25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2">
        <f ca="1">'Resultater - Vestdanmark'!H92+'Resultater - Østdanmark'!H92</f>
        <v>0</v>
      </c>
      <c r="I92" s="253">
        <f ca="1">'Resultater - Vestdanmark'!I92+'Resultater - Østdanmark'!I92</f>
        <v>0</v>
      </c>
      <c r="J92" s="254">
        <f ca="1">'Resultater - Vestdanmark'!J92+'Resultater - Østdanmark'!J92</f>
        <v>0</v>
      </c>
    </row>
    <row r="93" spans="1:10" x14ac:dyDescent="0.25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2">
        <f ca="1">'Resultater - Vestdanmark'!H93+'Resultater - Østdanmark'!H93</f>
        <v>0</v>
      </c>
      <c r="I93" s="253">
        <f ca="1">'Resultater - Vestdanmark'!I93+'Resultater - Østdanmark'!I93</f>
        <v>0</v>
      </c>
      <c r="J93" s="254">
        <f ca="1">'Resultater - Vestdanmark'!J93+'Resultater - Østdanmark'!J93</f>
        <v>0</v>
      </c>
    </row>
    <row r="94" spans="1:10" x14ac:dyDescent="0.25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2">
        <f ca="1">'Resultater - Vestdanmark'!H94+'Resultater - Østdanmark'!H94</f>
        <v>0</v>
      </c>
      <c r="I94" s="253">
        <f ca="1">'Resultater - Vestdanmark'!I94+'Resultater - Østdanmark'!I94</f>
        <v>0</v>
      </c>
      <c r="J94" s="254">
        <f ca="1">'Resultater - Vestdanmark'!J94+'Resultater - Østdanmark'!J94</f>
        <v>0</v>
      </c>
    </row>
    <row r="95" spans="1:10" x14ac:dyDescent="0.25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2">
        <f>'Resultater - Vestdanmark'!H95+'Resultater - Østdanmark'!H95</f>
        <v>16367972</v>
      </c>
      <c r="I95" s="253">
        <f>'Resultater - Vestdanmark'!I95+'Resultater - Østdanmark'!I95</f>
        <v>11140780.941935485</v>
      </c>
      <c r="J95" s="254">
        <f>'Resultater - Vestdanmark'!J95+'Resultater - Østdanmark'!J95</f>
        <v>0</v>
      </c>
    </row>
    <row r="96" spans="1:10" x14ac:dyDescent="0.25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2">
        <f>'Resultater - Vestdanmark'!H96+'Resultater - Østdanmark'!H96</f>
        <v>17657000</v>
      </c>
      <c r="I96" s="253">
        <f>'Resultater - Vestdanmark'!I96+'Resultater - Østdanmark'!I96</f>
        <v>12018151.612903224</v>
      </c>
      <c r="J96" s="254">
        <f>'Resultater - Vestdanmark'!J96+'Resultater - Østdanmark'!J96</f>
        <v>0</v>
      </c>
    </row>
    <row r="97" spans="1:10" x14ac:dyDescent="0.25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2">
        <f>'Resultater - Vestdanmark'!H97+'Resultater - Østdanmark'!H97</f>
        <v>2263500</v>
      </c>
      <c r="I97" s="253">
        <f>'Resultater - Vestdanmark'!I97+'Resultater - Østdanmark'!I97</f>
        <v>1540640.3225806453</v>
      </c>
      <c r="J97" s="254">
        <f>'Resultater - Vestdanmark'!J97+'Resultater - Østdanmark'!J97</f>
        <v>0</v>
      </c>
    </row>
    <row r="98" spans="1:10" x14ac:dyDescent="0.25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2">
        <f>'Resultater - Vestdanmark'!H98+'Resultater - Østdanmark'!H98</f>
        <v>185011.20708453766</v>
      </c>
      <c r="I98" s="253">
        <f>'Resultater - Vestdanmark'!I98+'Resultater - Østdanmark'!I98</f>
        <v>125926.9828865724</v>
      </c>
      <c r="J98" s="254">
        <f>'Resultater - Vestdanmark'!J98+'Resultater - Østdanmark'!J98</f>
        <v>0</v>
      </c>
    </row>
    <row r="99" spans="1:10" x14ac:dyDescent="0.25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2">
        <f>'Resultater - Vestdanmark'!H99+'Resultater - Østdanmark'!H99</f>
        <v>-10101447931.960001</v>
      </c>
      <c r="I99" s="253">
        <f>'Resultater - Vestdanmark'!I99+'Resultater - Østdanmark'!I99</f>
        <v>-6875501656.9147091</v>
      </c>
      <c r="J99" s="254">
        <f>'Resultater - Vestdanmark'!J99+'Resultater - Østdanmark'!J99</f>
        <v>0</v>
      </c>
    </row>
    <row r="100" spans="1:10" x14ac:dyDescent="0.25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2">
        <f>'Resultater - Vestdanmark'!H100+'Resultater - Østdanmark'!H100</f>
        <v>-775790.06759999995</v>
      </c>
      <c r="I100" s="253">
        <f>'Resultater - Vestdanmark'!I100+'Resultater - Østdanmark'!I100</f>
        <v>-528037.75568903226</v>
      </c>
      <c r="J100" s="254">
        <f>'Resultater - Vestdanmark'!J100+'Resultater - Østdanmark'!J100</f>
        <v>0</v>
      </c>
    </row>
    <row r="101" spans="1:10" x14ac:dyDescent="0.25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2">
        <f>'Resultater - Vestdanmark'!H101+'Resultater - Østdanmark'!H101</f>
        <v>1481527.9486119426</v>
      </c>
      <c r="I101" s="253">
        <f>'Resultater - Vestdanmark'!I101+'Resultater - Østdanmark'!I101</f>
        <v>1008394.8295390963</v>
      </c>
      <c r="J101" s="254">
        <f>'Resultater - Vestdanmark'!J101+'Resultater - Østdanmark'!J101</f>
        <v>0</v>
      </c>
    </row>
    <row r="102" spans="1:10" x14ac:dyDescent="0.25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2">
        <f>'Resultater - Vestdanmark'!H102+'Resultater - Østdanmark'!H102</f>
        <v>232028</v>
      </c>
      <c r="I102" s="253">
        <f>'Resultater - Vestdanmark'!I102+'Resultater - Østdanmark'!I102</f>
        <v>157928.73548387096</v>
      </c>
      <c r="J102" s="254">
        <f>'Resultater - Vestdanmark'!J102+'Resultater - Østdanmark'!J102</f>
        <v>581293.74725537968</v>
      </c>
    </row>
    <row r="103" spans="1:10" x14ac:dyDescent="0.25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2">
        <f>'Resultater - Vestdanmark'!H103+'Resultater - Østdanmark'!H103</f>
        <v>0</v>
      </c>
      <c r="I103" s="253">
        <f>'Resultater - Vestdanmark'!I103+'Resultater - Østdanmark'!I103</f>
        <v>0</v>
      </c>
      <c r="J103" s="254">
        <f>'Resultater - Vestdanmark'!J103+'Resultater - Østdanmark'!J103</f>
        <v>0</v>
      </c>
    </row>
    <row r="104" spans="1:10" x14ac:dyDescent="0.25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2">
        <f>'Resultater - Vestdanmark'!H104+'Resultater - Østdanmark'!H104</f>
        <v>251500.00000000003</v>
      </c>
      <c r="I104" s="253">
        <f>'Resultater - Vestdanmark'!I104+'Resultater - Østdanmark'!I104</f>
        <v>171182.25806451612</v>
      </c>
      <c r="J104" s="254">
        <f>'Resultater - Vestdanmark'!J104+'Resultater - Østdanmark'!J104</f>
        <v>630076.44523388555</v>
      </c>
    </row>
    <row r="105" spans="1:10" x14ac:dyDescent="0.25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2">
        <f>'Resultater - Vestdanmark'!H105+'Resultater - Østdanmark'!H105</f>
        <v>7691.8969154623392</v>
      </c>
      <c r="I105" s="253">
        <f>'Resultater - Vestdanmark'!I105+'Resultater - Østdanmark'!I105</f>
        <v>5235.4524166533984</v>
      </c>
      <c r="J105" s="254">
        <f>'Resultater - Vestdanmark'!J105+'Resultater - Østdanmark'!J105</f>
        <v>19270.310399999998</v>
      </c>
    </row>
    <row r="106" spans="1:10" x14ac:dyDescent="0.25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2">
        <f>'Resultater - Vestdanmark'!H106+'Resultater - Østdanmark'!H106</f>
        <v>-419970754.27999997</v>
      </c>
      <c r="I106" s="253">
        <f>'Resultater - Vestdanmark'!I106+'Resultater - Østdanmark'!I106</f>
        <v>-285851061.78412902</v>
      </c>
      <c r="J106" s="254">
        <f>'Resultater - Vestdanmark'!J106+'Resultater - Østdanmark'!J106</f>
        <v>-1052141868.6240001</v>
      </c>
    </row>
    <row r="107" spans="1:10" x14ac:dyDescent="0.25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2">
        <f>'Resultater - Vestdanmark'!H107+'Resultater - Østdanmark'!H107</f>
        <v>-28350.861000000001</v>
      </c>
      <c r="I107" s="253">
        <f>'Resultater - Vestdanmark'!I107+'Resultater - Østdanmark'!I107</f>
        <v>-19296.876358064517</v>
      </c>
      <c r="J107" s="254">
        <f>'Resultater - Vestdanmark'!J107+'Resultater - Østdanmark'!J107</f>
        <v>-71026.678800000009</v>
      </c>
    </row>
    <row r="108" spans="1:10" x14ac:dyDescent="0.25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2">
        <f>'Resultater - Vestdanmark'!H108+'Resultater - Østdanmark'!H108</f>
        <v>67754.470020735505</v>
      </c>
      <c r="I108" s="253">
        <f>'Resultater - Vestdanmark'!I108+'Resultater - Østdanmark'!I108</f>
        <v>46116.752175403839</v>
      </c>
      <c r="J108" s="254">
        <f>'Resultater - Vestdanmark'!J108+'Resultater - Østdanmark'!J108</f>
        <v>169743.52134938724</v>
      </c>
    </row>
    <row r="109" spans="1:10" x14ac:dyDescent="0.25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2">
        <f>'Resultater - Vestdanmark'!H109+'Resultater - Østdanmark'!H109</f>
        <v>440600</v>
      </c>
      <c r="I109" s="253">
        <f>'Resultater - Vestdanmark'!I109+'Resultater - Østdanmark'!I109</f>
        <v>358822.29867456091</v>
      </c>
      <c r="J109" s="254">
        <f>'Resultater - Vestdanmark'!J109+'Resultater - Østdanmark'!J109</f>
        <v>0</v>
      </c>
    </row>
    <row r="110" spans="1:10" x14ac:dyDescent="0.25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2">
        <f>'Resultater - Vestdanmark'!H110+'Resultater - Østdanmark'!H110</f>
        <v>12785500</v>
      </c>
      <c r="I110" s="253">
        <f>'Resultater - Vestdanmark'!I110+'Resultater - Østdanmark'!I110</f>
        <v>9482671.5793314409</v>
      </c>
      <c r="J110" s="254">
        <f>'Resultater - Vestdanmark'!J110+'Resultater - Østdanmark'!J110</f>
        <v>0</v>
      </c>
    </row>
    <row r="111" spans="1:10" x14ac:dyDescent="0.25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2">
        <f>'Resultater - Vestdanmark'!H111+'Resultater - Østdanmark'!H111</f>
        <v>250560.00000000003</v>
      </c>
      <c r="I111" s="253">
        <f>'Resultater - Vestdanmark'!I111+'Resultater - Østdanmark'!I111</f>
        <v>167612.88952172227</v>
      </c>
      <c r="J111" s="254">
        <f>'Resultater - Vestdanmark'!J111+'Resultater - Østdanmark'!J111</f>
        <v>0</v>
      </c>
    </row>
    <row r="112" spans="1:10" x14ac:dyDescent="0.25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2">
        <f>'Resultater - Vestdanmark'!H112+'Resultater - Østdanmark'!H112</f>
        <v>4786000</v>
      </c>
      <c r="I112" s="253">
        <f>'Resultater - Vestdanmark'!I112+'Resultater - Østdanmark'!I112</f>
        <v>2065554.5494246767</v>
      </c>
      <c r="J112" s="254">
        <f>'Resultater - Vestdanmark'!J112+'Resultater - Østdanmark'!J112</f>
        <v>0</v>
      </c>
    </row>
    <row r="113" spans="1:10" x14ac:dyDescent="0.25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2">
        <f>'Resultater - Vestdanmark'!H113+'Resultater - Østdanmark'!H113</f>
        <v>54522.149641311174</v>
      </c>
      <c r="I113" s="253">
        <f>'Resultater - Vestdanmark'!I113+'Resultater - Østdanmark'!I113</f>
        <v>36472.761192193087</v>
      </c>
      <c r="J113" s="254">
        <f>'Resultater - Vestdanmark'!J113+'Resultater - Østdanmark'!J113</f>
        <v>0</v>
      </c>
    </row>
    <row r="114" spans="1:10" x14ac:dyDescent="0.25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2">
        <f>'Resultater - Vestdanmark'!H114+'Resultater - Østdanmark'!H114</f>
        <v>-3317225912</v>
      </c>
      <c r="I114" s="253">
        <f>'Resultater - Vestdanmark'!I114+'Resultater - Østdanmark'!I114</f>
        <v>-2460299861.4011354</v>
      </c>
      <c r="J114" s="254">
        <f>'Resultater - Vestdanmark'!J114+'Resultater - Østdanmark'!J114</f>
        <v>0</v>
      </c>
    </row>
    <row r="115" spans="1:10" x14ac:dyDescent="0.25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2">
        <f>'Resultater - Vestdanmark'!H115+'Resultater - Østdanmark'!H115</f>
        <v>-13874.569799999999</v>
      </c>
      <c r="I115" s="253">
        <f>'Resultater - Vestdanmark'!I115+'Resultater - Østdanmark'!I115</f>
        <v>-9281.4365223851546</v>
      </c>
      <c r="J115" s="254">
        <f>'Resultater - Vestdanmark'!J115+'Resultater - Østdanmark'!J115</f>
        <v>0</v>
      </c>
    </row>
    <row r="116" spans="1:10" x14ac:dyDescent="0.25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2">
        <f>'Resultater - Vestdanmark'!H116+'Resultater - Østdanmark'!H116</f>
        <v>4018587.4258306376</v>
      </c>
      <c r="I116" s="253">
        <f>'Resultater - Vestdanmark'!I116+'Resultater - Østdanmark'!I116</f>
        <v>2688246.5287321717</v>
      </c>
      <c r="J116" s="254">
        <f>'Resultater - Vestdanmark'!J116+'Resultater - Østdanmark'!J116</f>
        <v>0</v>
      </c>
    </row>
    <row r="117" spans="1:10" x14ac:dyDescent="0.25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2">
        <f>'Resultater - Vestdanmark'!H117+'Resultater - Østdanmark'!H117</f>
        <v>23400.000000000004</v>
      </c>
      <c r="I117" s="253">
        <f>'Resultater - Vestdanmark'!I117+'Resultater - Østdanmark'!I117</f>
        <v>19056.835653619433</v>
      </c>
      <c r="J117" s="254">
        <f>'Resultater - Vestdanmark'!J117+'Resultater - Østdanmark'!J117</f>
        <v>16821.02972855468</v>
      </c>
    </row>
    <row r="118" spans="1:10" x14ac:dyDescent="0.25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2">
        <f>'Resultater - Vestdanmark'!H118+'Resultater - Østdanmark'!H118</f>
        <v>1264500</v>
      </c>
      <c r="I118" s="253">
        <f>'Resultater - Vestdanmark'!I118+'Resultater - Østdanmark'!I118</f>
        <v>937846.63971409842</v>
      </c>
      <c r="J118" s="254">
        <f>'Resultater - Vestdanmark'!J118+'Resultater - Østdanmark'!J118</f>
        <v>736307.92601451301</v>
      </c>
    </row>
    <row r="119" spans="1:10" x14ac:dyDescent="0.25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2">
        <f>'Resultater - Vestdanmark'!H119+'Resultater - Østdanmark'!H119</f>
        <v>10440.000000000002</v>
      </c>
      <c r="I119" s="253">
        <f>'Resultater - Vestdanmark'!I119+'Resultater - Østdanmark'!I119</f>
        <v>6983.8703967384272</v>
      </c>
      <c r="J119" s="254">
        <f>'Resultater - Vestdanmark'!J119+'Resultater - Østdanmark'!J119</f>
        <v>4653.4847647404922</v>
      </c>
    </row>
    <row r="120" spans="1:10" x14ac:dyDescent="0.25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2">
        <f>'Resultater - Vestdanmark'!H120+'Resultater - Østdanmark'!H120</f>
        <v>482999.99999999994</v>
      </c>
      <c r="I120" s="253">
        <f>'Resultater - Vestdanmark'!I120+'Resultater - Østdanmark'!I120</f>
        <v>208454.41859007906</v>
      </c>
      <c r="J120" s="254">
        <f>'Resultater - Vestdanmark'!J120+'Resultater - Østdanmark'!J120</f>
        <v>0</v>
      </c>
    </row>
    <row r="121" spans="1:10" x14ac:dyDescent="0.25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2">
        <f>'Resultater - Vestdanmark'!H121+'Resultater - Østdanmark'!H121</f>
        <v>9653.6103586888312</v>
      </c>
      <c r="I121" s="253">
        <f>'Resultater - Vestdanmark'!I121+'Resultater - Østdanmark'!I121</f>
        <v>6457.8126059094211</v>
      </c>
      <c r="J121" s="254">
        <f>'Resultater - Vestdanmark'!J121+'Resultater - Østdanmark'!J121</f>
        <v>4302.9625219252375</v>
      </c>
    </row>
    <row r="122" spans="1:10" x14ac:dyDescent="0.25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2">
        <f>'Resultater - Vestdanmark'!H122+'Resultater - Østdanmark'!H122</f>
        <v>-587343064</v>
      </c>
      <c r="I122" s="253">
        <f>'Resultater - Vestdanmark'!I122+'Resultater - Østdanmark'!I122</f>
        <v>-435617017.73964626</v>
      </c>
      <c r="J122" s="254">
        <f>'Resultater - Vestdanmark'!J122+'Resultater - Østdanmark'!J122</f>
        <v>-342005024.36761522</v>
      </c>
    </row>
    <row r="123" spans="1:10" x14ac:dyDescent="0.25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2">
        <f>'Resultater - Vestdanmark'!H123+'Resultater - Østdanmark'!H123</f>
        <v>-2961.3935999999999</v>
      </c>
      <c r="I123" s="253">
        <f>'Resultater - Vestdanmark'!I123+'Resultater - Østdanmark'!I123</f>
        <v>-1981.0334383266895</v>
      </c>
      <c r="J123" s="254">
        <f>'Resultater - Vestdanmark'!J123+'Resultater - Østdanmark'!J123</f>
        <v>-1320</v>
      </c>
    </row>
    <row r="124" spans="1:10" x14ac:dyDescent="0.25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2">
        <f>'Resultater - Vestdanmark'!H124+'Resultater - Østdanmark'!H124</f>
        <v>595011.86704956158</v>
      </c>
      <c r="I124" s="253">
        <f>'Resultater - Vestdanmark'!I124+'Resultater - Østdanmark'!I124</f>
        <v>398035.03486546874</v>
      </c>
      <c r="J124" s="254">
        <f>'Resultater - Vestdanmark'!J124+'Resultater - Østdanmark'!J124</f>
        <v>265218.26227537642</v>
      </c>
    </row>
    <row r="125" spans="1:10" x14ac:dyDescent="0.25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2">
        <f>'Resultater - Vestdanmark'!H125+'Resultater - Østdanmark'!H125</f>
        <v>105566999.99999999</v>
      </c>
      <c r="I125" s="253">
        <f>'Resultater - Vestdanmark'!I125+'Resultater - Østdanmark'!I125</f>
        <v>83091445.161290303</v>
      </c>
      <c r="J125" s="254">
        <f>'Resultater - Vestdanmark'!J125+'Resultater - Østdanmark'!J125</f>
        <v>0</v>
      </c>
    </row>
    <row r="126" spans="1:10" x14ac:dyDescent="0.25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2">
        <f>'Resultater - Vestdanmark'!H126+'Resultater - Østdanmark'!H126</f>
        <v>6719.2238038686164</v>
      </c>
      <c r="I126" s="253">
        <f>'Resultater - Vestdanmark'!I126+'Resultater - Østdanmark'!I126</f>
        <v>5288.6793811094913</v>
      </c>
      <c r="J126" s="254">
        <f>'Resultater - Vestdanmark'!J126+'Resultater - Østdanmark'!J126</f>
        <v>0</v>
      </c>
    </row>
    <row r="127" spans="1:10" x14ac:dyDescent="0.25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2">
        <f>'Resultater - Vestdanmark'!H127+'Resultater - Østdanmark'!H127</f>
        <v>148922.51453359297</v>
      </c>
      <c r="I127" s="253">
        <f>'Resultater - Vestdanmark'!I127+'Resultater - Østdanmark'!I127</f>
        <v>117216.43079418284</v>
      </c>
      <c r="J127" s="254">
        <f>'Resultater - Vestdanmark'!J127+'Resultater - Østdanmark'!J127</f>
        <v>0</v>
      </c>
    </row>
    <row r="128" spans="1:10" x14ac:dyDescent="0.25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2">
        <f>'Resultater - Vestdanmark'!H128+'Resultater - Østdanmark'!H128</f>
        <v>220000</v>
      </c>
      <c r="I128" s="253">
        <f>'Resultater - Vestdanmark'!I128+'Resultater - Østdanmark'!I128</f>
        <v>173161.29032258064</v>
      </c>
      <c r="J128" s="254">
        <f>'Resultater - Vestdanmark'!J128+'Resultater - Østdanmark'!J128</f>
        <v>0</v>
      </c>
    </row>
    <row r="129" spans="1:10" x14ac:dyDescent="0.25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2">
        <f>'Resultater - Vestdanmark'!H129+'Resultater - Østdanmark'!H129</f>
        <v>9291.4831667730468</v>
      </c>
      <c r="I129" s="253">
        <f>'Resultater - Vestdanmark'!I129+'Resultater - Østdanmark'!I129</f>
        <v>7313.2964280407205</v>
      </c>
      <c r="J129" s="254">
        <f>'Resultater - Vestdanmark'!J129+'Resultater - Østdanmark'!J129</f>
        <v>0</v>
      </c>
    </row>
    <row r="130" spans="1:10" x14ac:dyDescent="0.25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2">
        <f>'Resultater - Vestdanmark'!H130+'Resultater - Østdanmark'!H130</f>
        <v>-365582337.12</v>
      </c>
      <c r="I130" s="253">
        <f>'Resultater - Vestdanmark'!I130+'Resultater - Østdanmark'!I130</f>
        <v>-287748678.24929035</v>
      </c>
      <c r="J130" s="254">
        <f>'Resultater - Vestdanmark'!J130+'Resultater - Østdanmark'!J130</f>
        <v>0</v>
      </c>
    </row>
    <row r="131" spans="1:10" x14ac:dyDescent="0.25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2">
        <f>'Resultater - Vestdanmark'!H131+'Resultater - Østdanmark'!H131</f>
        <v>-8664.776171999998</v>
      </c>
      <c r="I131" s="253">
        <f>'Resultater - Vestdanmark'!I131+'Resultater - Østdanmark'!I131</f>
        <v>-6820.0173740903219</v>
      </c>
      <c r="J131" s="254">
        <f>'Resultater - Vestdanmark'!J131+'Resultater - Østdanmark'!J131</f>
        <v>0</v>
      </c>
    </row>
    <row r="132" spans="1:10" x14ac:dyDescent="0.25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2">
        <f>'Resultater - Vestdanmark'!H132+'Resultater - Østdanmark'!H132</f>
        <v>15810.451826187315</v>
      </c>
      <c r="I132" s="253">
        <f>'Resultater - Vestdanmark'!I132+'Resultater - Østdanmark'!I132</f>
        <v>12444.355630934529</v>
      </c>
      <c r="J132" s="254">
        <f>'Resultater - Vestdanmark'!J132+'Resultater - Østdanmark'!J132</f>
        <v>0</v>
      </c>
    </row>
    <row r="133" spans="1:10" x14ac:dyDescent="0.25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2">
        <f>'Resultater - Vestdanmark'!H133+'Resultater - Østdanmark'!H133</f>
        <v>1224707</v>
      </c>
      <c r="I133" s="253">
        <f>'Resultater - Vestdanmark'!I133+'Resultater - Østdanmark'!I133</f>
        <v>963962.92903225811</v>
      </c>
      <c r="J133" s="254">
        <f>'Resultater - Vestdanmark'!J133+'Resultater - Østdanmark'!J133</f>
        <v>3446948.3667273573</v>
      </c>
    </row>
    <row r="134" spans="1:10" x14ac:dyDescent="0.25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2">
        <f>'Resultater - Vestdanmark'!H134+'Resultater - Østdanmark'!H134</f>
        <v>2163.7761961313831</v>
      </c>
      <c r="I134" s="253">
        <f>'Resultater - Vestdanmark'!I134+'Resultater - Østdanmark'!I134</f>
        <v>1703.1012640517984</v>
      </c>
      <c r="J134" s="254">
        <f>'Resultater - Vestdanmark'!J134+'Resultater - Østdanmark'!J134</f>
        <v>6089.9666820052507</v>
      </c>
    </row>
    <row r="135" spans="1:10" x14ac:dyDescent="0.25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2">
        <f>'Resultater - Vestdanmark'!H135+'Resultater - Østdanmark'!H135</f>
        <v>8147.4854664070526</v>
      </c>
      <c r="I135" s="253">
        <f>'Resultater - Vestdanmark'!I135+'Resultater - Østdanmark'!I135</f>
        <v>6412.8595283978093</v>
      </c>
      <c r="J135" s="254">
        <f>'Resultater - Vestdanmark'!J135+'Resultater - Østdanmark'!J135</f>
        <v>22931.167798801402</v>
      </c>
    </row>
    <row r="136" spans="1:10" x14ac:dyDescent="0.25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2">
        <f>'Resultater - Vestdanmark'!H136+'Resultater - Østdanmark'!H136</f>
        <v>15000</v>
      </c>
      <c r="I136" s="253">
        <f>'Resultater - Vestdanmark'!I136+'Resultater - Østdanmark'!I136</f>
        <v>11806.451612903224</v>
      </c>
      <c r="J136" s="254">
        <f>'Resultater - Vestdanmark'!J136+'Resultater - Østdanmark'!J136</f>
        <v>42217.628788690155</v>
      </c>
    </row>
    <row r="137" spans="1:10" x14ac:dyDescent="0.25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2">
        <f>'Resultater - Vestdanmark'!H137+'Resultater - Østdanmark'!H137</f>
        <v>1539.2752332269538</v>
      </c>
      <c r="I137" s="253">
        <f>'Resultater - Vestdanmark'!I137+'Resultater - Østdanmark'!I137</f>
        <v>1211.5585706689574</v>
      </c>
      <c r="J137" s="254">
        <f>'Resultater - Vestdanmark'!J137+'Resultater - Østdanmark'!J137</f>
        <v>4332.3033599999999</v>
      </c>
    </row>
    <row r="138" spans="1:10" x14ac:dyDescent="0.25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2">
        <f>'Resultater - Vestdanmark'!H138+'Resultater - Østdanmark'!H138</f>
        <v>-60564263.759999998</v>
      </c>
      <c r="I138" s="253">
        <f>'Resultater - Vestdanmark'!I138+'Resultater - Østdanmark'!I138</f>
        <v>-47669936.636903226</v>
      </c>
      <c r="J138" s="254">
        <f>'Resultater - Vestdanmark'!J138+'Resultater - Østdanmark'!J138</f>
        <v>-170458640.352</v>
      </c>
    </row>
    <row r="139" spans="1:10" x14ac:dyDescent="0.25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2">
        <f>'Resultater - Vestdanmark'!H139+'Resultater - Østdanmark'!H139</f>
        <v>-2703.7617749999999</v>
      </c>
      <c r="I139" s="253">
        <f>'Resultater - Vestdanmark'!I139+'Resultater - Østdanmark'!I139</f>
        <v>-2128.1221712903225</v>
      </c>
      <c r="J139" s="254">
        <f>'Resultater - Vestdanmark'!J139+'Resultater - Østdanmark'!J139</f>
        <v>-7609.76073</v>
      </c>
    </row>
    <row r="140" spans="1:10" x14ac:dyDescent="0.25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2">
        <f>'Resultater - Vestdanmark'!H140+'Resultater - Østdanmark'!H140</f>
        <v>2881.1654860580434</v>
      </c>
      <c r="I140" s="253">
        <f>'Resultater - Vestdanmark'!I140+'Resultater - Østdanmark'!I140</f>
        <v>2267.756059994073</v>
      </c>
      <c r="J140" s="254">
        <f>'Resultater - Vestdanmark'!J140+'Resultater - Østdanmark'!J140</f>
        <v>8109.0649979456357</v>
      </c>
    </row>
    <row r="141" spans="1:10" x14ac:dyDescent="0.25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2">
        <f>'Resultater - Vestdanmark'!H141+'Resultater - Østdanmark'!H141</f>
        <v>8028892.7421747725</v>
      </c>
      <c r="I141" s="253">
        <f>'Resultater - Vestdanmark'!I141+'Resultater - Østdanmark'!I141</f>
        <v>5408939.1047330704</v>
      </c>
      <c r="J141" s="254">
        <f>'Resultater - Vestdanmark'!J141+'Resultater - Østdanmark'!J141</f>
        <v>0</v>
      </c>
    </row>
    <row r="142" spans="1:10" x14ac:dyDescent="0.25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2">
        <f>'Resultater - Vestdanmark'!H142+'Resultater - Østdanmark'!H142</f>
        <v>2620610.5188139905</v>
      </c>
      <c r="I142" s="253">
        <f>'Resultater - Vestdanmark'!I142+'Resultater - Østdanmark'!I142</f>
        <v>1765464.2014371122</v>
      </c>
      <c r="J142" s="254">
        <f>'Resultater - Vestdanmark'!J142+'Resultater - Østdanmark'!J142</f>
        <v>0</v>
      </c>
    </row>
    <row r="143" spans="1:10" x14ac:dyDescent="0.25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2">
        <f>'Resultater - Vestdanmark'!H143+'Resultater - Østdanmark'!H143</f>
        <v>-183255754.45762676</v>
      </c>
      <c r="I143" s="253">
        <f>'Resultater - Vestdanmark'!I143+'Resultater - Østdanmark'!I143</f>
        <v>-114964163.93005207</v>
      </c>
      <c r="J143" s="254">
        <f>'Resultater - Vestdanmark'!J143+'Resultater - Østdanmark'!J143</f>
        <v>0</v>
      </c>
    </row>
    <row r="144" spans="1:10" x14ac:dyDescent="0.25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2">
        <f>'Resultater - Vestdanmark'!H144+'Resultater - Østdanmark'!H144</f>
        <v>2604172.3544975286</v>
      </c>
      <c r="I144" s="253">
        <f>'Resultater - Vestdanmark'!I144+'Resultater - Østdanmark'!I144</f>
        <v>1512347.2115656692</v>
      </c>
      <c r="J144" s="254">
        <f>'Resultater - Vestdanmark'!J144+'Resultater - Østdanmark'!J144</f>
        <v>0</v>
      </c>
    </row>
    <row r="145" spans="1:10" x14ac:dyDescent="0.25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2">
        <f>'Resultater - Vestdanmark'!H145+'Resultater - Østdanmark'!H145</f>
        <v>228280.18071014562</v>
      </c>
      <c r="I145" s="253">
        <f>'Resultater - Vestdanmark'!I145+'Resultater - Østdanmark'!I145</f>
        <v>120755.00742143125</v>
      </c>
      <c r="J145" s="254">
        <f>'Resultater - Vestdanmark'!J145+'Resultater - Østdanmark'!J145</f>
        <v>0</v>
      </c>
    </row>
    <row r="146" spans="1:10" x14ac:dyDescent="0.25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2">
        <f>'Resultater - Vestdanmark'!H146+'Resultater - Østdanmark'!H146</f>
        <v>74510.080283339761</v>
      </c>
      <c r="I146" s="253">
        <f>'Resultater - Vestdanmark'!I146+'Resultater - Østdanmark'!I146</f>
        <v>39414.132534836608</v>
      </c>
      <c r="J146" s="254">
        <f>'Resultater - Vestdanmark'!J146+'Resultater - Østdanmark'!J146</f>
        <v>0</v>
      </c>
    </row>
    <row r="147" spans="1:10" x14ac:dyDescent="0.25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2">
        <f>'Resultater - Vestdanmark'!H147+'Resultater - Østdanmark'!H147</f>
        <v>-3527867.7475414807</v>
      </c>
      <c r="I147" s="253">
        <f>'Resultater - Vestdanmark'!I147+'Resultater - Østdanmark'!I147</f>
        <v>-1737791.4885140026</v>
      </c>
      <c r="J147" s="254">
        <f>'Resultater - Vestdanmark'!J147+'Resultater - Østdanmark'!J147</f>
        <v>0</v>
      </c>
    </row>
    <row r="148" spans="1:10" x14ac:dyDescent="0.25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2">
        <f>'Resultater - Vestdanmark'!H148+'Resultater - Østdanmark'!H148</f>
        <v>433973.71375071316</v>
      </c>
      <c r="I148" s="253">
        <f>'Resultater - Vestdanmark'!I148+'Resultater - Østdanmark'!I148</f>
        <v>197890.85085064243</v>
      </c>
      <c r="J148" s="254">
        <f>'Resultater - Vestdanmark'!J148+'Resultater - Østdanmark'!J148</f>
        <v>0</v>
      </c>
    </row>
    <row r="149" spans="1:10" x14ac:dyDescent="0.25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2">
        <f>'Resultater - Vestdanmark'!H149+'Resultater - Østdanmark'!H149</f>
        <v>135901.60941201358</v>
      </c>
      <c r="I149" s="253">
        <f>'Resultater - Vestdanmark'!I149+'Resultater - Østdanmark'!I149</f>
        <v>70151.406335542677</v>
      </c>
      <c r="J149" s="254">
        <f>'Resultater - Vestdanmark'!J149+'Resultater - Østdanmark'!J149</f>
        <v>0</v>
      </c>
    </row>
    <row r="150" spans="1:10" x14ac:dyDescent="0.25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2">
        <f>'Resultater - Vestdanmark'!H150+'Resultater - Østdanmark'!H150</f>
        <v>44357.945558057712</v>
      </c>
      <c r="I150" s="253">
        <f>'Resultater - Vestdanmark'!I150+'Resultater - Østdanmark'!I150</f>
        <v>22897.243649405296</v>
      </c>
      <c r="J150" s="254">
        <f>'Resultater - Vestdanmark'!J150+'Resultater - Østdanmark'!J150</f>
        <v>0</v>
      </c>
    </row>
    <row r="151" spans="1:10" x14ac:dyDescent="0.25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2">
        <f>'Resultater - Vestdanmark'!H151+'Resultater - Østdanmark'!H151</f>
        <v>-1384772.8694927006</v>
      </c>
      <c r="I151" s="253">
        <f>'Resultater - Vestdanmark'!I151+'Resultater - Østdanmark'!I151</f>
        <v>-665638.99574082159</v>
      </c>
      <c r="J151" s="254">
        <f>'Resultater - Vestdanmark'!J151+'Resultater - Østdanmark'!J151</f>
        <v>0</v>
      </c>
    </row>
    <row r="152" spans="1:10" x14ac:dyDescent="0.25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2">
        <f>'Resultater - Vestdanmark'!H152+'Resultater - Østdanmark'!H152</f>
        <v>567087.95319850883</v>
      </c>
      <c r="I152" s="253">
        <f>'Resultater - Vestdanmark'!I152+'Resultater - Østdanmark'!I152</f>
        <v>252340.84520025813</v>
      </c>
      <c r="J152" s="254">
        <f>'Resultater - Vestdanmark'!J152+'Resultater - Østdanmark'!J152</f>
        <v>0</v>
      </c>
    </row>
    <row r="153" spans="1:10" x14ac:dyDescent="0.25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2">
        <f>'Resultater - Vestdanmark'!H153+'Resultater - Østdanmark'!H153</f>
        <v>687812.87730450777</v>
      </c>
      <c r="I153" s="253">
        <f>'Resultater - Vestdanmark'!I153+'Resultater - Østdanmark'!I153</f>
        <v>463368.74688197661</v>
      </c>
      <c r="J153" s="254">
        <f>'Resultater - Vestdanmark'!J153+'Resultater - Østdanmark'!J153</f>
        <v>559770.92661797442</v>
      </c>
    </row>
    <row r="154" spans="1:10" x14ac:dyDescent="0.25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2">
        <f>'Resultater - Vestdanmark'!H154+'Resultater - Østdanmark'!H154</f>
        <v>224500.40361999813</v>
      </c>
      <c r="I154" s="253">
        <f>'Resultater - Vestdanmark'!I154+'Resultater - Østdanmark'!I154</f>
        <v>151242.40056040999</v>
      </c>
      <c r="J154" s="254">
        <f>'Resultater - Vestdanmark'!J154+'Resultater - Østdanmark'!J154</f>
        <v>182707.8310207903</v>
      </c>
    </row>
    <row r="155" spans="1:10" x14ac:dyDescent="0.25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2">
        <f>'Resultater - Vestdanmark'!H155+'Resultater - Østdanmark'!H155</f>
        <v>-15699010.038333988</v>
      </c>
      <c r="I155" s="253">
        <f>'Resultater - Vestdanmark'!I155+'Resultater - Østdanmark'!I155</f>
        <v>-9848659.6992722601</v>
      </c>
      <c r="J155" s="254">
        <f>'Resultater - Vestdanmark'!J155+'Resultater - Østdanmark'!J155</f>
        <v>-10451656.960000001</v>
      </c>
    </row>
    <row r="156" spans="1:10" x14ac:dyDescent="0.25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2">
        <f>'Resultater - Vestdanmark'!H156+'Resultater - Østdanmark'!H156</f>
        <v>332973.42070203071</v>
      </c>
      <c r="I156" s="253">
        <f>'Resultater - Vestdanmark'!I156+'Resultater - Østdanmark'!I156</f>
        <v>193371.00459365023</v>
      </c>
      <c r="J156" s="254">
        <f>'Resultater - Vestdanmark'!J156+'Resultater - Østdanmark'!J156</f>
        <v>175269.44820785645</v>
      </c>
    </row>
    <row r="157" spans="1:10" x14ac:dyDescent="0.25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2">
        <f>'Resultater - Vestdanmark'!H157+'Resultater - Østdanmark'!H157</f>
        <v>19556.127223005868</v>
      </c>
      <c r="I157" s="253">
        <f>'Resultater - Vestdanmark'!I157+'Resultater - Østdanmark'!I157</f>
        <v>10344.745131190324</v>
      </c>
      <c r="J157" s="254">
        <f>'Resultater - Vestdanmark'!J157+'Resultater - Østdanmark'!J157</f>
        <v>0</v>
      </c>
    </row>
    <row r="158" spans="1:10" x14ac:dyDescent="0.25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2">
        <f>'Resultater - Vestdanmark'!H158+'Resultater - Østdanmark'!H158</f>
        <v>6383.0710352710576</v>
      </c>
      <c r="I158" s="253">
        <f>'Resultater - Vestdanmark'!I158+'Resultater - Østdanmark'!I158</f>
        <v>3376.4989489576938</v>
      </c>
      <c r="J158" s="254">
        <f>'Resultater - Vestdanmark'!J158+'Resultater - Østdanmark'!J158</f>
        <v>0</v>
      </c>
    </row>
    <row r="159" spans="1:10" x14ac:dyDescent="0.25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2">
        <f>'Resultater - Vestdanmark'!H159+'Resultater - Østdanmark'!H159</f>
        <v>-302222.60330370459</v>
      </c>
      <c r="I159" s="253">
        <f>'Resultater - Vestdanmark'!I159+'Resultater - Østdanmark'!I159</f>
        <v>-148871.75632468809</v>
      </c>
      <c r="J159" s="254">
        <f>'Resultater - Vestdanmark'!J159+'Resultater - Østdanmark'!J159</f>
        <v>0</v>
      </c>
    </row>
    <row r="160" spans="1:10" x14ac:dyDescent="0.25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2">
        <f>'Resultater - Vestdanmark'!H160+'Resultater - Østdanmark'!H160</f>
        <v>55488.536199525202</v>
      </c>
      <c r="I160" s="253">
        <f>'Resultater - Vestdanmark'!I160+'Resultater - Østdanmark'!I160</f>
        <v>25302.623852670305</v>
      </c>
      <c r="J160" s="254">
        <f>'Resultater - Vestdanmark'!J160+'Resultater - Østdanmark'!J160</f>
        <v>0</v>
      </c>
    </row>
    <row r="161" spans="1:10" x14ac:dyDescent="0.25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2">
        <f>'Resultater - Vestdanmark'!H161+'Resultater - Østdanmark'!H161</f>
        <v>11642.312333926018</v>
      </c>
      <c r="I161" s="253">
        <f>'Resultater - Vestdanmark'!I161+'Resultater - Østdanmark'!I161</f>
        <v>6009.6755789438566</v>
      </c>
      <c r="J161" s="254">
        <f>'Resultater - Vestdanmark'!J161+'Resultater - Østdanmark'!J161</f>
        <v>0</v>
      </c>
    </row>
    <row r="162" spans="1:10" x14ac:dyDescent="0.25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2">
        <f>'Resultater - Vestdanmark'!H162+'Resultater - Østdanmark'!H162</f>
        <v>3800.0216400126183</v>
      </c>
      <c r="I162" s="253">
        <f>'Resultater - Vestdanmark'!I162+'Resultater - Østdanmark'!I162</f>
        <v>1961.5430847783273</v>
      </c>
      <c r="J162" s="254">
        <f>'Resultater - Vestdanmark'!J162+'Resultater - Østdanmark'!J162</f>
        <v>0</v>
      </c>
    </row>
    <row r="163" spans="1:10" x14ac:dyDescent="0.25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2">
        <f>'Resultater - Vestdanmark'!H163+'Resultater - Østdanmark'!H163</f>
        <v>-118629.63454173651</v>
      </c>
      <c r="I163" s="253">
        <f>'Resultater - Vestdanmark'!I163+'Resultater - Østdanmark'!I163</f>
        <v>-57023.438674379955</v>
      </c>
      <c r="J163" s="254">
        <f>'Resultater - Vestdanmark'!J163+'Resultater - Østdanmark'!J163</f>
        <v>0</v>
      </c>
    </row>
    <row r="164" spans="1:10" x14ac:dyDescent="0.25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2">
        <f>'Resultater - Vestdanmark'!H164+'Resultater - Østdanmark'!H164</f>
        <v>72508.724428055051</v>
      </c>
      <c r="I164" s="253">
        <f>'Resultater - Vestdanmark'!I164+'Resultater - Østdanmark'!I164</f>
        <v>32264.682582955855</v>
      </c>
      <c r="J164" s="254">
        <f>'Resultater - Vestdanmark'!J164+'Resultater - Østdanmark'!J164</f>
        <v>0</v>
      </c>
    </row>
    <row r="165" spans="1:10" x14ac:dyDescent="0.25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2">
        <f>'Resultater - Vestdanmark'!H165+'Resultater - Østdanmark'!H165</f>
        <v>229792.23730502045</v>
      </c>
      <c r="I165" s="253">
        <f>'Resultater - Vestdanmark'!I165+'Resultater - Østdanmark'!I165</f>
        <v>1146770.578767926</v>
      </c>
      <c r="J165" s="254">
        <f>'Resultater - Vestdanmark'!J165+'Resultater - Østdanmark'!J165</f>
        <v>0</v>
      </c>
    </row>
    <row r="166" spans="1:10" x14ac:dyDescent="0.25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2">
        <f>'Resultater - Vestdanmark'!H166+'Resultater - Østdanmark'!H166</f>
        <v>-2229300.7257745154</v>
      </c>
      <c r="I166" s="253">
        <f>'Resultater - Vestdanmark'!I166+'Resultater - Østdanmark'!I166</f>
        <v>-10365437.01290763</v>
      </c>
      <c r="J166" s="254">
        <f>'Resultater - Vestdanmark'!J166+'Resultater - Østdanmark'!J166</f>
        <v>0</v>
      </c>
    </row>
    <row r="167" spans="1:10" x14ac:dyDescent="0.25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2">
        <f>'Resultater - Vestdanmark'!H167+'Resultater - Østdanmark'!H167</f>
        <v>25343.742518123829</v>
      </c>
      <c r="I167" s="253">
        <f>'Resultater - Vestdanmark'!I167+'Resultater - Østdanmark'!I167</f>
        <v>109085.40002199853</v>
      </c>
      <c r="J167" s="254">
        <f>'Resultater - Vestdanmark'!J167+'Resultater - Østdanmark'!J167</f>
        <v>0</v>
      </c>
    </row>
    <row r="168" spans="1:10" x14ac:dyDescent="0.25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2">
        <f>'Resultater - Vestdanmark'!H168+'Resultater - Østdanmark'!H168</f>
        <v>2895.9534319120221</v>
      </c>
      <c r="I168" s="253">
        <f>'Resultater - Vestdanmark'!I168+'Resultater - Østdanmark'!I168</f>
        <v>1531.2841837195588</v>
      </c>
      <c r="J168" s="254">
        <f>'Resultater - Vestdanmark'!J168+'Resultater - Østdanmark'!J168</f>
        <v>0</v>
      </c>
    </row>
    <row r="169" spans="1:10" x14ac:dyDescent="0.25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2">
        <f>'Resultater - Vestdanmark'!H169+'Resultater - Østdanmark'!H169</f>
        <v>-22826.968918399438</v>
      </c>
      <c r="I169" s="253">
        <f>'Resultater - Vestdanmark'!I169+'Resultater - Østdanmark'!I169</f>
        <v>-11245.797036370735</v>
      </c>
      <c r="J169" s="254">
        <f>'Resultater - Vestdanmark'!J169+'Resultater - Østdanmark'!J169</f>
        <v>0</v>
      </c>
    </row>
    <row r="170" spans="1:10" x14ac:dyDescent="0.25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2">
        <f>'Resultater - Vestdanmark'!H170+'Resultater - Østdanmark'!H170</f>
        <v>1872.0097963032511</v>
      </c>
      <c r="I170" s="253">
        <f>'Resultater - Vestdanmark'!I170+'Resultater - Østdanmark'!I170</f>
        <v>853.74275672318129</v>
      </c>
      <c r="J170" s="254">
        <f>'Resultater - Vestdanmark'!J170+'Resultater - Østdanmark'!J170</f>
        <v>0</v>
      </c>
    </row>
    <row r="171" spans="1:10" x14ac:dyDescent="0.25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2">
        <f>'Resultater - Vestdanmark'!H171+'Resultater - Østdanmark'!H171</f>
        <v>873.12609941568871</v>
      </c>
      <c r="I171" s="253">
        <f>'Resultater - Vestdanmark'!I171+'Resultater - Østdanmark'!I171</f>
        <v>451.52034851790376</v>
      </c>
      <c r="J171" s="254">
        <f>'Resultater - Vestdanmark'!J171+'Resultater - Østdanmark'!J171</f>
        <v>0</v>
      </c>
    </row>
    <row r="172" spans="1:10" x14ac:dyDescent="0.25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2">
        <f>'Resultater - Vestdanmark'!H172+'Resultater - Østdanmark'!H172</f>
        <v>-5747.8555301287988</v>
      </c>
      <c r="I172" s="253">
        <f>'Resultater - Vestdanmark'!I172+'Resultater - Østdanmark'!I172</f>
        <v>-2769.3890554781983</v>
      </c>
      <c r="J172" s="254">
        <f>'Resultater - Vestdanmark'!J172+'Resultater - Østdanmark'!J172</f>
        <v>0</v>
      </c>
    </row>
    <row r="173" spans="1:10" x14ac:dyDescent="0.25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2">
        <f>'Resultater - Vestdanmark'!H173+'Resultater - Østdanmark'!H173</f>
        <v>1238.8653838857663</v>
      </c>
      <c r="I173" s="253">
        <f>'Resultater - Vestdanmark'!I173+'Resultater - Østdanmark'!I173</f>
        <v>552.55964918811969</v>
      </c>
      <c r="J173" s="254">
        <f>'Resultater - Vestdanmark'!J173+'Resultater - Østdanmark'!J173</f>
        <v>0</v>
      </c>
    </row>
    <row r="174" spans="1:10" x14ac:dyDescent="0.25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2">
        <f>'Resultater - Vestdanmark'!H174+'Resultater - Østdanmark'!H174</f>
        <v>16747.502556513253</v>
      </c>
      <c r="I174" s="253">
        <f>'Resultater - Vestdanmark'!I174+'Resultater - Østdanmark'!I174</f>
        <v>83577.858960296682</v>
      </c>
      <c r="J174" s="254">
        <f>'Resultater - Vestdanmark'!J174+'Resultater - Østdanmark'!J174</f>
        <v>1807695.5814811115</v>
      </c>
    </row>
    <row r="175" spans="1:10" x14ac:dyDescent="0.25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2">
        <f>'Resultater - Vestdanmark'!H175+'Resultater - Østdanmark'!H175</f>
        <v>-162473.80695714155</v>
      </c>
      <c r="I175" s="253">
        <f>'Resultater - Vestdanmark'!I175+'Resultater - Østdanmark'!I175</f>
        <v>-755444.06942964648</v>
      </c>
      <c r="J175" s="254">
        <f>'Resultater - Vestdanmark'!J175+'Resultater - Østdanmark'!J175</f>
        <v>-14368067.611639597</v>
      </c>
    </row>
    <row r="176" spans="1:10" x14ac:dyDescent="0.25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2">
        <f>'Resultater - Vestdanmark'!H176+'Resultater - Østdanmark'!H176</f>
        <v>3240.4892959857261</v>
      </c>
      <c r="I176" s="253">
        <f>'Resultater - Vestdanmark'!I176+'Resultater - Østdanmark'!I176</f>
        <v>13947.824433065458</v>
      </c>
      <c r="J176" s="254">
        <f>'Resultater - Vestdanmark'!J176+'Resultater - Østdanmark'!J176</f>
        <v>226573.63348328753</v>
      </c>
    </row>
    <row r="177" spans="1:10" x14ac:dyDescent="0.25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2">
        <f>'Resultater - Vestdanmark'!H177+'Resultater - Østdanmark'!H177</f>
        <v>211.06016492677367</v>
      </c>
      <c r="I177" s="253">
        <f>'Resultater - Vestdanmark'!I177+'Resultater - Østdanmark'!I177</f>
        <v>111.60161928164197</v>
      </c>
      <c r="J177" s="254">
        <f>'Resultater - Vestdanmark'!J177+'Resultater - Østdanmark'!J177</f>
        <v>0</v>
      </c>
    </row>
    <row r="178" spans="1:10" x14ac:dyDescent="0.25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2">
        <f>'Resultater - Vestdanmark'!H178+'Resultater - Østdanmark'!H178</f>
        <v>-1663.6537630768387</v>
      </c>
      <c r="I178" s="253">
        <f>'Resultater - Vestdanmark'!I178+'Resultater - Østdanmark'!I178</f>
        <v>-819.60564388714124</v>
      </c>
      <c r="J178" s="254">
        <f>'Resultater - Vestdanmark'!J178+'Resultater - Østdanmark'!J178</f>
        <v>0</v>
      </c>
    </row>
    <row r="179" spans="1:10" x14ac:dyDescent="0.25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2">
        <f>'Resultater - Vestdanmark'!H179+'Resultater - Østdanmark'!H179</f>
        <v>239.35800730941858</v>
      </c>
      <c r="I179" s="253">
        <f>'Resultater - Vestdanmark'!I179+'Resultater - Østdanmark'!I179</f>
        <v>109.1608416834413</v>
      </c>
      <c r="J179" s="254">
        <f>'Resultater - Vestdanmark'!J179+'Resultater - Østdanmark'!J179</f>
        <v>0</v>
      </c>
    </row>
    <row r="180" spans="1:10" x14ac:dyDescent="0.25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2">
        <f>'Resultater - Vestdanmark'!H180+'Resultater - Østdanmark'!H180</f>
        <v>63.63435838223252</v>
      </c>
      <c r="I180" s="253">
        <f>'Resultater - Vestdanmark'!I180+'Resultater - Østdanmark'!I180</f>
        <v>32.907283030122365</v>
      </c>
      <c r="J180" s="254">
        <f>'Resultater - Vestdanmark'!J180+'Resultater - Østdanmark'!J180</f>
        <v>0</v>
      </c>
    </row>
    <row r="181" spans="1:10" x14ac:dyDescent="0.25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2">
        <f>'Resultater - Vestdanmark'!H181+'Resultater - Østdanmark'!H181</f>
        <v>-418.90982182102539</v>
      </c>
      <c r="I181" s="253">
        <f>'Resultater - Vestdanmark'!I181+'Resultater - Østdanmark'!I181</f>
        <v>-201.83601861640284</v>
      </c>
      <c r="J181" s="254">
        <f>'Resultater - Vestdanmark'!J181+'Resultater - Østdanmark'!J181</f>
        <v>0</v>
      </c>
    </row>
    <row r="182" spans="1:10" x14ac:dyDescent="0.25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2">
        <f>'Resultater - Vestdanmark'!H182+'Resultater - Østdanmark'!H182</f>
        <v>158.40320397740001</v>
      </c>
      <c r="I182" s="253">
        <f>'Resultater - Vestdanmark'!I182+'Resultater - Østdanmark'!I182</f>
        <v>70.651113477311469</v>
      </c>
      <c r="J182" s="254">
        <f>'Resultater - Vestdanmark'!J182+'Resultater - Østdanmark'!J182</f>
        <v>0</v>
      </c>
    </row>
    <row r="183" spans="1:10" x14ac:dyDescent="0.25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2">
        <f>'Resultater - Vestdanmark'!H183+'Resultater - Østdanmark'!H183</f>
        <v>27718.750814801697</v>
      </c>
      <c r="I183" s="253">
        <f>'Resultater - Vestdanmark'!I183+'Resultater - Østdanmark'!I183</f>
        <v>137696.12503349106</v>
      </c>
      <c r="J183" s="254">
        <f>'Resultater - Vestdanmark'!J183+'Resultater - Østdanmark'!J183</f>
        <v>0</v>
      </c>
    </row>
    <row r="184" spans="1:10" x14ac:dyDescent="0.25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2">
        <f>'Resultater - Vestdanmark'!H184+'Resultater - Østdanmark'!H184</f>
        <v>-23717015.446220245</v>
      </c>
      <c r="I184" s="253">
        <f>'Resultater - Vestdanmark'!I184+'Resultater - Østdanmark'!I184</f>
        <v>-108988806.25592768</v>
      </c>
      <c r="J184" s="254">
        <f>'Resultater - Vestdanmark'!J184+'Resultater - Østdanmark'!J184</f>
        <v>0</v>
      </c>
    </row>
    <row r="185" spans="1:10" x14ac:dyDescent="0.25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2">
        <f>'Resultater - Vestdanmark'!H185+'Resultater - Østdanmark'!H185</f>
        <v>5135.7375651082511</v>
      </c>
      <c r="I185" s="253">
        <f>'Resultater - Vestdanmark'!I185+'Resultater - Østdanmark'!I185</f>
        <v>21847.492757109176</v>
      </c>
      <c r="J185" s="254">
        <f>'Resultater - Vestdanmark'!J185+'Resultater - Østdanmark'!J185</f>
        <v>0</v>
      </c>
    </row>
    <row r="186" spans="1:10" x14ac:dyDescent="0.25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2">
        <f>'Resultater - Vestdanmark'!H186+'Resultater - Østdanmark'!H186</f>
        <v>2020.1720283442451</v>
      </c>
      <c r="I186" s="253">
        <f>'Resultater - Vestdanmark'!I186+'Resultater - Østdanmark'!I186</f>
        <v>10035.439982941398</v>
      </c>
      <c r="J186" s="254">
        <f>'Resultater - Vestdanmark'!J186+'Resultater - Østdanmark'!J186</f>
        <v>217830.87298299975</v>
      </c>
    </row>
    <row r="187" spans="1:10" x14ac:dyDescent="0.25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2">
        <f>'Resultater - Vestdanmark'!H187+'Resultater - Østdanmark'!H187</f>
        <v>-1728521.3002700505</v>
      </c>
      <c r="I187" s="253">
        <f>'Resultater - Vestdanmark'!I187+'Resultater - Østdanmark'!I187</f>
        <v>-7943220.0704832003</v>
      </c>
      <c r="J187" s="254">
        <f>'Resultater - Vestdanmark'!J187+'Resultater - Østdanmark'!J187</f>
        <v>-150864709.92221576</v>
      </c>
    </row>
    <row r="188" spans="1:10" x14ac:dyDescent="0.25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2">
        <f>'Resultater - Vestdanmark'!H188+'Resultater - Østdanmark'!H188</f>
        <v>656.66318203887363</v>
      </c>
      <c r="I188" s="253">
        <f>'Resultater - Vestdanmark'!I188+'Resultater - Østdanmark'!I188</f>
        <v>2793.4535072280628</v>
      </c>
      <c r="J188" s="254">
        <f>'Resultater - Vestdanmark'!J188+'Resultater - Østdanmark'!J188</f>
        <v>45314.726696657504</v>
      </c>
    </row>
    <row r="189" spans="1:10" x14ac:dyDescent="0.25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2">
        <f>'Resultater - Vestdanmark'!H189+'Resultater - Østdanmark'!H189</f>
        <v>1960428.2349329358</v>
      </c>
      <c r="I189" s="253">
        <f>'Resultater - Vestdanmark'!I189+'Resultater - Østdanmark'!I189</f>
        <v>1968490.851380154</v>
      </c>
      <c r="J189" s="254">
        <f>'Resultater - Vestdanmark'!J189+'Resultater - Østdanmark'!J189</f>
        <v>0</v>
      </c>
    </row>
    <row r="190" spans="1:10" x14ac:dyDescent="0.25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2">
        <f>'Resultater - Vestdanmark'!H190+'Resultater - Østdanmark'!H190</f>
        <v>-6923899.3970784517</v>
      </c>
      <c r="I190" s="253">
        <f>'Resultater - Vestdanmark'!I190+'Resultater - Østdanmark'!I190</f>
        <v>-6474133.1866224064</v>
      </c>
      <c r="J190" s="254">
        <f>'Resultater - Vestdanmark'!J190+'Resultater - Østdanmark'!J190</f>
        <v>0</v>
      </c>
    </row>
    <row r="191" spans="1:10" x14ac:dyDescent="0.25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2">
        <f>'Resultater - Vestdanmark'!H191+'Resultater - Østdanmark'!H191</f>
        <v>104952.20706782168</v>
      </c>
      <c r="I191" s="253">
        <f>'Resultater - Vestdanmark'!I191+'Resultater - Østdanmark'!I191</f>
        <v>90844.654541686235</v>
      </c>
      <c r="J191" s="254">
        <f>'Resultater - Vestdanmark'!J191+'Resultater - Østdanmark'!J191</f>
        <v>0</v>
      </c>
    </row>
    <row r="192" spans="1:10" x14ac:dyDescent="0.25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2">
        <f>'Resultater - Vestdanmark'!H192+'Resultater - Østdanmark'!H192</f>
        <v>74529.950322797784</v>
      </c>
      <c r="I192" s="253">
        <f>'Resultater - Vestdanmark'!I192+'Resultater - Østdanmark'!I192</f>
        <v>39414.513265780814</v>
      </c>
      <c r="J192" s="254">
        <f>'Resultater - Vestdanmark'!J192+'Resultater - Østdanmark'!J192</f>
        <v>0</v>
      </c>
    </row>
    <row r="193" spans="1:10" x14ac:dyDescent="0.25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2">
        <f>'Resultater - Vestdanmark'!H193+'Resultater - Østdanmark'!H193</f>
        <v>-175484.74661777477</v>
      </c>
      <c r="I193" s="253">
        <f>'Resultater - Vestdanmark'!I193+'Resultater - Østdanmark'!I193</f>
        <v>-86419.776242851804</v>
      </c>
      <c r="J193" s="254">
        <f>'Resultater - Vestdanmark'!J193+'Resultater - Østdanmark'!J193</f>
        <v>0</v>
      </c>
    </row>
    <row r="194" spans="1:10" x14ac:dyDescent="0.25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2">
        <f>'Resultater - Vestdanmark'!H194+'Resultater - Østdanmark'!H194</f>
        <v>23385.82028389235</v>
      </c>
      <c r="I194" s="253">
        <f>'Resultater - Vestdanmark'!I194+'Resultater - Østdanmark'!I194</f>
        <v>10661.131342698753</v>
      </c>
      <c r="J194" s="254">
        <f>'Resultater - Vestdanmark'!J194+'Resultater - Østdanmark'!J194</f>
        <v>0</v>
      </c>
    </row>
    <row r="195" spans="1:10" x14ac:dyDescent="0.25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2">
        <f>'Resultater - Vestdanmark'!H195+'Resultater - Østdanmark'!H195</f>
        <v>74479.88306993802</v>
      </c>
      <c r="I195" s="253">
        <f>'Resultater - Vestdanmark'!I195+'Resultater - Østdanmark'!I195</f>
        <v>38266.136054808201</v>
      </c>
      <c r="J195" s="254">
        <f>'Resultater - Vestdanmark'!J195+'Resultater - Østdanmark'!J195</f>
        <v>0</v>
      </c>
    </row>
    <row r="196" spans="1:10" x14ac:dyDescent="0.25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2">
        <f>'Resultater - Vestdanmark'!H196+'Resultater - Østdanmark'!H196</f>
        <v>-112735.83895599192</v>
      </c>
      <c r="I196" s="253">
        <f>'Resultater - Vestdanmark'!I196+'Resultater - Østdanmark'!I196</f>
        <v>-53936.909046530105</v>
      </c>
      <c r="J196" s="254">
        <f>'Resultater - Vestdanmark'!J196+'Resultater - Østdanmark'!J196</f>
        <v>0</v>
      </c>
    </row>
    <row r="197" spans="1:10" x14ac:dyDescent="0.25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2">
        <f>'Resultater - Vestdanmark'!H197+'Resultater - Østdanmark'!H197</f>
        <v>51296.929124309347</v>
      </c>
      <c r="I197" s="253">
        <f>'Resultater - Vestdanmark'!I197+'Resultater - Østdanmark'!I197</f>
        <v>22719.163763239922</v>
      </c>
      <c r="J197" s="254">
        <f>'Resultater - Vestdanmark'!J197+'Resultater - Østdanmark'!J197</f>
        <v>0</v>
      </c>
    </row>
    <row r="198" spans="1:10" x14ac:dyDescent="0.25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2">
        <f>'Resultater - Vestdanmark'!H198+'Resultater - Østdanmark'!H198</f>
        <v>142878.09397503437</v>
      </c>
      <c r="I198" s="253">
        <f>'Resultater - Vestdanmark'!I198+'Resultater - Østdanmark'!I198</f>
        <v>143465.70603341184</v>
      </c>
      <c r="J198" s="254">
        <f>'Resultater - Vestdanmark'!J198+'Resultater - Østdanmark'!J198</f>
        <v>1263583.871628813</v>
      </c>
    </row>
    <row r="199" spans="1:10" x14ac:dyDescent="0.25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2">
        <f>'Resultater - Vestdanmark'!H199+'Resultater - Østdanmark'!H199</f>
        <v>-504621.14914566139</v>
      </c>
      <c r="I199" s="253">
        <f>'Resultater - Vestdanmark'!I199+'Resultater - Østdanmark'!I199</f>
        <v>-471841.70956238464</v>
      </c>
      <c r="J199" s="254">
        <f>'Resultater - Vestdanmark'!J199+'Resultater - Østdanmark'!J199</f>
        <v>-3650704.8116419516</v>
      </c>
    </row>
    <row r="200" spans="1:10" x14ac:dyDescent="0.25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2">
        <f>'Resultater - Vestdanmark'!H200+'Resultater - Østdanmark'!H200</f>
        <v>13419.348123117323</v>
      </c>
      <c r="I200" s="253">
        <f>'Resultater - Vestdanmark'!I200+'Resultater - Østdanmark'!I200</f>
        <v>11615.53509428757</v>
      </c>
      <c r="J200" s="254">
        <f>'Resultater - Vestdanmark'!J200+'Resultater - Østdanmark'!J200</f>
        <v>76758.496809834003</v>
      </c>
    </row>
    <row r="201" spans="1:10" x14ac:dyDescent="0.25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2">
        <f>'Resultater - Vestdanmark'!H201+'Resultater - Østdanmark'!H201</f>
        <v>5431.8220154279852</v>
      </c>
      <c r="I201" s="253">
        <f>'Resultater - Vestdanmark'!I201+'Resultater - Østdanmark'!I201</f>
        <v>2872.5716300250683</v>
      </c>
      <c r="J201" s="254">
        <f>'Resultater - Vestdanmark'!J201+'Resultater - Østdanmark'!J201</f>
        <v>0</v>
      </c>
    </row>
    <row r="202" spans="1:10" x14ac:dyDescent="0.25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2">
        <f>'Resultater - Vestdanmark'!H202+'Resultater - Østdanmark'!H202</f>
        <v>-12789.514898665619</v>
      </c>
      <c r="I202" s="253">
        <f>'Resultater - Vestdanmark'!I202+'Resultater - Østdanmark'!I202</f>
        <v>-6298.3651690519646</v>
      </c>
      <c r="J202" s="254">
        <f>'Resultater - Vestdanmark'!J202+'Resultater - Østdanmark'!J202</f>
        <v>0</v>
      </c>
    </row>
    <row r="203" spans="1:10" x14ac:dyDescent="0.25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2">
        <f>'Resultater - Vestdanmark'!H203+'Resultater - Østdanmark'!H203</f>
        <v>2990.1463942669939</v>
      </c>
      <c r="I203" s="253">
        <f>'Resultater - Vestdanmark'!I203+'Resultater - Østdanmark'!I203</f>
        <v>1363.1483974558132</v>
      </c>
      <c r="J203" s="254">
        <f>'Resultater - Vestdanmark'!J203+'Resultater - Østdanmark'!J203</f>
        <v>0</v>
      </c>
    </row>
    <row r="204" spans="1:10" x14ac:dyDescent="0.25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2">
        <f>'Resultater - Vestdanmark'!H204+'Resultater - Østdanmark'!H204</f>
        <v>5428.1730608109774</v>
      </c>
      <c r="I204" s="253">
        <f>'Resultater - Vestdanmark'!I204+'Resultater - Østdanmark'!I204</f>
        <v>2788.8766780016158</v>
      </c>
      <c r="J204" s="254">
        <f>'Resultater - Vestdanmark'!J204+'Resultater - Østdanmark'!J204</f>
        <v>0</v>
      </c>
    </row>
    <row r="205" spans="1:10" x14ac:dyDescent="0.25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2">
        <f>'Resultater - Vestdanmark'!H205+'Resultater - Østdanmark'!H205</f>
        <v>-8216.3077972908159</v>
      </c>
      <c r="I205" s="253">
        <f>'Resultater - Vestdanmark'!I205+'Resultater - Østdanmark'!I205</f>
        <v>-3930.9792738914721</v>
      </c>
      <c r="J205" s="254">
        <f>'Resultater - Vestdanmark'!J205+'Resultater - Østdanmark'!J205</f>
        <v>0</v>
      </c>
    </row>
    <row r="206" spans="1:10" x14ac:dyDescent="0.25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2">
        <f>'Resultater - Vestdanmark'!H206+'Resultater - Østdanmark'!H206</f>
        <v>6558.9030359423223</v>
      </c>
      <c r="I206" s="253">
        <f>'Resultater - Vestdanmark'!I206+'Resultater - Østdanmark'!I206</f>
        <v>2904.9066820292128</v>
      </c>
      <c r="J206" s="254">
        <f>'Resultater - Vestdanmark'!J206+'Resultater - Østdanmark'!J206</f>
        <v>0</v>
      </c>
    </row>
    <row r="207" spans="1:10" x14ac:dyDescent="0.25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2">
        <f>'Resultater - Vestdanmark'!H207+'Resultater - Østdanmark'!H207</f>
        <v>10615606.672639394</v>
      </c>
      <c r="I207" s="253">
        <f>'Resultater - Vestdanmark'!I207+'Resultater - Østdanmark'!I207</f>
        <v>19040878.054878742</v>
      </c>
      <c r="J207" s="254">
        <f>'Resultater - Vestdanmark'!J207+'Resultater - Østdanmark'!J207</f>
        <v>0</v>
      </c>
    </row>
    <row r="208" spans="1:10" x14ac:dyDescent="0.25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2">
        <f>'Resultater - Vestdanmark'!H208+'Resultater - Østdanmark'!H208</f>
        <v>-33160399.72307751</v>
      </c>
      <c r="I208" s="253">
        <f>'Resultater - Vestdanmark'!I208+'Resultater - Østdanmark'!I208</f>
        <v>-55387318.311725967</v>
      </c>
      <c r="J208" s="254">
        <f>'Resultater - Vestdanmark'!J208+'Resultater - Østdanmark'!J208</f>
        <v>0</v>
      </c>
    </row>
    <row r="209" spans="1:10" x14ac:dyDescent="0.25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2">
        <f>'Resultater - Vestdanmark'!H209+'Resultater - Østdanmark'!H209</f>
        <v>486429.76821888878</v>
      </c>
      <c r="I209" s="253">
        <f>'Resultater - Vestdanmark'!I209+'Resultater - Østdanmark'!I209</f>
        <v>638787.5996924733</v>
      </c>
      <c r="J209" s="254">
        <f>'Resultater - Vestdanmark'!J209+'Resultater - Østdanmark'!J209</f>
        <v>0</v>
      </c>
    </row>
    <row r="210" spans="1:10" x14ac:dyDescent="0.25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2">
        <f>'Resultater - Vestdanmark'!H210+'Resultater - Østdanmark'!H210</f>
        <v>1227820.3144178872</v>
      </c>
      <c r="I210" s="253">
        <f>'Resultater - Vestdanmark'!I210+'Resultater - Østdanmark'!I210</f>
        <v>764580.46206446958</v>
      </c>
      <c r="J210" s="254">
        <f>'Resultater - Vestdanmark'!J210+'Resultater - Østdanmark'!J210</f>
        <v>0</v>
      </c>
    </row>
    <row r="211" spans="1:10" x14ac:dyDescent="0.25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2">
        <f>'Resultater - Vestdanmark'!H211+'Resultater - Østdanmark'!H211</f>
        <v>-2680650.2901102607</v>
      </c>
      <c r="I211" s="253">
        <f>'Resultater - Vestdanmark'!I211+'Resultater - Østdanmark'!I211</f>
        <v>-1554450.7645012895</v>
      </c>
      <c r="J211" s="254">
        <f>'Resultater - Vestdanmark'!J211+'Resultater - Østdanmark'!J211</f>
        <v>0</v>
      </c>
    </row>
    <row r="212" spans="1:10" x14ac:dyDescent="0.25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2">
        <f>'Resultater - Vestdanmark'!H212+'Resultater - Østdanmark'!H212</f>
        <v>329754.92419657321</v>
      </c>
      <c r="I212" s="253">
        <f>'Resultater - Vestdanmark'!I212+'Resultater - Østdanmark'!I212</f>
        <v>150339.75916816416</v>
      </c>
      <c r="J212" s="254">
        <f>'Resultater - Vestdanmark'!J212+'Resultater - Østdanmark'!J212</f>
        <v>0</v>
      </c>
    </row>
    <row r="213" spans="1:10" x14ac:dyDescent="0.25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2">
        <f>'Resultater - Vestdanmark'!H213+'Resultater - Østdanmark'!H213</f>
        <v>1475854.3420564069</v>
      </c>
      <c r="I213" s="253">
        <f>'Resultater - Vestdanmark'!I213+'Resultater - Østdanmark'!I213</f>
        <v>893996.69737080345</v>
      </c>
      <c r="J213" s="254">
        <f>'Resultater - Vestdanmark'!J213+'Resultater - Østdanmark'!J213</f>
        <v>0</v>
      </c>
    </row>
    <row r="214" spans="1:10" x14ac:dyDescent="0.25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2">
        <f>'Resultater - Vestdanmark'!H214+'Resultater - Østdanmark'!H214</f>
        <v>-2230735.0998434206</v>
      </c>
      <c r="I214" s="253">
        <f>'Resultater - Vestdanmark'!I214+'Resultater - Østdanmark'!I214</f>
        <v>-1258313.4721246404</v>
      </c>
      <c r="J214" s="254">
        <f>'Resultater - Vestdanmark'!J214+'Resultater - Østdanmark'!J214</f>
        <v>0</v>
      </c>
    </row>
    <row r="215" spans="1:10" x14ac:dyDescent="0.25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2">
        <f>'Resultater - Vestdanmark'!H215+'Resultater - Østdanmark'!H215</f>
        <v>870022.68593914213</v>
      </c>
      <c r="I215" s="253">
        <f>'Resultater - Vestdanmark'!I215+'Resultater - Østdanmark'!I215</f>
        <v>385848.81728453154</v>
      </c>
      <c r="J215" s="254">
        <f>'Resultater - Vestdanmark'!J215+'Resultater - Østdanmark'!J215</f>
        <v>0</v>
      </c>
    </row>
    <row r="216" spans="1:10" x14ac:dyDescent="0.25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2">
        <f>'Resultater - Vestdanmark'!H216+'Resultater - Østdanmark'!H216</f>
        <v>1058715.4844797079</v>
      </c>
      <c r="I216" s="253">
        <f>'Resultater - Vestdanmark'!I216+'Resultater - Østdanmark'!I216</f>
        <v>1898984.4910839954</v>
      </c>
      <c r="J216" s="254">
        <f>'Resultater - Vestdanmark'!J216+'Resultater - Østdanmark'!J216</f>
        <v>34596338.975426525</v>
      </c>
    </row>
    <row r="217" spans="1:10" x14ac:dyDescent="0.25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2">
        <f>'Resultater - Vestdanmark'!H217+'Resultater - Østdanmark'!H217</f>
        <v>-3307152.3598217401</v>
      </c>
      <c r="I217" s="253">
        <f>'Resultater - Vestdanmark'!I217+'Resultater - Østdanmark'!I217</f>
        <v>-5523886.9853352457</v>
      </c>
      <c r="J217" s="254">
        <f>'Resultater - Vestdanmark'!J217+'Resultater - Østdanmark'!J217</f>
        <v>-88405223.400000006</v>
      </c>
    </row>
    <row r="218" spans="1:10" x14ac:dyDescent="0.25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2">
        <f>'Resultater - Vestdanmark'!H218+'Resultater - Østdanmark'!H218</f>
        <v>62195.646757178984</v>
      </c>
      <c r="I218" s="253">
        <f>'Resultater - Vestdanmark'!I218+'Resultater - Østdanmark'!I218</f>
        <v>81676.349802385608</v>
      </c>
      <c r="J218" s="254">
        <f>'Resultater - Vestdanmark'!J218+'Resultater - Østdanmark'!J218</f>
        <v>876347.24103928218</v>
      </c>
    </row>
    <row r="219" spans="1:10" x14ac:dyDescent="0.25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2">
        <f>'Resultater - Vestdanmark'!H219+'Resultater - Østdanmark'!H219</f>
        <v>122452.95244249655</v>
      </c>
      <c r="I219" s="253">
        <f>'Resultater - Vestdanmark'!I219+'Resultater - Østdanmark'!I219</f>
        <v>76253.124223661682</v>
      </c>
      <c r="J219" s="254">
        <f>'Resultater - Vestdanmark'!J219+'Resultater - Østdanmark'!J219</f>
        <v>0</v>
      </c>
    </row>
    <row r="220" spans="1:10" x14ac:dyDescent="0.25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2">
        <f>'Resultater - Vestdanmark'!H220+'Resultater - Østdanmark'!H220</f>
        <v>-267346.56417984271</v>
      </c>
      <c r="I220" s="253">
        <f>'Resultater - Vestdanmark'!I220+'Resultater - Østdanmark'!I220</f>
        <v>-155028.45433040653</v>
      </c>
      <c r="J220" s="254">
        <f>'Resultater - Vestdanmark'!J220+'Resultater - Østdanmark'!J220</f>
        <v>0</v>
      </c>
    </row>
    <row r="221" spans="1:10" x14ac:dyDescent="0.25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2">
        <f>'Resultater - Vestdanmark'!H221+'Resultater - Østdanmark'!H221</f>
        <v>42162.963950309473</v>
      </c>
      <c r="I221" s="253">
        <f>'Resultater - Vestdanmark'!I221+'Resultater - Østdanmark'!I221</f>
        <v>19222.669264301425</v>
      </c>
      <c r="J221" s="254">
        <f>'Resultater - Vestdanmark'!J221+'Resultater - Østdanmark'!J221</f>
        <v>0</v>
      </c>
    </row>
    <row r="222" spans="1:10" x14ac:dyDescent="0.25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2">
        <f>'Resultater - Vestdanmark'!H222+'Resultater - Østdanmark'!H222</f>
        <v>147189.87740935557</v>
      </c>
      <c r="I222" s="253">
        <f>'Resultater - Vestdanmark'!I222+'Resultater - Østdanmark'!I222</f>
        <v>89160.061762618046</v>
      </c>
      <c r="J222" s="254">
        <f>'Resultater - Vestdanmark'!J222+'Resultater - Østdanmark'!J222</f>
        <v>0</v>
      </c>
    </row>
    <row r="223" spans="1:10" x14ac:dyDescent="0.25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2">
        <f>'Resultater - Vestdanmark'!H223+'Resultater - Østdanmark'!H223</f>
        <v>-222475.63090894136</v>
      </c>
      <c r="I223" s="253">
        <f>'Resultater - Vestdanmark'!I223+'Resultater - Østdanmark'!I223</f>
        <v>-125494.0954718468</v>
      </c>
      <c r="J223" s="254">
        <f>'Resultater - Vestdanmark'!J223+'Resultater - Østdanmark'!J223</f>
        <v>0</v>
      </c>
    </row>
    <row r="224" spans="1:10" x14ac:dyDescent="0.25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2">
        <f>'Resultater - Vestdanmark'!H224+'Resultater - Østdanmark'!H224</f>
        <v>111242.41808542692</v>
      </c>
      <c r="I224" s="253">
        <f>'Resultater - Vestdanmark'!I224+'Resultater - Østdanmark'!I224</f>
        <v>49335.214062608713</v>
      </c>
      <c r="J224" s="254">
        <f>'Resultater - Vestdanmark'!J224+'Resultater - Østdanmark'!J224</f>
        <v>0</v>
      </c>
    </row>
    <row r="225" spans="1:10" x14ac:dyDescent="0.25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2">
        <f>'Resultater - Vestdanmark'!H225+'Resultater - Østdanmark'!H225</f>
        <v>252636.14136845001</v>
      </c>
      <c r="I225" s="253">
        <f>'Resultater - Vestdanmark'!I225+'Resultater - Østdanmark'!I225</f>
        <v>888067.65178881667</v>
      </c>
      <c r="J225" s="254">
        <f>'Resultater - Vestdanmark'!J225+'Resultater - Østdanmark'!J225</f>
        <v>0</v>
      </c>
    </row>
    <row r="226" spans="1:10" x14ac:dyDescent="0.25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2">
        <f>'Resultater - Vestdanmark'!H226+'Resultater - Østdanmark'!H226</f>
        <v>75002.300218044285</v>
      </c>
      <c r="I226" s="253">
        <f>'Resultater - Vestdanmark'!I226+'Resultater - Østdanmark'!I226</f>
        <v>263648.40862676565</v>
      </c>
      <c r="J226" s="254">
        <f>'Resultater - Vestdanmark'!J226+'Resultater - Østdanmark'!J226</f>
        <v>0</v>
      </c>
    </row>
    <row r="227" spans="1:10" x14ac:dyDescent="0.25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2">
        <f>'Resultater - Vestdanmark'!H227+'Resultater - Østdanmark'!H227</f>
        <v>0</v>
      </c>
      <c r="I227" s="253">
        <f>'Resultater - Vestdanmark'!I227+'Resultater - Østdanmark'!I227</f>
        <v>0</v>
      </c>
      <c r="J227" s="254">
        <f>'Resultater - Vestdanmark'!J227+'Resultater - Østdanmark'!J227</f>
        <v>0</v>
      </c>
    </row>
    <row r="228" spans="1:10" x14ac:dyDescent="0.25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2">
        <f>'Resultater - Vestdanmark'!H228+'Resultater - Østdanmark'!H228</f>
        <v>148812.79058360241</v>
      </c>
      <c r="I228" s="253">
        <f>'Resultater - Vestdanmark'!I228+'Resultater - Østdanmark'!I228</f>
        <v>450937.32283757668</v>
      </c>
      <c r="J228" s="254">
        <f>'Resultater - Vestdanmark'!J228+'Resultater - Østdanmark'!J228</f>
        <v>0</v>
      </c>
    </row>
    <row r="229" spans="1:10" x14ac:dyDescent="0.25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2">
        <f>'Resultater - Vestdanmark'!H229+'Resultater - Østdanmark'!H229</f>
        <v>9551.9923536804617</v>
      </c>
      <c r="I229" s="253">
        <f>'Resultater - Vestdanmark'!I229+'Resultater - Østdanmark'!I229</f>
        <v>5051.7511447591705</v>
      </c>
      <c r="J229" s="254">
        <f>'Resultater - Vestdanmark'!J229+'Resultater - Østdanmark'!J229</f>
        <v>0</v>
      </c>
    </row>
    <row r="230" spans="1:10" x14ac:dyDescent="0.25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2">
        <f>'Resultater - Vestdanmark'!H230+'Resultater - Østdanmark'!H230</f>
        <v>2835.7834881049771</v>
      </c>
      <c r="I230" s="253">
        <f>'Resultater - Vestdanmark'!I230+'Resultater - Østdanmark'!I230</f>
        <v>1499.7575324485758</v>
      </c>
      <c r="J230" s="254">
        <f>'Resultater - Vestdanmark'!J230+'Resultater - Østdanmark'!J230</f>
        <v>0</v>
      </c>
    </row>
    <row r="231" spans="1:10" x14ac:dyDescent="0.25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2">
        <f>'Resultater - Vestdanmark'!H231+'Resultater - Østdanmark'!H231</f>
        <v>0</v>
      </c>
      <c r="I231" s="253">
        <f>'Resultater - Vestdanmark'!I231+'Resultater - Østdanmark'!I231</f>
        <v>0</v>
      </c>
      <c r="J231" s="254">
        <f>'Resultater - Vestdanmark'!J231+'Resultater - Østdanmark'!J231</f>
        <v>0</v>
      </c>
    </row>
    <row r="232" spans="1:10" x14ac:dyDescent="0.25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2">
        <f>'Resultater - Vestdanmark'!H232+'Resultater - Østdanmark'!H232</f>
        <v>32977.664576989635</v>
      </c>
      <c r="I232" s="253">
        <f>'Resultater - Vestdanmark'!I232+'Resultater - Østdanmark'!I232</f>
        <v>15034.646756996144</v>
      </c>
      <c r="J232" s="254">
        <f>'Resultater - Vestdanmark'!J232+'Resultater - Østdanmark'!J232</f>
        <v>0</v>
      </c>
    </row>
    <row r="233" spans="1:10" x14ac:dyDescent="0.25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2">
        <f>'Resultater - Vestdanmark'!H233+'Resultater - Østdanmark'!H233</f>
        <v>3796.4815039591263</v>
      </c>
      <c r="I233" s="253">
        <f>'Resultater - Vestdanmark'!I233+'Resultater - Østdanmark'!I233</f>
        <v>1952.4203473409814</v>
      </c>
      <c r="J233" s="254">
        <f>'Resultater - Vestdanmark'!J233+'Resultater - Østdanmark'!J233</f>
        <v>0</v>
      </c>
    </row>
    <row r="234" spans="1:10" x14ac:dyDescent="0.25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2">
        <f>'Resultater - Vestdanmark'!H234+'Resultater - Østdanmark'!H234</f>
        <v>1127.0946587048945</v>
      </c>
      <c r="I234" s="253">
        <f>'Resultater - Vestdanmark'!I234+'Resultater - Østdanmark'!I234</f>
        <v>579.63209954794695</v>
      </c>
      <c r="J234" s="254">
        <f>'Resultater - Vestdanmark'!J234+'Resultater - Østdanmark'!J234</f>
        <v>0</v>
      </c>
    </row>
    <row r="235" spans="1:10" x14ac:dyDescent="0.25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2">
        <f>'Resultater - Vestdanmark'!H235+'Resultater - Østdanmark'!H235</f>
        <v>0</v>
      </c>
      <c r="I235" s="253">
        <f>'Resultater - Vestdanmark'!I235+'Resultater - Østdanmark'!I235</f>
        <v>0</v>
      </c>
      <c r="J235" s="254">
        <f>'Resultater - Vestdanmark'!J235+'Resultater - Østdanmark'!J235</f>
        <v>0</v>
      </c>
    </row>
    <row r="236" spans="1:10" x14ac:dyDescent="0.25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2">
        <f>'Resultater - Vestdanmark'!H236+'Resultater - Østdanmark'!H236</f>
        <v>28769.864955948491</v>
      </c>
      <c r="I236" s="253">
        <f>'Resultater - Vestdanmark'!I236+'Resultater - Østdanmark'!I236</f>
        <v>12754.258352847761</v>
      </c>
      <c r="J236" s="254">
        <f>'Resultater - Vestdanmark'!J236+'Resultater - Østdanmark'!J236</f>
        <v>0</v>
      </c>
    </row>
    <row r="237" spans="1:10" x14ac:dyDescent="0.25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2">
        <f>'Resultater - Vestdanmark'!H237+'Resultater - Østdanmark'!H237</f>
        <v>18412.390570964348</v>
      </c>
      <c r="I237" s="253">
        <f>'Resultater - Vestdanmark'!I237+'Resultater - Østdanmark'!I237</f>
        <v>64723.31460417436</v>
      </c>
      <c r="J237" s="254">
        <f>'Resultater - Vestdanmark'!J237+'Resultater - Østdanmark'!J237</f>
        <v>1311141.8578415348</v>
      </c>
    </row>
    <row r="238" spans="1:10" x14ac:dyDescent="0.25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2">
        <f>'Resultater - Vestdanmark'!H238+'Resultater - Østdanmark'!H238</f>
        <v>5466.2473779684478</v>
      </c>
      <c r="I238" s="253">
        <f>'Resultater - Vestdanmark'!I238+'Resultater - Østdanmark'!I238</f>
        <v>19214.976316351571</v>
      </c>
      <c r="J238" s="254">
        <f>'Resultater - Vestdanmark'!J238+'Resultater - Østdanmark'!J238</f>
        <v>389250.14733682101</v>
      </c>
    </row>
    <row r="239" spans="1:10" x14ac:dyDescent="0.25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2">
        <f>'Resultater - Vestdanmark'!H239+'Resultater - Østdanmark'!H239</f>
        <v>0</v>
      </c>
      <c r="I239" s="253">
        <f>'Resultater - Vestdanmark'!I239+'Resultater - Østdanmark'!I239</f>
        <v>0</v>
      </c>
      <c r="J239" s="254">
        <f>'Resultater - Vestdanmark'!J239+'Resultater - Østdanmark'!J239</f>
        <v>0</v>
      </c>
    </row>
    <row r="240" spans="1:10" x14ac:dyDescent="0.25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2">
        <f>'Resultater - Vestdanmark'!H240+'Resultater - Østdanmark'!H240</f>
        <v>19027.428748815582</v>
      </c>
      <c r="I240" s="253">
        <f>'Resultater - Vestdanmark'!I240+'Resultater - Østdanmark'!I240</f>
        <v>57657.528945089776</v>
      </c>
      <c r="J240" s="254">
        <f>'Resultater - Vestdanmark'!J240+'Resultater - Østdanmark'!J240</f>
        <v>876347.24103928218</v>
      </c>
    </row>
    <row r="241" spans="1:10" x14ac:dyDescent="0.25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2">
        <f>'Resultater - Vestdanmark'!H241+'Resultater - Østdanmark'!H241</f>
        <v>696.15935785818442</v>
      </c>
      <c r="I241" s="253">
        <f>'Resultater - Vestdanmark'!I241+'Resultater - Østdanmark'!I241</f>
        <v>368.17699415764622</v>
      </c>
      <c r="J241" s="254">
        <f>'Resultater - Vestdanmark'!J241+'Resultater - Østdanmark'!J241</f>
        <v>0</v>
      </c>
    </row>
    <row r="242" spans="1:10" x14ac:dyDescent="0.25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2">
        <f>'Resultater - Vestdanmark'!H242+'Resultater - Østdanmark'!H242</f>
        <v>206.67491545293632</v>
      </c>
      <c r="I242" s="253">
        <f>'Resultater - Vestdanmark'!I242+'Resultater - Østdanmark'!I242</f>
        <v>109.30392341971326</v>
      </c>
      <c r="J242" s="254">
        <f>'Resultater - Vestdanmark'!J242+'Resultater - Østdanmark'!J242</f>
        <v>0</v>
      </c>
    </row>
    <row r="243" spans="1:10" x14ac:dyDescent="0.25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2">
        <f>'Resultater - Vestdanmark'!H243+'Resultater - Østdanmark'!H243</f>
        <v>0</v>
      </c>
      <c r="I243" s="253">
        <f>'Resultater - Vestdanmark'!I243+'Resultater - Østdanmark'!I243</f>
        <v>0</v>
      </c>
      <c r="J243" s="254">
        <f>'Resultater - Vestdanmark'!J243+'Resultater - Østdanmark'!J243</f>
        <v>0</v>
      </c>
    </row>
    <row r="244" spans="1:10" x14ac:dyDescent="0.25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2">
        <f>'Resultater - Vestdanmark'!H244+'Resultater - Østdanmark'!H244</f>
        <v>4216.5741303567183</v>
      </c>
      <c r="I244" s="253">
        <f>'Resultater - Vestdanmark'!I244+'Resultater - Østdanmark'!I244</f>
        <v>1922.3527010713647</v>
      </c>
      <c r="J244" s="254">
        <f>'Resultater - Vestdanmark'!J244+'Resultater - Østdanmark'!J244</f>
        <v>0</v>
      </c>
    </row>
    <row r="245" spans="1:10" x14ac:dyDescent="0.25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2">
        <f>'Resultater - Vestdanmark'!H245+'Resultater - Østdanmark'!H245</f>
        <v>276.69160820656509</v>
      </c>
      <c r="I245" s="253">
        <f>'Resultater - Vestdanmark'!I245+'Resultater - Østdanmark'!I245</f>
        <v>142.29447061381305</v>
      </c>
      <c r="J245" s="254">
        <f>'Resultater - Vestdanmark'!J245+'Resultater - Østdanmark'!J245</f>
        <v>0</v>
      </c>
    </row>
    <row r="246" spans="1:10" x14ac:dyDescent="0.25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2">
        <f>'Resultater - Vestdanmark'!H246+'Resultater - Østdanmark'!H246</f>
        <v>82.143856987810693</v>
      </c>
      <c r="I246" s="253">
        <f>'Resultater - Vestdanmark'!I246+'Resultater - Østdanmark'!I246</f>
        <v>42.244203646144229</v>
      </c>
      <c r="J246" s="254">
        <f>'Resultater - Vestdanmark'!J246+'Resultater - Østdanmark'!J246</f>
        <v>0</v>
      </c>
    </row>
    <row r="247" spans="1:10" x14ac:dyDescent="0.25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2">
        <f>'Resultater - Vestdanmark'!H247+'Resultater - Østdanmark'!H247</f>
        <v>0</v>
      </c>
      <c r="I247" s="253">
        <f>'Resultater - Vestdanmark'!I247+'Resultater - Østdanmark'!I247</f>
        <v>0</v>
      </c>
      <c r="J247" s="254">
        <f>'Resultater - Vestdanmark'!J247+'Resultater - Østdanmark'!J247</f>
        <v>0</v>
      </c>
    </row>
    <row r="248" spans="1:10" x14ac:dyDescent="0.25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2">
        <f>'Resultater - Vestdanmark'!H248+'Resultater - Østdanmark'!H248</f>
        <v>3678.55849900765</v>
      </c>
      <c r="I248" s="253">
        <f>'Resultater - Vestdanmark'!I248+'Resultater - Østdanmark'!I248</f>
        <v>1630.778786561762</v>
      </c>
      <c r="J248" s="254">
        <f>'Resultater - Vestdanmark'!J248+'Resultater - Østdanmark'!J248</f>
        <v>0</v>
      </c>
    </row>
    <row r="249" spans="1:10" x14ac:dyDescent="0.25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2">
        <f>'Resultater - Vestdanmark'!H249+'Resultater - Østdanmark'!H249</f>
        <v>2410176.5834804205</v>
      </c>
      <c r="I249" s="253">
        <f>'Resultater - Vestdanmark'!I249+'Resultater - Østdanmark'!I249</f>
        <v>2316130.6026756559</v>
      </c>
      <c r="J249" s="254">
        <f>'Resultater - Vestdanmark'!J249+'Resultater - Østdanmark'!J249</f>
        <v>0</v>
      </c>
    </row>
    <row r="250" spans="1:10" x14ac:dyDescent="0.25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2">
        <f>'Resultater - Vestdanmark'!H250+'Resultater - Østdanmark'!H250</f>
        <v>-4004417.1927958126</v>
      </c>
      <c r="I250" s="253">
        <f>'Resultater - Vestdanmark'!I250+'Resultater - Østdanmark'!I250</f>
        <v>-3583454.7770014754</v>
      </c>
      <c r="J250" s="254">
        <f>'Resultater - Vestdanmark'!J250+'Resultater - Østdanmark'!J250</f>
        <v>0</v>
      </c>
    </row>
    <row r="251" spans="1:10" x14ac:dyDescent="0.25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2">
        <f>'Resultater - Vestdanmark'!H251+'Resultater - Østdanmark'!H251</f>
        <v>67443.117157939108</v>
      </c>
      <c r="I251" s="253">
        <f>'Resultater - Vestdanmark'!I251+'Resultater - Østdanmark'!I251</f>
        <v>55869.806453629892</v>
      </c>
      <c r="J251" s="254">
        <f>'Resultater - Vestdanmark'!J251+'Resultater - Østdanmark'!J251</f>
        <v>0</v>
      </c>
    </row>
    <row r="252" spans="1:10" x14ac:dyDescent="0.25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2">
        <f>'Resultater - Vestdanmark'!H252+'Resultater - Østdanmark'!H252</f>
        <v>16302.299566350639</v>
      </c>
      <c r="I252" s="253">
        <f>'Resultater - Vestdanmark'!I252+'Resultater - Østdanmark'!I252</f>
        <v>8633.6602240484262</v>
      </c>
      <c r="J252" s="254">
        <f>'Resultater - Vestdanmark'!J252+'Resultater - Østdanmark'!J252</f>
        <v>0</v>
      </c>
    </row>
    <row r="253" spans="1:10" x14ac:dyDescent="0.25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2">
        <f>'Resultater - Vestdanmark'!H253+'Resultater - Østdanmark'!H253</f>
        <v>-17555.516386431049</v>
      </c>
      <c r="I253" s="253">
        <f>'Resultater - Vestdanmark'!I253+'Resultater - Østdanmark'!I253</f>
        <v>-8657.8113961697291</v>
      </c>
      <c r="J253" s="254">
        <f>'Resultater - Vestdanmark'!J253+'Resultater - Østdanmark'!J253</f>
        <v>0</v>
      </c>
    </row>
    <row r="254" spans="1:10" x14ac:dyDescent="0.25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2">
        <f>'Resultater - Vestdanmark'!H254+'Resultater - Østdanmark'!H254</f>
        <v>2673.7376430017921</v>
      </c>
      <c r="I254" s="253">
        <f>'Resultater - Vestdanmark'!I254+'Resultater - Østdanmark'!I254</f>
        <v>1220.6473821851368</v>
      </c>
      <c r="J254" s="254">
        <f>'Resultater - Vestdanmark'!J254+'Resultater - Østdanmark'!J254</f>
        <v>0</v>
      </c>
    </row>
    <row r="255" spans="1:10" x14ac:dyDescent="0.25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2">
        <f>'Resultater - Vestdanmark'!H255+'Resultater - Østdanmark'!H255</f>
        <v>7000.5878814400912</v>
      </c>
      <c r="I255" s="253">
        <f>'Resultater - Vestdanmark'!I255+'Resultater - Østdanmark'!I255</f>
        <v>3687.6711351875251</v>
      </c>
      <c r="J255" s="254">
        <f>'Resultater - Vestdanmark'!J255+'Resultater - Østdanmark'!J255</f>
        <v>0</v>
      </c>
    </row>
    <row r="256" spans="1:10" x14ac:dyDescent="0.25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2">
        <f>'Resultater - Vestdanmark'!H256+'Resultater - Østdanmark'!H256</f>
        <v>-4615.5602634927654</v>
      </c>
      <c r="I256" s="253">
        <f>'Resultater - Vestdanmark'!I256+'Resultater - Østdanmark'!I256</f>
        <v>-2264.0735251607721</v>
      </c>
      <c r="J256" s="254">
        <f>'Resultater - Vestdanmark'!J256+'Resultater - Østdanmark'!J256</f>
        <v>0</v>
      </c>
    </row>
    <row r="257" spans="1:10" x14ac:dyDescent="0.25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2">
        <f>'Resultater - Vestdanmark'!H257+'Resultater - Østdanmark'!H257</f>
        <v>2520.2001766035514</v>
      </c>
      <c r="I257" s="253">
        <f>'Resultater - Vestdanmark'!I257+'Resultater - Østdanmark'!I257</f>
        <v>1144.4005546354742</v>
      </c>
      <c r="J257" s="254">
        <f>'Resultater - Vestdanmark'!J257+'Resultater - Østdanmark'!J257</f>
        <v>0</v>
      </c>
    </row>
    <row r="258" spans="1:10" x14ac:dyDescent="0.25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2">
        <f>'Resultater - Vestdanmark'!H258+'Resultater - Østdanmark'!H258</f>
        <v>175656.2317634254</v>
      </c>
      <c r="I258" s="253">
        <f>'Resultater - Vestdanmark'!I258+'Resultater - Østdanmark'!I258</f>
        <v>168802.06069816471</v>
      </c>
      <c r="J258" s="254">
        <f>'Resultater - Vestdanmark'!J258+'Resultater - Østdanmark'!J258</f>
        <v>1486735.5223291777</v>
      </c>
    </row>
    <row r="259" spans="1:10" x14ac:dyDescent="0.25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2">
        <f>'Resultater - Vestdanmark'!H259+'Resultater - Østdanmark'!H259</f>
        <v>-291846.18227409676</v>
      </c>
      <c r="I259" s="253">
        <f>'Resultater - Vestdanmark'!I259+'Resultater - Østdanmark'!I259</f>
        <v>-261165.99386828233</v>
      </c>
      <c r="J259" s="254">
        <f>'Resultater - Vestdanmark'!J259+'Resultater - Østdanmark'!J259</f>
        <v>-2020677.5516655154</v>
      </c>
    </row>
    <row r="260" spans="1:10" x14ac:dyDescent="0.25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2">
        <f>'Resultater - Vestdanmark'!H260+'Resultater - Østdanmark'!H260</f>
        <v>8623.3790878329964</v>
      </c>
      <c r="I260" s="253">
        <f>'Resultater - Vestdanmark'!I260+'Resultater - Østdanmark'!I260</f>
        <v>7143.5980559032505</v>
      </c>
      <c r="J260" s="254">
        <f>'Resultater - Vestdanmark'!J260+'Resultater - Østdanmark'!J260</f>
        <v>47206.766122591405</v>
      </c>
    </row>
    <row r="261" spans="1:10" x14ac:dyDescent="0.25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2">
        <f>'Resultater - Vestdanmark'!H261+'Resultater - Østdanmark'!H261</f>
        <v>1188.1289240510705</v>
      </c>
      <c r="I261" s="253">
        <f>'Resultater - Vestdanmark'!I261+'Resultater - Østdanmark'!I261</f>
        <v>629.23033593336606</v>
      </c>
      <c r="J261" s="254">
        <f>'Resultater - Vestdanmark'!J261+'Resultater - Østdanmark'!J261</f>
        <v>0</v>
      </c>
    </row>
    <row r="262" spans="1:10" x14ac:dyDescent="0.25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2">
        <f>'Resultater - Vestdanmark'!H262+'Resultater - Østdanmark'!H262</f>
        <v>-1279.4646982456652</v>
      </c>
      <c r="I262" s="253">
        <f>'Resultater - Vestdanmark'!I262+'Resultater - Østdanmark'!I262</f>
        <v>-630.99049903368632</v>
      </c>
      <c r="J262" s="254">
        <f>'Resultater - Vestdanmark'!J262+'Resultater - Østdanmark'!J262</f>
        <v>0</v>
      </c>
    </row>
    <row r="263" spans="1:10" x14ac:dyDescent="0.25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2">
        <f>'Resultater - Vestdanmark'!H263+'Resultater - Østdanmark'!H263</f>
        <v>341.86814383177432</v>
      </c>
      <c r="I263" s="253">
        <f>'Resultater - Vestdanmark'!I263+'Resultater - Østdanmark'!I263</f>
        <v>156.07382269273288</v>
      </c>
      <c r="J263" s="254">
        <f>'Resultater - Vestdanmark'!J263+'Resultater - Østdanmark'!J263</f>
        <v>0</v>
      </c>
    </row>
    <row r="264" spans="1:10" x14ac:dyDescent="0.25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2">
        <f>'Resultater - Vestdanmark'!H264+'Resultater - Østdanmark'!H264</f>
        <v>510.210287416668</v>
      </c>
      <c r="I264" s="253">
        <f>'Resultater - Vestdanmark'!I264+'Resultater - Østdanmark'!I264</f>
        <v>268.76139284964398</v>
      </c>
      <c r="J264" s="254">
        <f>'Resultater - Vestdanmark'!J264+'Resultater - Østdanmark'!J264</f>
        <v>0</v>
      </c>
    </row>
    <row r="265" spans="1:10" x14ac:dyDescent="0.25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2">
        <f>'Resultater - Vestdanmark'!H265+'Resultater - Østdanmark'!H265</f>
        <v>-336.38693899820993</v>
      </c>
      <c r="I265" s="253">
        <f>'Resultater - Vestdanmark'!I265+'Resultater - Østdanmark'!I265</f>
        <v>-165.00808554482703</v>
      </c>
      <c r="J265" s="254">
        <f>'Resultater - Vestdanmark'!J265+'Resultater - Østdanmark'!J265</f>
        <v>0</v>
      </c>
    </row>
    <row r="266" spans="1:10" x14ac:dyDescent="0.25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2">
        <f>'Resultater - Vestdanmark'!H266+'Resultater - Østdanmark'!H266</f>
        <v>322.23661087879924</v>
      </c>
      <c r="I266" s="253">
        <f>'Resultater - Vestdanmark'!I266+'Resultater - Østdanmark'!I266</f>
        <v>146.32478786289823</v>
      </c>
      <c r="J266" s="254">
        <f>'Resultater - Vestdanmark'!J266+'Resultater - Østdanmark'!J266</f>
        <v>0</v>
      </c>
    </row>
    <row r="267" spans="1:10" x14ac:dyDescent="0.25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2">
        <f>'Resultater - Vestdanmark'!H267+'Resultater - Østdanmark'!H267</f>
        <v>36988.210710055057</v>
      </c>
      <c r="I267" s="253">
        <f>'Resultater - Vestdanmark'!I267+'Resultater - Østdanmark'!I267</f>
        <v>913047.55734248215</v>
      </c>
      <c r="J267" s="254">
        <f>'Resultater - Vestdanmark'!J267+'Resultater - Østdanmark'!J267</f>
        <v>0</v>
      </c>
    </row>
    <row r="268" spans="1:10" x14ac:dyDescent="0.25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2">
        <f>'Resultater - Vestdanmark'!H268+'Resultater - Østdanmark'!H268</f>
        <v>-609935.15894083725</v>
      </c>
      <c r="I268" s="253">
        <f>'Resultater - Vestdanmark'!I268+'Resultater - Østdanmark'!I268</f>
        <v>-14020457.100875914</v>
      </c>
      <c r="J268" s="254">
        <f>'Resultater - Vestdanmark'!J268+'Resultater - Østdanmark'!J268</f>
        <v>0</v>
      </c>
    </row>
    <row r="269" spans="1:10" x14ac:dyDescent="0.25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2">
        <f>'Resultater - Vestdanmark'!H269+'Resultater - Østdanmark'!H269</f>
        <v>8563.900760438235</v>
      </c>
      <c r="I269" s="253">
        <f>'Resultater - Vestdanmark'!I269+'Resultater - Østdanmark'!I269</f>
        <v>182233.01135132281</v>
      </c>
      <c r="J269" s="254">
        <f>'Resultater - Vestdanmark'!J269+'Resultater - Østdanmark'!J269</f>
        <v>0</v>
      </c>
    </row>
    <row r="270" spans="1:10" x14ac:dyDescent="0.25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2">
        <f>'Resultater - Vestdanmark'!H270+'Resultater - Østdanmark'!H270</f>
        <v>1136.9217413253709</v>
      </c>
      <c r="I270" s="253">
        <f>'Resultater - Vestdanmark'!I270+'Resultater - Østdanmark'!I270</f>
        <v>601.52342248976584</v>
      </c>
      <c r="J270" s="254">
        <f>'Resultater - Vestdanmark'!J270+'Resultater - Østdanmark'!J270</f>
        <v>0</v>
      </c>
    </row>
    <row r="271" spans="1:10" x14ac:dyDescent="0.25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2">
        <f>'Resultater - Vestdanmark'!H271+'Resultater - Østdanmark'!H271</f>
        <v>-15623.188435959159</v>
      </c>
      <c r="I271" s="253">
        <f>'Resultater - Vestdanmark'!I271+'Resultater - Østdanmark'!I271</f>
        <v>-7697.3293745479241</v>
      </c>
      <c r="J271" s="254">
        <f>'Resultater - Vestdanmark'!J271+'Resultater - Østdanmark'!J271</f>
        <v>0</v>
      </c>
    </row>
    <row r="272" spans="1:10" x14ac:dyDescent="0.25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2">
        <f>'Resultater - Vestdanmark'!H272+'Resultater - Østdanmark'!H272</f>
        <v>1189.7832867844982</v>
      </c>
      <c r="I272" s="253">
        <f>'Resultater - Vestdanmark'!I272+'Resultater - Østdanmark'!I272</f>
        <v>542.64422458366892</v>
      </c>
      <c r="J272" s="254">
        <f>'Resultater - Vestdanmark'!J272+'Resultater - Østdanmark'!J272</f>
        <v>0</v>
      </c>
    </row>
    <row r="273" spans="1:10" x14ac:dyDescent="0.25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2">
        <f>'Resultater - Vestdanmark'!H273+'Resultater - Østdanmark'!H273</f>
        <v>769.15923740920027</v>
      </c>
      <c r="I273" s="253">
        <f>'Resultater - Vestdanmark'!I273+'Resultater - Østdanmark'!I273</f>
        <v>398.43074111355554</v>
      </c>
      <c r="J273" s="254">
        <f>'Resultater - Vestdanmark'!J273+'Resultater - Østdanmark'!J273</f>
        <v>0</v>
      </c>
    </row>
    <row r="274" spans="1:10" x14ac:dyDescent="0.25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2">
        <f>'Resultater - Vestdanmark'!H274+'Resultater - Østdanmark'!H274</f>
        <v>-9059.5905466336899</v>
      </c>
      <c r="I274" s="253">
        <f>'Resultater - Vestdanmark'!I274+'Resultater - Østdanmark'!I274</f>
        <v>-4370.1221635877118</v>
      </c>
      <c r="J274" s="254">
        <f>'Resultater - Vestdanmark'!J274+'Resultater - Østdanmark'!J274</f>
        <v>0</v>
      </c>
    </row>
    <row r="275" spans="1:10" x14ac:dyDescent="0.25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2">
        <f>'Resultater - Vestdanmark'!H275+'Resultater - Østdanmark'!H275</f>
        <v>1844.3834346765289</v>
      </c>
      <c r="I275" s="253">
        <f>'Resultater - Vestdanmark'!I275+'Resultater - Østdanmark'!I275</f>
        <v>823.5939390185215</v>
      </c>
      <c r="J275" s="254">
        <f>'Resultater - Vestdanmark'!J275+'Resultater - Østdanmark'!J275</f>
        <v>0</v>
      </c>
    </row>
    <row r="276" spans="1:10" x14ac:dyDescent="0.25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2">
        <f>'Resultater - Vestdanmark'!H276+'Resultater - Østdanmark'!H276</f>
        <v>2695.7401202602077</v>
      </c>
      <c r="I276" s="253">
        <f>'Resultater - Vestdanmark'!I276+'Resultater - Østdanmark'!I276</f>
        <v>66543.876678106244</v>
      </c>
      <c r="J276" s="254">
        <f>'Resultater - Vestdanmark'!J276+'Resultater - Østdanmark'!J276</f>
        <v>1609127.400187155</v>
      </c>
    </row>
    <row r="277" spans="1:10" x14ac:dyDescent="0.25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2">
        <f>'Resultater - Vestdanmark'!H277+'Resultater - Østdanmark'!H277</f>
        <v>-44452.722831145948</v>
      </c>
      <c r="I277" s="253">
        <f>'Resultater - Vestdanmark'!I277+'Resultater - Østdanmark'!I277</f>
        <v>-1021825.8192452607</v>
      </c>
      <c r="J277" s="254">
        <f>'Resultater - Vestdanmark'!J277+'Resultater - Østdanmark'!J277</f>
        <v>-21706190.966753509</v>
      </c>
    </row>
    <row r="278" spans="1:10" x14ac:dyDescent="0.25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2">
        <f>'Resultater - Vestdanmark'!H278+'Resultater - Østdanmark'!H278</f>
        <v>1094.9933194057135</v>
      </c>
      <c r="I278" s="253">
        <f>'Resultater - Vestdanmark'!I278+'Resultater - Østdanmark'!I278</f>
        <v>23300.588783874802</v>
      </c>
      <c r="J278" s="254">
        <f>'Resultater - Vestdanmark'!J278+'Resultater - Østdanmark'!J278</f>
        <v>422746.95994060417</v>
      </c>
    </row>
    <row r="279" spans="1:10" x14ac:dyDescent="0.25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2">
        <f>'Resultater - Vestdanmark'!H279+'Resultater - Østdanmark'!H279</f>
        <v>82.860065216772895</v>
      </c>
      <c r="I279" s="253">
        <f>'Resultater - Vestdanmark'!I279+'Resultater - Østdanmark'!I279</f>
        <v>43.83966653572358</v>
      </c>
      <c r="J279" s="254">
        <f>'Resultater - Vestdanmark'!J279+'Resultater - Østdanmark'!J279</f>
        <v>0</v>
      </c>
    </row>
    <row r="280" spans="1:10" x14ac:dyDescent="0.25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2">
        <f>'Resultater - Vestdanmark'!H280+'Resultater - Østdanmark'!H280</f>
        <v>-1138.6345828767378</v>
      </c>
      <c r="I280" s="253">
        <f>'Resultater - Vestdanmark'!I280+'Resultater - Østdanmark'!I280</f>
        <v>-560.98954816934338</v>
      </c>
      <c r="J280" s="254">
        <f>'Resultater - Vestdanmark'!J280+'Resultater - Østdanmark'!J280</f>
        <v>0</v>
      </c>
    </row>
    <row r="281" spans="1:10" x14ac:dyDescent="0.25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2">
        <f>'Resultater - Vestdanmark'!H281+'Resultater - Østdanmark'!H281</f>
        <v>152.12749271780797</v>
      </c>
      <c r="I281" s="253">
        <f>'Resultater - Vestdanmark'!I281+'Resultater - Østdanmark'!I281</f>
        <v>69.383312272619662</v>
      </c>
      <c r="J281" s="254">
        <f>'Resultater - Vestdanmark'!J281+'Resultater - Østdanmark'!J281</f>
        <v>0</v>
      </c>
    </row>
    <row r="282" spans="1:10" x14ac:dyDescent="0.25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2">
        <f>'Resultater - Vestdanmark'!H282+'Resultater - Østdanmark'!H282</f>
        <v>56.05714294768709</v>
      </c>
      <c r="I282" s="253">
        <f>'Resultater - Vestdanmark'!I282+'Resultater - Østdanmark'!I282</f>
        <v>29.03805600071486</v>
      </c>
      <c r="J282" s="254">
        <f>'Resultater - Vestdanmark'!J282+'Resultater - Østdanmark'!J282</f>
        <v>0</v>
      </c>
    </row>
    <row r="283" spans="1:10" x14ac:dyDescent="0.25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2">
        <f>'Resultater - Vestdanmark'!H283+'Resultater - Østdanmark'!H283</f>
        <v>-660.27259066769261</v>
      </c>
      <c r="I283" s="253">
        <f>'Resultater - Vestdanmark'!I283+'Resultater - Østdanmark'!I283</f>
        <v>-318.49914934163633</v>
      </c>
      <c r="J283" s="254">
        <f>'Resultater - Vestdanmark'!J283+'Resultater - Østdanmark'!J283</f>
        <v>0</v>
      </c>
    </row>
    <row r="284" spans="1:10" x14ac:dyDescent="0.25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2">
        <f>'Resultater - Vestdanmark'!H284+'Resultater - Østdanmark'!H284</f>
        <v>235.82565887767433</v>
      </c>
      <c r="I284" s="253">
        <f>'Resultater - Vestdanmark'!I284+'Resultater - Østdanmark'!I284</f>
        <v>105.30596819785764</v>
      </c>
      <c r="J284" s="254">
        <f>'Resultater - Vestdanmark'!J284+'Resultater - Østdanmark'!J284</f>
        <v>0</v>
      </c>
    </row>
    <row r="285" spans="1:10" x14ac:dyDescent="0.25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2">
        <f>'Resultater - Vestdanmark'!H285+'Resultater - Østdanmark'!H285</f>
        <v>1770707.1441729828</v>
      </c>
      <c r="I285" s="253">
        <f>'Resultater - Vestdanmark'!I285+'Resultater - Østdanmark'!I285</f>
        <v>1138017.5457498883</v>
      </c>
      <c r="J285" s="254">
        <f>'Resultater - Vestdanmark'!J285+'Resultater - Østdanmark'!J285</f>
        <v>0</v>
      </c>
    </row>
    <row r="286" spans="1:10" x14ac:dyDescent="0.25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2">
        <f>'Resultater - Vestdanmark'!H286+'Resultater - Østdanmark'!H286</f>
        <v>-8443698.8320951127</v>
      </c>
      <c r="I286" s="253">
        <f>'Resultater - Vestdanmark'!I286+'Resultater - Østdanmark'!I286</f>
        <v>-5053396.5741369175</v>
      </c>
      <c r="J286" s="254">
        <f>'Resultater - Vestdanmark'!J286+'Resultater - Østdanmark'!J286</f>
        <v>0</v>
      </c>
    </row>
    <row r="287" spans="1:10" x14ac:dyDescent="0.25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2">
        <f>'Resultater - Vestdanmark'!H287+'Resultater - Østdanmark'!H287</f>
        <v>135120.63677615169</v>
      </c>
      <c r="I287" s="253">
        <f>'Resultater - Vestdanmark'!I287+'Resultater - Østdanmark'!I287</f>
        <v>74859.901545814209</v>
      </c>
      <c r="J287" s="254">
        <f>'Resultater - Vestdanmark'!J287+'Resultater - Østdanmark'!J287</f>
        <v>0</v>
      </c>
    </row>
    <row r="288" spans="1:10" x14ac:dyDescent="0.25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2">
        <f>'Resultater - Vestdanmark'!H288+'Resultater - Østdanmark'!H288</f>
        <v>59290.041004910265</v>
      </c>
      <c r="I288" s="253">
        <f>'Resultater - Vestdanmark'!I288+'Resultater - Østdanmark'!I288</f>
        <v>31360.849767834356</v>
      </c>
      <c r="J288" s="254">
        <f>'Resultater - Vestdanmark'!J288+'Resultater - Østdanmark'!J288</f>
        <v>0</v>
      </c>
    </row>
    <row r="289" spans="1:10" x14ac:dyDescent="0.25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2">
        <f>'Resultater - Vestdanmark'!H289+'Resultater - Østdanmark'!H289</f>
        <v>-207278.07918935828</v>
      </c>
      <c r="I289" s="253">
        <f>'Resultater - Vestdanmark'!I289+'Resultater - Østdanmark'!I289</f>
        <v>-102095.79971356656</v>
      </c>
      <c r="J289" s="254">
        <f>'Resultater - Vestdanmark'!J289+'Resultater - Østdanmark'!J289</f>
        <v>0</v>
      </c>
    </row>
    <row r="290" spans="1:10" x14ac:dyDescent="0.25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2">
        <f>'Resultater - Vestdanmark'!H290+'Resultater - Østdanmark'!H290</f>
        <v>26517.821531805323</v>
      </c>
      <c r="I290" s="253">
        <f>'Resultater - Vestdanmark'!I290+'Resultater - Østdanmark'!I290</f>
        <v>12091.196095399071</v>
      </c>
      <c r="J290" s="254">
        <f>'Resultater - Vestdanmark'!J290+'Resultater - Østdanmark'!J290</f>
        <v>0</v>
      </c>
    </row>
    <row r="291" spans="1:10" x14ac:dyDescent="0.25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2">
        <f>'Resultater - Vestdanmark'!H291+'Resultater - Østdanmark'!H291</f>
        <v>39797.443271560704</v>
      </c>
      <c r="I291" s="253">
        <f>'Resultater - Vestdanmark'!I291+'Resultater - Østdanmark'!I291</f>
        <v>20516.711293361266</v>
      </c>
      <c r="J291" s="254">
        <f>'Resultater - Vestdanmark'!J291+'Resultater - Østdanmark'!J291</f>
        <v>0</v>
      </c>
    </row>
    <row r="292" spans="1:10" x14ac:dyDescent="0.25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2">
        <f>'Resultater - Vestdanmark'!H292+'Resultater - Østdanmark'!H292</f>
        <v>-102957.62524429863</v>
      </c>
      <c r="I292" s="253">
        <f>'Resultater - Vestdanmark'!I292+'Resultater - Østdanmark'!I292</f>
        <v>-49426.461535523005</v>
      </c>
      <c r="J292" s="254">
        <f>'Resultater - Vestdanmark'!J292+'Resultater - Østdanmark'!J292</f>
        <v>0</v>
      </c>
    </row>
    <row r="293" spans="1:10" x14ac:dyDescent="0.25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2">
        <f>'Resultater - Vestdanmark'!H293+'Resultater - Østdanmark'!H293</f>
        <v>39069.861329482206</v>
      </c>
      <c r="I293" s="253">
        <f>'Resultater - Vestdanmark'!I293+'Resultater - Østdanmark'!I293</f>
        <v>17362.801272515095</v>
      </c>
      <c r="J293" s="254">
        <f>'Resultater - Vestdanmark'!J293+'Resultater - Østdanmark'!J293</f>
        <v>0</v>
      </c>
    </row>
    <row r="294" spans="1:10" x14ac:dyDescent="0.25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2">
        <f>'Resultater - Vestdanmark'!H294+'Resultater - Østdanmark'!H294</f>
        <v>129051.01918003485</v>
      </c>
      <c r="I294" s="253">
        <f>'Resultater - Vestdanmark'!I294+'Resultater - Østdanmark'!I294</f>
        <v>82939.928608227172</v>
      </c>
      <c r="J294" s="254">
        <f>'Resultater - Vestdanmark'!J294+'Resultater - Østdanmark'!J294</f>
        <v>0</v>
      </c>
    </row>
    <row r="295" spans="1:10" x14ac:dyDescent="0.25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2">
        <f>'Resultater - Vestdanmark'!H295+'Resultater - Østdanmark'!H295</f>
        <v>-615385.74773192033</v>
      </c>
      <c r="I295" s="253">
        <f>'Resultater - Vestdanmark'!I295+'Resultater - Østdanmark'!I295</f>
        <v>-368296.9148000211</v>
      </c>
      <c r="J295" s="254">
        <f>'Resultater - Vestdanmark'!J295+'Resultater - Østdanmark'!J295</f>
        <v>0</v>
      </c>
    </row>
    <row r="296" spans="1:10" x14ac:dyDescent="0.25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2">
        <f>'Resultater - Vestdanmark'!H296+'Resultater - Østdanmark'!H296</f>
        <v>17276.729229188404</v>
      </c>
      <c r="I296" s="253">
        <f>'Resultater - Vestdanmark'!I296+'Resultater - Østdanmark'!I296</f>
        <v>9571.7003707830609</v>
      </c>
      <c r="J296" s="254">
        <f>'Resultater - Vestdanmark'!J296+'Resultater - Østdanmark'!J296</f>
        <v>0</v>
      </c>
    </row>
    <row r="297" spans="1:10" x14ac:dyDescent="0.25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2">
        <f>'Resultater - Vestdanmark'!H297+'Resultater - Østdanmark'!H297</f>
        <v>4321.1212221563428</v>
      </c>
      <c r="I297" s="253">
        <f>'Resultater - Vestdanmark'!I297+'Resultater - Østdanmark'!I297</f>
        <v>2285.6120721087523</v>
      </c>
      <c r="J297" s="254">
        <f>'Resultater - Vestdanmark'!J297+'Resultater - Østdanmark'!J297</f>
        <v>0</v>
      </c>
    </row>
    <row r="298" spans="1:10" x14ac:dyDescent="0.25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2">
        <f>'Resultater - Vestdanmark'!H298+'Resultater - Østdanmark'!H298</f>
        <v>-15106.646777302138</v>
      </c>
      <c r="I298" s="253">
        <f>'Resultater - Vestdanmark'!I298+'Resultater - Østdanmark'!I298</f>
        <v>-7440.8504254328236</v>
      </c>
      <c r="J298" s="254">
        <f>'Resultater - Vestdanmark'!J298+'Resultater - Østdanmark'!J298</f>
        <v>0</v>
      </c>
    </row>
    <row r="299" spans="1:10" x14ac:dyDescent="0.25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2">
        <f>'Resultater - Vestdanmark'!H299+'Resultater - Østdanmark'!H299</f>
        <v>3390.6088165638589</v>
      </c>
      <c r="I299" s="253">
        <f>'Resultater - Vestdanmark'!I299+'Resultater - Østdanmark'!I299</f>
        <v>1545.9986422599457</v>
      </c>
      <c r="J299" s="254">
        <f>'Resultater - Vestdanmark'!J299+'Resultater - Østdanmark'!J299</f>
        <v>0</v>
      </c>
    </row>
    <row r="300" spans="1:10" x14ac:dyDescent="0.25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2">
        <f>'Resultater - Vestdanmark'!H300+'Resultater - Østdanmark'!H300</f>
        <v>2900.4799759551861</v>
      </c>
      <c r="I300" s="253">
        <f>'Resultater - Vestdanmark'!I300+'Resultater - Østdanmark'!I300</f>
        <v>1495.2797312327018</v>
      </c>
      <c r="J300" s="254">
        <f>'Resultater - Vestdanmark'!J300+'Resultater - Østdanmark'!J300</f>
        <v>0</v>
      </c>
    </row>
    <row r="301" spans="1:10" x14ac:dyDescent="0.25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2">
        <f>'Resultater - Vestdanmark'!H301+'Resultater - Østdanmark'!H301</f>
        <v>-7503.6611863552844</v>
      </c>
      <c r="I301" s="253">
        <f>'Resultater - Vestdanmark'!I301+'Resultater - Østdanmark'!I301</f>
        <v>-3602.2530640441732</v>
      </c>
      <c r="J301" s="254">
        <f>'Resultater - Vestdanmark'!J301+'Resultater - Østdanmark'!J301</f>
        <v>0</v>
      </c>
    </row>
    <row r="302" spans="1:10" x14ac:dyDescent="0.25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2">
        <f>'Resultater - Vestdanmark'!H302+'Resultater - Østdanmark'!H302</f>
        <v>4995.5316324451924</v>
      </c>
      <c r="I302" s="253">
        <f>'Resultater - Vestdanmark'!I302+'Resultater - Østdanmark'!I302</f>
        <v>2220.0340629122561</v>
      </c>
      <c r="J302" s="254">
        <f>'Resultater - Vestdanmark'!J302+'Resultater - Østdanmark'!J302</f>
        <v>0</v>
      </c>
    </row>
    <row r="303" spans="1:10" x14ac:dyDescent="0.25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2">
        <f>'Resultater - Vestdanmark'!H303+'Resultater - Østdanmark'!H303</f>
        <v>6824552.1371091604</v>
      </c>
      <c r="I303" s="253">
        <f>'Resultater - Vestdanmark'!I303+'Resultater - Østdanmark'!I303</f>
        <v>4422481.5345400861</v>
      </c>
      <c r="J303" s="254">
        <f>'Resultater - Vestdanmark'!J303+'Resultater - Østdanmark'!J303</f>
        <v>0</v>
      </c>
    </row>
    <row r="304" spans="1:10" x14ac:dyDescent="0.25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2">
        <f>'Resultater - Vestdanmark'!H304+'Resultater - Østdanmark'!H304</f>
        <v>-24532202.694618411</v>
      </c>
      <c r="I304" s="253">
        <f>'Resultater - Vestdanmark'!I304+'Resultater - Østdanmark'!I304</f>
        <v>-14803923.941776345</v>
      </c>
      <c r="J304" s="254">
        <f>'Resultater - Vestdanmark'!J304+'Resultater - Østdanmark'!J304</f>
        <v>0</v>
      </c>
    </row>
    <row r="305" spans="1:10" x14ac:dyDescent="0.25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2">
        <f>'Resultater - Vestdanmark'!H305+'Resultater - Østdanmark'!H305</f>
        <v>348617.06930478453</v>
      </c>
      <c r="I305" s="253">
        <f>'Resultater - Vestdanmark'!I305+'Resultater - Østdanmark'!I305</f>
        <v>194744.79984212905</v>
      </c>
      <c r="J305" s="254">
        <f>'Resultater - Vestdanmark'!J305+'Resultater - Østdanmark'!J305</f>
        <v>0</v>
      </c>
    </row>
    <row r="306" spans="1:10" x14ac:dyDescent="0.25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2">
        <f>'Resultater - Vestdanmark'!H306+'Resultater - Østdanmark'!H306</f>
        <v>263505.94367690803</v>
      </c>
      <c r="I306" s="253">
        <f>'Resultater - Vestdanmark'!I306+'Resultater - Østdanmark'!I306</f>
        <v>139351.82100190563</v>
      </c>
      <c r="J306" s="254">
        <f>'Resultater - Vestdanmark'!J306+'Resultater - Østdanmark'!J306</f>
        <v>0</v>
      </c>
    </row>
    <row r="307" spans="1:10" x14ac:dyDescent="0.25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2">
        <f>'Resultater - Vestdanmark'!H307+'Resultater - Østdanmark'!H307</f>
        <v>-641349.74683588033</v>
      </c>
      <c r="I307" s="253">
        <f>'Resultater - Vestdanmark'!I307+'Resultater - Østdanmark'!I307</f>
        <v>-315838.87844943022</v>
      </c>
      <c r="J307" s="254">
        <f>'Resultater - Vestdanmark'!J307+'Resultater - Østdanmark'!J307</f>
        <v>0</v>
      </c>
    </row>
    <row r="308" spans="1:10" x14ac:dyDescent="0.25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2">
        <f>'Resultater - Vestdanmark'!H308+'Resultater - Østdanmark'!H308</f>
        <v>78894.37795433517</v>
      </c>
      <c r="I308" s="253">
        <f>'Resultater - Vestdanmark'!I308+'Resultater - Østdanmark'!I308</f>
        <v>35966.12413006807</v>
      </c>
      <c r="J308" s="254">
        <f>'Resultater - Vestdanmark'!J308+'Resultater - Østdanmark'!J308</f>
        <v>0</v>
      </c>
    </row>
    <row r="309" spans="1:10" x14ac:dyDescent="0.25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2">
        <f>'Resultater - Vestdanmark'!H309+'Resultater - Østdanmark'!H309</f>
        <v>104547.38485235954</v>
      </c>
      <c r="I309" s="253">
        <f>'Resultater - Vestdanmark'!I309+'Resultater - Østdanmark'!I309</f>
        <v>53707.087954047223</v>
      </c>
      <c r="J309" s="254">
        <f>'Resultater - Vestdanmark'!J309+'Resultater - Østdanmark'!J309</f>
        <v>0</v>
      </c>
    </row>
    <row r="310" spans="1:10" x14ac:dyDescent="0.25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2">
        <f>'Resultater - Vestdanmark'!H310+'Resultater - Østdanmark'!H310</f>
        <v>-167775.11450454078</v>
      </c>
      <c r="I310" s="253">
        <f>'Resultater - Vestdanmark'!I310+'Resultater - Østdanmark'!I310</f>
        <v>-80259.121874181001</v>
      </c>
      <c r="J310" s="254">
        <f>'Resultater - Vestdanmark'!J310+'Resultater - Østdanmark'!J310</f>
        <v>0</v>
      </c>
    </row>
    <row r="311" spans="1:10" x14ac:dyDescent="0.25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2">
        <f>'Resultater - Vestdanmark'!H311+'Resultater - Østdanmark'!H311</f>
        <v>68706.752116598291</v>
      </c>
      <c r="I311" s="253">
        <f>'Resultater - Vestdanmark'!I311+'Resultater - Østdanmark'!I311</f>
        <v>30425.883667198927</v>
      </c>
      <c r="J311" s="254">
        <f>'Resultater - Vestdanmark'!J311+'Resultater - Østdanmark'!J311</f>
        <v>0</v>
      </c>
    </row>
    <row r="312" spans="1:10" x14ac:dyDescent="0.25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2">
        <f>'Resultater - Vestdanmark'!H312+'Resultater - Østdanmark'!H312</f>
        <v>724255.98356433213</v>
      </c>
      <c r="I312" s="253">
        <f>'Resultater - Vestdanmark'!I312+'Resultater - Østdanmark'!I312</f>
        <v>469336.104295659</v>
      </c>
      <c r="J312" s="254">
        <f>'Resultater - Vestdanmark'!J312+'Resultater - Østdanmark'!J312</f>
        <v>0</v>
      </c>
    </row>
    <row r="313" spans="1:10" x14ac:dyDescent="0.25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2">
        <f>'Resultater - Vestdanmark'!H313+'Resultater - Østdanmark'!H313</f>
        <v>-2603481.405758102</v>
      </c>
      <c r="I313" s="253">
        <f>'Resultater - Vestdanmark'!I313+'Resultater - Østdanmark'!I313</f>
        <v>-1571067.2700061603</v>
      </c>
      <c r="J313" s="254">
        <f>'Resultater - Vestdanmark'!J313+'Resultater - Østdanmark'!J313</f>
        <v>0</v>
      </c>
    </row>
    <row r="314" spans="1:10" x14ac:dyDescent="0.25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2">
        <f>'Resultater - Vestdanmark'!H314+'Resultater - Østdanmark'!H314</f>
        <v>44574.706386485894</v>
      </c>
      <c r="I314" s="253">
        <f>'Resultater - Vestdanmark'!I314+'Resultater - Østdanmark'!I314</f>
        <v>24900.365006707761</v>
      </c>
      <c r="J314" s="254">
        <f>'Resultater - Vestdanmark'!J314+'Resultater - Østdanmark'!J314</f>
        <v>0</v>
      </c>
    </row>
    <row r="315" spans="1:10" x14ac:dyDescent="0.25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2">
        <f>'Resultater - Vestdanmark'!H315+'Resultater - Østdanmark'!H315</f>
        <v>27964.583254485577</v>
      </c>
      <c r="I315" s="253">
        <f>'Resultater - Vestdanmark'!I315+'Resultater - Østdanmark'!I315</f>
        <v>14788.719926750789</v>
      </c>
      <c r="J315" s="254">
        <f>'Resultater - Vestdanmark'!J315+'Resultater - Østdanmark'!J315</f>
        <v>0</v>
      </c>
    </row>
    <row r="316" spans="1:10" x14ac:dyDescent="0.25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2">
        <f>'Resultater - Vestdanmark'!H316+'Resultater - Østdanmark'!H316</f>
        <v>-68063.278347246393</v>
      </c>
      <c r="I316" s="253">
        <f>'Resultater - Vestdanmark'!I316+'Resultater - Østdanmark'!I316</f>
        <v>-33518.418932636952</v>
      </c>
      <c r="J316" s="254">
        <f>'Resultater - Vestdanmark'!J316+'Resultater - Østdanmark'!J316</f>
        <v>0</v>
      </c>
    </row>
    <row r="317" spans="1:10" x14ac:dyDescent="0.25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2">
        <f>'Resultater - Vestdanmark'!H317+'Resultater - Østdanmark'!H317</f>
        <v>10087.55463371877</v>
      </c>
      <c r="I317" s="253">
        <f>'Resultater - Vestdanmark'!I317+'Resultater - Østdanmark'!I317</f>
        <v>4598.6830941891794</v>
      </c>
      <c r="J317" s="254">
        <f>'Resultater - Vestdanmark'!J317+'Resultater - Østdanmark'!J317</f>
        <v>0</v>
      </c>
    </row>
    <row r="318" spans="1:10" x14ac:dyDescent="0.25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2">
        <f>'Resultater - Vestdanmark'!H318+'Resultater - Østdanmark'!H318</f>
        <v>11095.097161555068</v>
      </c>
      <c r="I318" s="253">
        <f>'Resultater - Vestdanmark'!I318+'Resultater - Østdanmark'!I318</f>
        <v>5699.6677626689507</v>
      </c>
      <c r="J318" s="254">
        <f>'Resultater - Vestdanmark'!J318+'Resultater - Østdanmark'!J318</f>
        <v>0</v>
      </c>
    </row>
    <row r="319" spans="1:10" x14ac:dyDescent="0.25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2">
        <f>'Resultater - Vestdanmark'!H319+'Resultater - Østdanmark'!H319</f>
        <v>-17805.143565739752</v>
      </c>
      <c r="I319" s="253">
        <f>'Resultater - Vestdanmark'!I319+'Resultater - Østdanmark'!I319</f>
        <v>-8517.5038720734756</v>
      </c>
      <c r="J319" s="254">
        <f>'Resultater - Vestdanmark'!J319+'Resultater - Østdanmark'!J319</f>
        <v>0</v>
      </c>
    </row>
    <row r="320" spans="1:10" x14ac:dyDescent="0.25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2">
        <f>'Resultater - Vestdanmark'!H320+'Resultater - Østdanmark'!H320</f>
        <v>8784.9493671490909</v>
      </c>
      <c r="I320" s="253">
        <f>'Resultater - Vestdanmark'!I320+'Resultater - Østdanmark'!I320</f>
        <v>3890.2995591104182</v>
      </c>
      <c r="J320" s="254">
        <f>'Resultater - Vestdanmark'!J320+'Resultater - Østdanmark'!J320</f>
        <v>0</v>
      </c>
    </row>
    <row r="321" spans="1:10" x14ac:dyDescent="0.25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2">
        <f>'Resultater - Vestdanmark'!H321+'Resultater - Østdanmark'!H321</f>
        <v>613620.0150142312</v>
      </c>
      <c r="I321" s="253">
        <f>'Resultater - Vestdanmark'!I321+'Resultater - Østdanmark'!I321</f>
        <v>888248.20011897793</v>
      </c>
      <c r="J321" s="254">
        <f>'Resultater - Vestdanmark'!J321+'Resultater - Østdanmark'!J321</f>
        <v>0</v>
      </c>
    </row>
    <row r="322" spans="1:10" x14ac:dyDescent="0.25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2">
        <f>'Resultater - Vestdanmark'!H322+'Resultater - Østdanmark'!H322</f>
        <v>327737.51811917598</v>
      </c>
      <c r="I322" s="253">
        <f>'Resultater - Vestdanmark'!I322+'Resultater - Østdanmark'!I322</f>
        <v>474417.80492454662</v>
      </c>
      <c r="J322" s="254">
        <f>'Resultater - Vestdanmark'!J322+'Resultater - Østdanmark'!J322</f>
        <v>0</v>
      </c>
    </row>
    <row r="323" spans="1:10" x14ac:dyDescent="0.25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2">
        <f>'Resultater - Vestdanmark'!H323+'Resultater - Østdanmark'!H323</f>
        <v>-24405341.506247833</v>
      </c>
      <c r="I323" s="253">
        <f>'Resultater - Vestdanmark'!I323+'Resultater - Østdanmark'!I323</f>
        <v>-32897897.025108565</v>
      </c>
      <c r="J323" s="254">
        <f>'Resultater - Vestdanmark'!J323+'Resultater - Østdanmark'!J323</f>
        <v>0</v>
      </c>
    </row>
    <row r="324" spans="1:10" x14ac:dyDescent="0.25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2">
        <f>'Resultater - Vestdanmark'!H324+'Resultater - Østdanmark'!H324</f>
        <v>317087.35725322756</v>
      </c>
      <c r="I324" s="253">
        <f>'Resultater - Vestdanmark'!I324+'Resultater - Østdanmark'!I324</f>
        <v>395675.44136180991</v>
      </c>
      <c r="J324" s="254">
        <f>'Resultater - Vestdanmark'!J324+'Resultater - Østdanmark'!J324</f>
        <v>0</v>
      </c>
    </row>
    <row r="325" spans="1:10" x14ac:dyDescent="0.25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2">
        <f>'Resultater - Vestdanmark'!H325+'Resultater - Østdanmark'!H325</f>
        <v>13566.838006498305</v>
      </c>
      <c r="I325" s="253">
        <f>'Resultater - Vestdanmark'!I325+'Resultater - Østdanmark'!I325</f>
        <v>7176.8982294202988</v>
      </c>
      <c r="J325" s="254">
        <f>'Resultater - Vestdanmark'!J325+'Resultater - Østdanmark'!J325</f>
        <v>0</v>
      </c>
    </row>
    <row r="326" spans="1:10" x14ac:dyDescent="0.25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2">
        <f>'Resultater - Vestdanmark'!H326+'Resultater - Østdanmark'!H326</f>
        <v>7246.116013460778</v>
      </c>
      <c r="I326" s="253">
        <f>'Resultater - Vestdanmark'!I326+'Resultater - Østdanmark'!I326</f>
        <v>3833.2172288245283</v>
      </c>
      <c r="J326" s="254">
        <f>'Resultater - Vestdanmark'!J326+'Resultater - Østdanmark'!J326</f>
        <v>0</v>
      </c>
    </row>
    <row r="327" spans="1:10" x14ac:dyDescent="0.25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2">
        <f>'Resultater - Vestdanmark'!H327+'Resultater - Østdanmark'!H327</f>
        <v>-372574.14979966939</v>
      </c>
      <c r="I327" s="253">
        <f>'Resultater - Vestdanmark'!I327+'Resultater - Østdanmark'!I327</f>
        <v>-183535.16901250655</v>
      </c>
      <c r="J327" s="254">
        <f>'Resultater - Vestdanmark'!J327+'Resultater - Østdanmark'!J327</f>
        <v>0</v>
      </c>
    </row>
    <row r="328" spans="1:10" x14ac:dyDescent="0.25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2">
        <f>'Resultater - Vestdanmark'!H328+'Resultater - Østdanmark'!H328</f>
        <v>41090.289191876247</v>
      </c>
      <c r="I328" s="253">
        <f>'Resultater - Vestdanmark'!I328+'Resultater - Østdanmark'!I328</f>
        <v>18737.976768728906</v>
      </c>
      <c r="J328" s="254">
        <f>'Resultater - Vestdanmark'!J328+'Resultater - Østdanmark'!J328</f>
        <v>0</v>
      </c>
    </row>
    <row r="329" spans="1:10" x14ac:dyDescent="0.25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2">
        <f>'Resultater - Vestdanmark'!H329+'Resultater - Østdanmark'!H329</f>
        <v>6570.1536799285823</v>
      </c>
      <c r="I329" s="253">
        <f>'Resultater - Vestdanmark'!I329+'Resultater - Østdanmark'!I329</f>
        <v>3394.4524397330374</v>
      </c>
      <c r="J329" s="254">
        <f>'Resultater - Vestdanmark'!J329+'Resultater - Østdanmark'!J329</f>
        <v>0</v>
      </c>
    </row>
    <row r="330" spans="1:10" x14ac:dyDescent="0.25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2">
        <f>'Resultater - Vestdanmark'!H330+'Resultater - Østdanmark'!H330</f>
        <v>3509.1519312182554</v>
      </c>
      <c r="I330" s="253">
        <f>'Resultater - Vestdanmark'!I330+'Resultater - Østdanmark'!I330</f>
        <v>1812.9940203236138</v>
      </c>
      <c r="J330" s="254">
        <f>'Resultater - Vestdanmark'!J330+'Resultater - Østdanmark'!J330</f>
        <v>0</v>
      </c>
    </row>
    <row r="331" spans="1:10" x14ac:dyDescent="0.25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2">
        <f>'Resultater - Vestdanmark'!H331+'Resultater - Østdanmark'!H331</f>
        <v>-122657.08980386153</v>
      </c>
      <c r="I331" s="253">
        <f>'Resultater - Vestdanmark'!I331+'Resultater - Østdanmark'!I331</f>
        <v>-59011.3139523387</v>
      </c>
      <c r="J331" s="254">
        <f>'Resultater - Vestdanmark'!J331+'Resultater - Østdanmark'!J331</f>
        <v>0</v>
      </c>
    </row>
    <row r="332" spans="1:10" x14ac:dyDescent="0.25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2">
        <f>'Resultater - Vestdanmark'!H332+'Resultater - Østdanmark'!H332</f>
        <v>43678.396988286549</v>
      </c>
      <c r="I332" s="253">
        <f>'Resultater - Vestdanmark'!I332+'Resultater - Østdanmark'!I332</f>
        <v>19452.98451614389</v>
      </c>
      <c r="J332" s="254">
        <f>'Resultater - Vestdanmark'!J332+'Resultater - Østdanmark'!J332</f>
        <v>0</v>
      </c>
    </row>
    <row r="333" spans="1:10" x14ac:dyDescent="0.25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2">
        <f>'Resultater - Vestdanmark'!H333+'Resultater - Østdanmark'!H333</f>
        <v>43152.111373008069</v>
      </c>
      <c r="I333" s="253">
        <f>'Resultater - Vestdanmark'!I333+'Resultater - Østdanmark'!I333</f>
        <v>62465.017959883771</v>
      </c>
      <c r="J333" s="254">
        <f>'Resultater - Vestdanmark'!J333+'Resultater - Østdanmark'!J333</f>
        <v>865274.96481497539</v>
      </c>
    </row>
    <row r="334" spans="1:10" x14ac:dyDescent="0.25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2">
        <f>'Resultater - Vestdanmark'!H334+'Resultater - Østdanmark'!H334</f>
        <v>23047.758444880474</v>
      </c>
      <c r="I334" s="253">
        <f>'Resultater - Vestdanmark'!I334+'Resultater - Østdanmark'!I334</f>
        <v>33362.878417463719</v>
      </c>
      <c r="J334" s="254">
        <f>'Resultater - Vestdanmark'!J334+'Resultater - Østdanmark'!J334</f>
        <v>462147.68508250231</v>
      </c>
    </row>
    <row r="335" spans="1:10" x14ac:dyDescent="0.25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2">
        <f>'Resultater - Vestdanmark'!H335+'Resultater - Østdanmark'!H335</f>
        <v>-1716277.1568810029</v>
      </c>
      <c r="I335" s="253">
        <f>'Resultater - Vestdanmark'!I335+'Resultater - Østdanmark'!I335</f>
        <v>-2313506.2117103725</v>
      </c>
      <c r="J335" s="254">
        <f>'Resultater - Vestdanmark'!J335+'Resultater - Østdanmark'!J335</f>
        <v>-28152201.000000007</v>
      </c>
    </row>
    <row r="336" spans="1:10" x14ac:dyDescent="0.25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2">
        <f>'Resultater - Vestdanmark'!H336+'Resultater - Østdanmark'!H336</f>
        <v>40543.269658642035</v>
      </c>
      <c r="I336" s="253">
        <f>'Resultater - Vestdanmark'!I336+'Resultater - Østdanmark'!I336</f>
        <v>50591.661097427052</v>
      </c>
      <c r="J336" s="254">
        <f>'Resultater - Vestdanmark'!J336+'Resultater - Østdanmark'!J336</f>
        <v>525808.34462356928</v>
      </c>
    </row>
    <row r="337" spans="1:10" x14ac:dyDescent="0.25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2">
        <f>'Resultater - Vestdanmark'!H337+'Resultater - Østdanmark'!H337</f>
        <v>954.07204835454411</v>
      </c>
      <c r="I337" s="253">
        <f>'Resultater - Vestdanmark'!I337+'Resultater - Østdanmark'!I337</f>
        <v>504.70699151087274</v>
      </c>
      <c r="J337" s="254">
        <f>'Resultater - Vestdanmark'!J337+'Resultater - Østdanmark'!J337</f>
        <v>0</v>
      </c>
    </row>
    <row r="338" spans="1:10" x14ac:dyDescent="0.25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2">
        <f>'Resultater - Vestdanmark'!H338+'Resultater - Østdanmark'!H338</f>
        <v>509.57465138640373</v>
      </c>
      <c r="I338" s="253">
        <f>'Resultater - Vestdanmark'!I338+'Resultater - Østdanmark'!I338</f>
        <v>269.56652770091466</v>
      </c>
      <c r="J338" s="254">
        <f>'Resultater - Vestdanmark'!J338+'Resultater - Østdanmark'!J338</f>
        <v>0</v>
      </c>
    </row>
    <row r="339" spans="1:10" x14ac:dyDescent="0.25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2">
        <f>'Resultater - Vestdanmark'!H339+'Resultater - Østdanmark'!H339</f>
        <v>-26200.842237009252</v>
      </c>
      <c r="I339" s="253">
        <f>'Resultater - Vestdanmark'!I339+'Resultater - Østdanmark'!I339</f>
        <v>-12906.896548848494</v>
      </c>
      <c r="J339" s="254">
        <f>'Resultater - Vestdanmark'!J339+'Resultater - Østdanmark'!J339</f>
        <v>0</v>
      </c>
    </row>
    <row r="340" spans="1:10" x14ac:dyDescent="0.25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2">
        <f>'Resultater - Vestdanmark'!H340+'Resultater - Østdanmark'!H340</f>
        <v>5253.8665984320505</v>
      </c>
      <c r="I340" s="253">
        <f>'Resultater - Vestdanmark'!I340+'Resultater - Østdanmark'!I340</f>
        <v>2395.8660842641125</v>
      </c>
      <c r="J340" s="254">
        <f>'Resultater - Vestdanmark'!J340+'Resultater - Østdanmark'!J340</f>
        <v>0</v>
      </c>
    </row>
    <row r="341" spans="1:10" x14ac:dyDescent="0.25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2">
        <f>'Resultater - Vestdanmark'!H341+'Resultater - Østdanmark'!H341</f>
        <v>462.03838922607775</v>
      </c>
      <c r="I341" s="253">
        <f>'Resultater - Vestdanmark'!I341+'Resultater - Østdanmark'!I341</f>
        <v>238.71090600971004</v>
      </c>
      <c r="J341" s="254">
        <f>'Resultater - Vestdanmark'!J341+'Resultater - Østdanmark'!J341</f>
        <v>0</v>
      </c>
    </row>
    <row r="342" spans="1:10" x14ac:dyDescent="0.25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2">
        <f>'Resultater - Vestdanmark'!H342+'Resultater - Østdanmark'!H342</f>
        <v>246.77701387759424</v>
      </c>
      <c r="I342" s="253">
        <f>'Resultater - Vestdanmark'!I342+'Resultater - Østdanmark'!I342</f>
        <v>127.49668845431617</v>
      </c>
      <c r="J342" s="254">
        <f>'Resultater - Vestdanmark'!J342+'Resultater - Østdanmark'!J342</f>
        <v>0</v>
      </c>
    </row>
    <row r="343" spans="1:10" x14ac:dyDescent="0.25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2">
        <f>'Resultater - Vestdanmark'!H343+'Resultater - Østdanmark'!H343</f>
        <v>-8625.7166819803479</v>
      </c>
      <c r="I343" s="253">
        <f>'Resultater - Vestdanmark'!I343+'Resultater - Østdanmark'!I343</f>
        <v>-4149.9017790021189</v>
      </c>
      <c r="J343" s="254">
        <f>'Resultater - Vestdanmark'!J343+'Resultater - Østdanmark'!J343</f>
        <v>0</v>
      </c>
    </row>
    <row r="344" spans="1:10" x14ac:dyDescent="0.25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2">
        <f>'Resultater - Vestdanmark'!H344+'Resultater - Østdanmark'!H344</f>
        <v>5584.7859804107484</v>
      </c>
      <c r="I344" s="253">
        <f>'Resultater - Vestdanmark'!I344+'Resultater - Østdanmark'!I344</f>
        <v>2487.2880575732315</v>
      </c>
      <c r="J344" s="254">
        <f>'Resultater - Vestdanmark'!J344+'Resultater - Østdanmark'!J344</f>
        <v>0</v>
      </c>
    </row>
    <row r="345" spans="1:10" x14ac:dyDescent="0.25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2">
        <f>'Resultater - Vestdanmark'!H345+'Resultater - Østdanmark'!H345</f>
        <v>1241441.5414695307</v>
      </c>
      <c r="I345" s="253">
        <f>'Resultater - Vestdanmark'!I345+'Resultater - Østdanmark'!I345</f>
        <v>788221.93823763216</v>
      </c>
      <c r="J345" s="254">
        <f>'Resultater - Vestdanmark'!J345+'Resultater - Østdanmark'!J345</f>
        <v>0</v>
      </c>
    </row>
    <row r="346" spans="1:10" x14ac:dyDescent="0.25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2">
        <f>'Resultater - Vestdanmark'!H346+'Resultater - Østdanmark'!H346</f>
        <v>206239.95017814124</v>
      </c>
      <c r="I346" s="253">
        <f>'Resultater - Vestdanmark'!I346+'Resultater - Østdanmark'!I346</f>
        <v>130946.84513216528</v>
      </c>
      <c r="J346" s="254">
        <f>'Resultater - Vestdanmark'!J346+'Resultater - Østdanmark'!J346</f>
        <v>0</v>
      </c>
    </row>
    <row r="347" spans="1:10" x14ac:dyDescent="0.25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2">
        <f>'Resultater - Vestdanmark'!H347+'Resultater - Østdanmark'!H347</f>
        <v>-13032265.787648994</v>
      </c>
      <c r="I347" s="253">
        <f>'Resultater - Vestdanmark'!I347+'Resultater - Østdanmark'!I347</f>
        <v>-7705318.6170782726</v>
      </c>
      <c r="J347" s="254">
        <f>'Resultater - Vestdanmark'!J347+'Resultater - Østdanmark'!J347</f>
        <v>0</v>
      </c>
    </row>
    <row r="348" spans="1:10" x14ac:dyDescent="0.25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2">
        <f>'Resultater - Vestdanmark'!H348+'Resultater - Østdanmark'!H348</f>
        <v>197542.59544633992</v>
      </c>
      <c r="I348" s="253">
        <f>'Resultater - Vestdanmark'!I348+'Resultater - Østdanmark'!I348</f>
        <v>108120.57579360469</v>
      </c>
      <c r="J348" s="254">
        <f>'Resultater - Vestdanmark'!J348+'Resultater - Østdanmark'!J348</f>
        <v>0</v>
      </c>
    </row>
    <row r="349" spans="1:10" x14ac:dyDescent="0.25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2">
        <f>'Resultater - Vestdanmark'!H349+'Resultater - Østdanmark'!H349</f>
        <v>87728.525972100848</v>
      </c>
      <c r="I349" s="253">
        <f>'Resultater - Vestdanmark'!I349+'Resultater - Østdanmark'!I349</f>
        <v>46418.591270252669</v>
      </c>
      <c r="J349" s="254">
        <f>'Resultater - Vestdanmark'!J349+'Resultater - Østdanmark'!J349</f>
        <v>0</v>
      </c>
    </row>
    <row r="350" spans="1:10" x14ac:dyDescent="0.25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2">
        <f>'Resultater - Vestdanmark'!H350+'Resultater - Østdanmark'!H350</f>
        <v>14574.288213579908</v>
      </c>
      <c r="I350" s="253">
        <f>'Resultater - Vestdanmark'!I350+'Resultater - Østdanmark'!I350</f>
        <v>7711.4931562416841</v>
      </c>
      <c r="J350" s="254">
        <f>'Resultater - Vestdanmark'!J350+'Resultater - Østdanmark'!J350</f>
        <v>0</v>
      </c>
    </row>
    <row r="351" spans="1:10" x14ac:dyDescent="0.25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2">
        <f>'Resultater - Vestdanmark'!H351+'Resultater - Østdanmark'!H351</f>
        <v>-690710.01096458826</v>
      </c>
      <c r="I351" s="253">
        <f>'Resultater - Vestdanmark'!I351+'Resultater - Østdanmark'!I351</f>
        <v>-340326.13608763355</v>
      </c>
      <c r="J351" s="254">
        <f>'Resultater - Vestdanmark'!J351+'Resultater - Østdanmark'!J351</f>
        <v>0</v>
      </c>
    </row>
    <row r="352" spans="1:10" x14ac:dyDescent="0.25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2">
        <f>'Resultater - Vestdanmark'!H352+'Resultater - Østdanmark'!H352</f>
        <v>81819.432532653533</v>
      </c>
      <c r="I352" s="253">
        <f>'Resultater - Vestdanmark'!I352+'Resultater - Østdanmark'!I352</f>
        <v>37319.252543795352</v>
      </c>
      <c r="J352" s="254">
        <f>'Resultater - Vestdanmark'!J352+'Resultater - Østdanmark'!J352</f>
        <v>0</v>
      </c>
    </row>
    <row r="353" spans="1:10" x14ac:dyDescent="0.25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2">
        <f>'Resultater - Vestdanmark'!H353+'Resultater - Østdanmark'!H353</f>
        <v>76654.605084511393</v>
      </c>
      <c r="I353" s="253">
        <f>'Resultater - Vestdanmark'!I353+'Resultater - Østdanmark'!I353</f>
        <v>39755.061888899123</v>
      </c>
      <c r="J353" s="254">
        <f>'Resultater - Vestdanmark'!J353+'Resultater - Østdanmark'!J353</f>
        <v>0</v>
      </c>
    </row>
    <row r="354" spans="1:10" x14ac:dyDescent="0.25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2">
        <f>'Resultater - Vestdanmark'!H354+'Resultater - Østdanmark'!H354</f>
        <v>12734.584275986817</v>
      </c>
      <c r="I354" s="253">
        <f>'Resultater - Vestdanmark'!I354+'Resultater - Østdanmark'!I354</f>
        <v>6604.4849551191801</v>
      </c>
      <c r="J354" s="254">
        <f>'Resultater - Vestdanmark'!J354+'Resultater - Østdanmark'!J354</f>
        <v>0</v>
      </c>
    </row>
    <row r="355" spans="1:10" x14ac:dyDescent="0.25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2">
        <f>'Resultater - Vestdanmark'!H355+'Resultater - Østdanmark'!H355</f>
        <v>-459826.35229782818</v>
      </c>
      <c r="I355" s="253">
        <f>'Resultater - Vestdanmark'!I355+'Resultater - Østdanmark'!I355</f>
        <v>-222073.36257931875</v>
      </c>
      <c r="J355" s="254">
        <f>'Resultater - Vestdanmark'!J355+'Resultater - Østdanmark'!J355</f>
        <v>0</v>
      </c>
    </row>
    <row r="356" spans="1:10" x14ac:dyDescent="0.25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2">
        <f>'Resultater - Vestdanmark'!H356+'Resultater - Østdanmark'!H356</f>
        <v>156922.23534513626</v>
      </c>
      <c r="I356" s="253">
        <f>'Resultater - Vestdanmark'!I356+'Resultater - Østdanmark'!I356</f>
        <v>70155.870735108576</v>
      </c>
      <c r="J356" s="254">
        <f>'Resultater - Vestdanmark'!J356+'Resultater - Østdanmark'!J356</f>
        <v>0</v>
      </c>
    </row>
    <row r="357" spans="1:10" x14ac:dyDescent="0.25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2">
        <f>'Resultater - Vestdanmark'!H357+'Resultater - Østdanmark'!H357</f>
        <v>90477.579370643434</v>
      </c>
      <c r="I357" s="253">
        <f>'Resultater - Vestdanmark'!I357+'Resultater - Østdanmark'!I357</f>
        <v>57446.452850416499</v>
      </c>
      <c r="J357" s="254">
        <f>'Resultater - Vestdanmark'!J357+'Resultater - Østdanmark'!J357</f>
        <v>0</v>
      </c>
    </row>
    <row r="358" spans="1:10" x14ac:dyDescent="0.25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2">
        <f>'Resultater - Vestdanmark'!H358+'Resultater - Østdanmark'!H358</f>
        <v>15030.986831286333</v>
      </c>
      <c r="I358" s="253">
        <f>'Resultater - Vestdanmark'!I358+'Resultater - Østdanmark'!I358</f>
        <v>9543.5452882914706</v>
      </c>
      <c r="J358" s="254">
        <f>'Resultater - Vestdanmark'!J358+'Resultater - Østdanmark'!J358</f>
        <v>0</v>
      </c>
    </row>
    <row r="359" spans="1:10" x14ac:dyDescent="0.25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2">
        <f>'Resultater - Vestdanmark'!H359+'Resultater - Østdanmark'!H359</f>
        <v>-949805.38574983133</v>
      </c>
      <c r="I359" s="253">
        <f>'Resultater - Vestdanmark'!I359+'Resultater - Østdanmark'!I359</f>
        <v>-561571.81265865243</v>
      </c>
      <c r="J359" s="254">
        <f>'Resultater - Vestdanmark'!J359+'Resultater - Østdanmark'!J359</f>
        <v>0</v>
      </c>
    </row>
    <row r="360" spans="1:10" x14ac:dyDescent="0.25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2">
        <f>'Resultater - Vestdanmark'!H360+'Resultater - Østdanmark'!H360</f>
        <v>25258.095389318682</v>
      </c>
      <c r="I360" s="253">
        <f>'Resultater - Vestdanmark'!I360+'Resultater - Østdanmark'!I360</f>
        <v>13824.460546205331</v>
      </c>
      <c r="J360" s="254">
        <f>'Resultater - Vestdanmark'!J360+'Resultater - Østdanmark'!J360</f>
        <v>0</v>
      </c>
    </row>
    <row r="361" spans="1:10" x14ac:dyDescent="0.25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2">
        <f>'Resultater - Vestdanmark'!H361+'Resultater - Østdanmark'!H361</f>
        <v>6393.7482407061234</v>
      </c>
      <c r="I361" s="253">
        <f>'Resultater - Vestdanmark'!I361+'Resultater - Østdanmark'!I361</f>
        <v>3383.0362813187858</v>
      </c>
      <c r="J361" s="254">
        <f>'Resultater - Vestdanmark'!J361+'Resultater - Østdanmark'!J361</f>
        <v>0</v>
      </c>
    </row>
    <row r="362" spans="1:10" x14ac:dyDescent="0.25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2">
        <f>'Resultater - Vestdanmark'!H362+'Resultater - Østdanmark'!H362</f>
        <v>1062.1896195401109</v>
      </c>
      <c r="I362" s="253">
        <f>'Resultater - Vestdanmark'!I362+'Resultater - Østdanmark'!I362</f>
        <v>562.02181963729231</v>
      </c>
      <c r="J362" s="254">
        <f>'Resultater - Vestdanmark'!J362+'Resultater - Østdanmark'!J362</f>
        <v>0</v>
      </c>
    </row>
    <row r="363" spans="1:10" x14ac:dyDescent="0.25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2">
        <f>'Resultater - Vestdanmark'!H363+'Resultater - Østdanmark'!H363</f>
        <v>-50339.679921755182</v>
      </c>
      <c r="I363" s="253">
        <f>'Resultater - Vestdanmark'!I363+'Resultater - Østdanmark'!I363</f>
        <v>-24803.330612993668</v>
      </c>
      <c r="J363" s="254">
        <f>'Resultater - Vestdanmark'!J363+'Resultater - Østdanmark'!J363</f>
        <v>0</v>
      </c>
    </row>
    <row r="364" spans="1:10" x14ac:dyDescent="0.25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2">
        <f>'Resultater - Vestdanmark'!H364+'Resultater - Østdanmark'!H364</f>
        <v>10461.556541465279</v>
      </c>
      <c r="I364" s="253">
        <f>'Resultater - Vestdanmark'!I364+'Resultater - Østdanmark'!I364</f>
        <v>4771.6961421887681</v>
      </c>
      <c r="J364" s="254">
        <f>'Resultater - Vestdanmark'!J364+'Resultater - Østdanmark'!J364</f>
        <v>0</v>
      </c>
    </row>
    <row r="365" spans="1:10" x14ac:dyDescent="0.25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2">
        <f>'Resultater - Vestdanmark'!H365+'Resultater - Østdanmark'!H365</f>
        <v>5586.669113270872</v>
      </c>
      <c r="I365" s="253">
        <f>'Resultater - Vestdanmark'!I365+'Resultater - Østdanmark'!I365</f>
        <v>2897.3911757293927</v>
      </c>
      <c r="J365" s="254">
        <f>'Resultater - Vestdanmark'!J365+'Resultater - Østdanmark'!J365</f>
        <v>0</v>
      </c>
    </row>
    <row r="366" spans="1:10" x14ac:dyDescent="0.25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2">
        <f>'Resultater - Vestdanmark'!H366+'Resultater - Østdanmark'!H366</f>
        <v>928.11004070224612</v>
      </c>
      <c r="I366" s="253">
        <f>'Resultater - Vestdanmark'!I366+'Resultater - Østdanmark'!I366</f>
        <v>481.34188503283809</v>
      </c>
      <c r="J366" s="254">
        <f>'Resultater - Vestdanmark'!J366+'Resultater - Østdanmark'!J366</f>
        <v>0</v>
      </c>
    </row>
    <row r="367" spans="1:10" x14ac:dyDescent="0.25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2">
        <f>'Resultater - Vestdanmark'!H367+'Resultater - Østdanmark'!H367</f>
        <v>-33512.633416062716</v>
      </c>
      <c r="I367" s="253">
        <f>'Resultater - Vestdanmark'!I367+'Resultater - Østdanmark'!I367</f>
        <v>-16184.942760246064</v>
      </c>
      <c r="J367" s="254">
        <f>'Resultater - Vestdanmark'!J367+'Resultater - Østdanmark'!J367</f>
        <v>0</v>
      </c>
    </row>
    <row r="368" spans="1:10" x14ac:dyDescent="0.25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2">
        <f>'Resultater - Vestdanmark'!H368+'Resultater - Østdanmark'!H368</f>
        <v>20064.314636026029</v>
      </c>
      <c r="I368" s="253">
        <f>'Resultater - Vestdanmark'!I368+'Resultater - Østdanmark'!I368</f>
        <v>8970.2358680886464</v>
      </c>
      <c r="J368" s="254">
        <f>'Resultater - Vestdanmark'!J368+'Resultater - Østdanmark'!J368</f>
        <v>0</v>
      </c>
    </row>
    <row r="369" spans="1:10" x14ac:dyDescent="0.25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2">
        <f>'Resultater - Vestdanmark'!H369+'Resultater - Østdanmark'!H369</f>
        <v>804386.70310434792</v>
      </c>
      <c r="I369" s="253">
        <f>'Resultater - Vestdanmark'!I369+'Resultater - Østdanmark'!I369</f>
        <v>802949.18566601502</v>
      </c>
      <c r="J369" s="254">
        <f>'Resultater - Vestdanmark'!J369+'Resultater - Østdanmark'!J369</f>
        <v>0</v>
      </c>
    </row>
    <row r="370" spans="1:10" x14ac:dyDescent="0.25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2">
        <f>'Resultater - Vestdanmark'!H370+'Resultater - Østdanmark'!H370</f>
        <v>-1769650.7468295656</v>
      </c>
      <c r="I370" s="253">
        <f>'Resultater - Vestdanmark'!I370+'Resultater - Østdanmark'!I370</f>
        <v>-1644974.5050322893</v>
      </c>
      <c r="J370" s="254">
        <f>'Resultater - Vestdanmark'!J370+'Resultater - Østdanmark'!J370</f>
        <v>0</v>
      </c>
    </row>
    <row r="371" spans="1:10" x14ac:dyDescent="0.25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2">
        <f>'Resultater - Vestdanmark'!H371+'Resultater - Østdanmark'!H371</f>
        <v>31623.568231448324</v>
      </c>
      <c r="I371" s="253">
        <f>'Resultater - Vestdanmark'!I371+'Resultater - Østdanmark'!I371</f>
        <v>27211.933487807302</v>
      </c>
      <c r="J371" s="254">
        <f>'Resultater - Vestdanmark'!J371+'Resultater - Østdanmark'!J371</f>
        <v>0</v>
      </c>
    </row>
    <row r="372" spans="1:10" x14ac:dyDescent="0.25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2">
        <f>'Resultater - Vestdanmark'!H372+'Resultater - Østdanmark'!H372</f>
        <v>27393.452669089784</v>
      </c>
      <c r="I372" s="253">
        <f>'Resultater - Vestdanmark'!I372+'Resultater - Østdanmark'!I372</f>
        <v>14488.755483557434</v>
      </c>
      <c r="J372" s="254">
        <f>'Resultater - Vestdanmark'!J372+'Resultater - Østdanmark'!J372</f>
        <v>0</v>
      </c>
    </row>
    <row r="373" spans="1:10" x14ac:dyDescent="0.25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2">
        <f>'Resultater - Vestdanmark'!H373+'Resultater - Østdanmark'!H373</f>
        <v>-45655.75444848297</v>
      </c>
      <c r="I373" s="253">
        <f>'Resultater - Vestdanmark'!I373+'Resultater - Østdanmark'!I373</f>
        <v>-22486.831279036189</v>
      </c>
      <c r="J373" s="254">
        <f>'Resultater - Vestdanmark'!J373+'Resultater - Østdanmark'!J373</f>
        <v>0</v>
      </c>
    </row>
    <row r="374" spans="1:10" x14ac:dyDescent="0.25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2">
        <f>'Resultater - Vestdanmark'!H374+'Resultater - Østdanmark'!H374</f>
        <v>4867.6770004669015</v>
      </c>
      <c r="I374" s="253">
        <f>'Resultater - Vestdanmark'!I374+'Resultater - Østdanmark'!I374</f>
        <v>2219.3786884509232</v>
      </c>
      <c r="J374" s="254">
        <f>'Resultater - Vestdanmark'!J374+'Resultater - Østdanmark'!J374</f>
        <v>0</v>
      </c>
    </row>
    <row r="375" spans="1:10" x14ac:dyDescent="0.25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2">
        <f>'Resultater - Vestdanmark'!H375+'Resultater - Østdanmark'!H375</f>
        <v>18360.165184548681</v>
      </c>
      <c r="I375" s="253">
        <f>'Resultater - Vestdanmark'!I375+'Resultater - Østdanmark'!I375</f>
        <v>9456.5584667186758</v>
      </c>
      <c r="J375" s="254">
        <f>'Resultater - Vestdanmark'!J375+'Resultater - Østdanmark'!J375</f>
        <v>0</v>
      </c>
    </row>
    <row r="376" spans="1:10" x14ac:dyDescent="0.25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2">
        <f>'Resultater - Vestdanmark'!H376+'Resultater - Østdanmark'!H376</f>
        <v>-23605.926665848303</v>
      </c>
      <c r="I376" s="253">
        <f>'Resultater - Vestdanmark'!I376+'Resultater - Østdanmark'!I376</f>
        <v>-11322.074544526669</v>
      </c>
      <c r="J376" s="254">
        <f>'Resultater - Vestdanmark'!J376+'Resultater - Østdanmark'!J376</f>
        <v>0</v>
      </c>
    </row>
    <row r="377" spans="1:10" x14ac:dyDescent="0.25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2">
        <f>'Resultater - Vestdanmark'!H377+'Resultater - Østdanmark'!H377</f>
        <v>7475.6545232364842</v>
      </c>
      <c r="I377" s="253">
        <f>'Resultater - Vestdanmark'!I377+'Resultater - Østdanmark'!I377</f>
        <v>3319.1822593164284</v>
      </c>
      <c r="J377" s="254">
        <f>'Resultater - Vestdanmark'!J377+'Resultater - Østdanmark'!J377</f>
        <v>0</v>
      </c>
    </row>
    <row r="378" spans="1:10" x14ac:dyDescent="0.25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2">
        <f>'Resultater - Vestdanmark'!H378+'Resultater - Østdanmark'!H378</f>
        <v>58624.558099339294</v>
      </c>
      <c r="I378" s="253">
        <f>'Resultater - Vestdanmark'!I378+'Resultater - Østdanmark'!I378</f>
        <v>58519.790300148772</v>
      </c>
      <c r="J378" s="254">
        <f>'Resultater - Vestdanmark'!J378+'Resultater - Østdanmark'!J378</f>
        <v>515416.99573239626</v>
      </c>
    </row>
    <row r="379" spans="1:10" x14ac:dyDescent="0.25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2">
        <f>'Resultater - Vestdanmark'!H379+'Resultater - Østdanmark'!H379</f>
        <v>-128974.02781854646</v>
      </c>
      <c r="I379" s="253">
        <f>'Resultater - Vestdanmark'!I379+'Resultater - Østdanmark'!I379</f>
        <v>-119887.490767842</v>
      </c>
      <c r="J379" s="254">
        <f>'Resultater - Vestdanmark'!J379+'Resultater - Østdanmark'!J379</f>
        <v>-927586.15979025408</v>
      </c>
    </row>
    <row r="380" spans="1:10" x14ac:dyDescent="0.25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2">
        <f>'Resultater - Vestdanmark'!H380+'Resultater - Østdanmark'!H380</f>
        <v>4043.4373211296634</v>
      </c>
      <c r="I380" s="253">
        <f>'Resultater - Vestdanmark'!I380+'Resultater - Østdanmark'!I380</f>
        <v>3479.3590223407537</v>
      </c>
      <c r="J380" s="254">
        <f>'Resultater - Vestdanmark'!J380+'Resultater - Østdanmark'!J380</f>
        <v>22992.515303746361</v>
      </c>
    </row>
    <row r="381" spans="1:10" x14ac:dyDescent="0.25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2">
        <f>'Resultater - Vestdanmark'!H381+'Resultater - Østdanmark'!H381</f>
        <v>1996.4639536467182</v>
      </c>
      <c r="I381" s="253">
        <f>'Resultater - Vestdanmark'!I381+'Resultater - Østdanmark'!I381</f>
        <v>1055.9559032426557</v>
      </c>
      <c r="J381" s="254">
        <f>'Resultater - Vestdanmark'!J381+'Resultater - Østdanmark'!J381</f>
        <v>0</v>
      </c>
    </row>
    <row r="382" spans="1:10" x14ac:dyDescent="0.25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2">
        <f>'Resultater - Vestdanmark'!H382+'Resultater - Østdanmark'!H382</f>
        <v>-3327.4399227445301</v>
      </c>
      <c r="I382" s="253">
        <f>'Resultater - Vestdanmark'!I382+'Resultater - Østdanmark'!I382</f>
        <v>-1638.8641703055168</v>
      </c>
      <c r="J382" s="254">
        <f>'Resultater - Vestdanmark'!J382+'Resultater - Østdanmark'!J382</f>
        <v>0</v>
      </c>
    </row>
    <row r="383" spans="1:10" x14ac:dyDescent="0.25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2">
        <f>'Resultater - Vestdanmark'!H383+'Resultater - Østdanmark'!H383</f>
        <v>622.38855232406365</v>
      </c>
      <c r="I383" s="253">
        <f>'Resultater - Vestdanmark'!I383+'Resultater - Østdanmark'!I383</f>
        <v>283.77311987450162</v>
      </c>
      <c r="J383" s="254">
        <f>'Resultater - Vestdanmark'!J383+'Resultater - Østdanmark'!J383</f>
        <v>0</v>
      </c>
    </row>
    <row r="384" spans="1:10" x14ac:dyDescent="0.25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2">
        <f>'Resultater - Vestdanmark'!H384+'Resultater - Østdanmark'!H384</f>
        <v>1338.1083581082171</v>
      </c>
      <c r="I384" s="253">
        <f>'Resultater - Vestdanmark'!I384+'Resultater - Østdanmark'!I384</f>
        <v>689.20403471665907</v>
      </c>
      <c r="J384" s="254">
        <f>'Resultater - Vestdanmark'!J384+'Resultater - Østdanmark'!J384</f>
        <v>0</v>
      </c>
    </row>
    <row r="385" spans="1:10" x14ac:dyDescent="0.25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2">
        <f>'Resultater - Vestdanmark'!H385+'Resultater - Østdanmark'!H385</f>
        <v>-1720.4250318534218</v>
      </c>
      <c r="I385" s="253">
        <f>'Resultater - Vestdanmark'!I385+'Resultater - Østdanmark'!I385</f>
        <v>-825.16482977534986</v>
      </c>
      <c r="J385" s="254">
        <f>'Resultater - Vestdanmark'!J385+'Resultater - Østdanmark'!J385</f>
        <v>0</v>
      </c>
    </row>
    <row r="386" spans="1:10" x14ac:dyDescent="0.25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2">
        <f>'Resultater - Vestdanmark'!H386+'Resultater - Østdanmark'!H386</f>
        <v>955.84850760346353</v>
      </c>
      <c r="I386" s="253">
        <f>'Resultater - Vestdanmark'!I386+'Resultater - Østdanmark'!I386</f>
        <v>424.39566986008208</v>
      </c>
      <c r="J386" s="254">
        <f>'Resultater - Vestdanmark'!J386+'Resultater - Østdanmark'!J386</f>
        <v>0</v>
      </c>
    </row>
    <row r="387" spans="1:10" x14ac:dyDescent="0.25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2">
        <f>'Resultater - Vestdanmark'!H387+'Resultater - Østdanmark'!H387</f>
        <v>151198.05286083202</v>
      </c>
      <c r="I387" s="253">
        <f>'Resultater - Vestdanmark'!I387+'Resultater - Østdanmark'!I387</f>
        <v>1066562.9388888984</v>
      </c>
      <c r="J387" s="254">
        <f>'Resultater - Vestdanmark'!J387+'Resultater - Østdanmark'!J387</f>
        <v>0</v>
      </c>
    </row>
    <row r="388" spans="1:10" x14ac:dyDescent="0.25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2">
        <f>'Resultater - Vestdanmark'!H388+'Resultater - Østdanmark'!H388</f>
        <v>-743894.42007529351</v>
      </c>
      <c r="I388" s="253">
        <f>'Resultater - Vestdanmark'!I388+'Resultater - Østdanmark'!I388</f>
        <v>-4886523.8180806534</v>
      </c>
      <c r="J388" s="254">
        <f>'Resultater - Vestdanmark'!J388+'Resultater - Østdanmark'!J388</f>
        <v>0</v>
      </c>
    </row>
    <row r="389" spans="1:10" x14ac:dyDescent="0.25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2">
        <f>'Resultater - Vestdanmark'!H389+'Resultater - Østdanmark'!H389</f>
        <v>12185.575596215564</v>
      </c>
      <c r="I389" s="253">
        <f>'Resultater - Vestdanmark'!I389+'Resultater - Østdanmark'!I389</f>
        <v>74098.887646967662</v>
      </c>
      <c r="J389" s="254">
        <f>'Resultater - Vestdanmark'!J389+'Resultater - Østdanmark'!J389</f>
        <v>0</v>
      </c>
    </row>
    <row r="390" spans="1:10" x14ac:dyDescent="0.25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2">
        <f>'Resultater - Vestdanmark'!H390+'Resultater - Østdanmark'!H390</f>
        <v>22604.883417166257</v>
      </c>
      <c r="I390" s="253">
        <f>'Resultater - Vestdanmark'!I390+'Resultater - Østdanmark'!I390</f>
        <v>11956.617685699541</v>
      </c>
      <c r="J390" s="254">
        <f>'Resultater - Vestdanmark'!J390+'Resultater - Østdanmark'!J390</f>
        <v>0</v>
      </c>
    </row>
    <row r="391" spans="1:10" x14ac:dyDescent="0.25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2">
        <f>'Resultater - Vestdanmark'!H391+'Resultater - Østdanmark'!H391</f>
        <v>-92680.022010381668</v>
      </c>
      <c r="I391" s="253">
        <f>'Resultater - Vestdanmark'!I391+'Resultater - Østdanmark'!I391</f>
        <v>-45649.983836335472</v>
      </c>
      <c r="J391" s="254">
        <f>'Resultater - Vestdanmark'!J391+'Resultater - Østdanmark'!J391</f>
        <v>0</v>
      </c>
    </row>
    <row r="392" spans="1:10" x14ac:dyDescent="0.25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2">
        <f>'Resultater - Vestdanmark'!H392+'Resultater - Østdanmark'!H392</f>
        <v>8234.3839053876236</v>
      </c>
      <c r="I392" s="253">
        <f>'Resultater - Vestdanmark'!I392+'Resultater - Østdanmark'!I392</f>
        <v>3754.5901123674066</v>
      </c>
      <c r="J392" s="254">
        <f>'Resultater - Vestdanmark'!J392+'Resultater - Østdanmark'!J392</f>
        <v>0</v>
      </c>
    </row>
    <row r="393" spans="1:10" x14ac:dyDescent="0.25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2">
        <f>'Resultater - Vestdanmark'!H393+'Resultater - Østdanmark'!H393</f>
        <v>21807.878272481728</v>
      </c>
      <c r="I393" s="253">
        <f>'Resultater - Vestdanmark'!I393+'Resultater - Østdanmark'!I393</f>
        <v>11242.580066870898</v>
      </c>
      <c r="J393" s="254">
        <f>'Resultater - Vestdanmark'!J393+'Resultater - Østdanmark'!J393</f>
        <v>0</v>
      </c>
    </row>
    <row r="394" spans="1:10" x14ac:dyDescent="0.25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2">
        <f>'Resultater - Vestdanmark'!H394+'Resultater - Østdanmark'!H394</f>
        <v>-76639.115071864377</v>
      </c>
      <c r="I394" s="253">
        <f>'Resultater - Vestdanmark'!I394+'Resultater - Østdanmark'!I394</f>
        <v>-36791.838042377451</v>
      </c>
      <c r="J394" s="254">
        <f>'Resultater - Vestdanmark'!J394+'Resultater - Østdanmark'!J394</f>
        <v>0</v>
      </c>
    </row>
    <row r="395" spans="1:10" x14ac:dyDescent="0.25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2">
        <f>'Resultater - Vestdanmark'!H395+'Resultater - Østdanmark'!H395</f>
        <v>18202.871953106896</v>
      </c>
      <c r="I395" s="253">
        <f>'Resultater - Vestdanmark'!I395+'Resultater - Østdanmark'!I395</f>
        <v>8089.4284636823013</v>
      </c>
      <c r="J395" s="254">
        <f>'Resultater - Vestdanmark'!J395+'Resultater - Østdanmark'!J395</f>
        <v>0</v>
      </c>
    </row>
    <row r="396" spans="1:10" x14ac:dyDescent="0.25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2">
        <f>'Resultater - Vestdanmark'!H396+'Resultater - Østdanmark'!H396</f>
        <v>11019.474837461308</v>
      </c>
      <c r="I396" s="253">
        <f>'Resultater - Vestdanmark'!I396+'Resultater - Østdanmark'!I396</f>
        <v>77732.240893821785</v>
      </c>
      <c r="J396" s="254">
        <f>'Resultater - Vestdanmark'!J396+'Resultater - Østdanmark'!J396</f>
        <v>1753629.766003873</v>
      </c>
    </row>
    <row r="397" spans="1:10" x14ac:dyDescent="0.25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2">
        <f>'Resultater - Vestdanmark'!H397+'Resultater - Østdanmark'!H397</f>
        <v>-54215.816200309637</v>
      </c>
      <c r="I397" s="253">
        <f>'Resultater - Vestdanmark'!I397+'Resultater - Østdanmark'!I397</f>
        <v>-356135.05092924513</v>
      </c>
      <c r="J397" s="254">
        <f>'Resultater - Vestdanmark'!J397+'Resultater - Østdanmark'!J397</f>
        <v>-7057905.7627517823</v>
      </c>
    </row>
    <row r="398" spans="1:10" x14ac:dyDescent="0.25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2">
        <f>'Resultater - Vestdanmark'!H398+'Resultater - Østdanmark'!H398</f>
        <v>1558.0661481516906</v>
      </c>
      <c r="I398" s="253">
        <f>'Resultater - Vestdanmark'!I398+'Resultater - Østdanmark'!I398</f>
        <v>9474.3959812855319</v>
      </c>
      <c r="J398" s="254">
        <f>'Resultater - Vestdanmark'!J398+'Resultater - Østdanmark'!J398</f>
        <v>160368.66674922593</v>
      </c>
    </row>
    <row r="399" spans="1:10" x14ac:dyDescent="0.25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2">
        <f>'Resultater - Vestdanmark'!H399+'Resultater - Østdanmark'!H399</f>
        <v>1647.4679356385941</v>
      </c>
      <c r="I399" s="253">
        <f>'Resultater - Vestdanmark'!I399+'Resultater - Østdanmark'!I399</f>
        <v>871.41100851334022</v>
      </c>
      <c r="J399" s="254">
        <f>'Resultater - Vestdanmark'!J399+'Resultater - Østdanmark'!J399</f>
        <v>0</v>
      </c>
    </row>
    <row r="400" spans="1:10" x14ac:dyDescent="0.25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2">
        <f>'Resultater - Vestdanmark'!H400+'Resultater - Østdanmark'!H400</f>
        <v>-6754.6185361182361</v>
      </c>
      <c r="I400" s="253">
        <f>'Resultater - Vestdanmark'!I400+'Resultater - Østdanmark'!I400</f>
        <v>-3327.0193543962414</v>
      </c>
      <c r="J400" s="254">
        <f>'Resultater - Vestdanmark'!J400+'Resultater - Østdanmark'!J400</f>
        <v>0</v>
      </c>
    </row>
    <row r="401" spans="1:10" x14ac:dyDescent="0.25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2">
        <f>'Resultater - Vestdanmark'!H401+'Resultater - Østdanmark'!H401</f>
        <v>1052.8607953369108</v>
      </c>
      <c r="I401" s="253">
        <f>'Resultater - Vestdanmark'!I401+'Resultater - Østdanmark'!I401</f>
        <v>480.06757728223306</v>
      </c>
      <c r="J401" s="254">
        <f>'Resultater - Vestdanmark'!J401+'Resultater - Østdanmark'!J401</f>
        <v>0</v>
      </c>
    </row>
    <row r="402" spans="1:10" x14ac:dyDescent="0.25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2">
        <f>'Resultater - Vestdanmark'!H402+'Resultater - Østdanmark'!H402</f>
        <v>1589.3813533645339</v>
      </c>
      <c r="I402" s="253">
        <f>'Resultater - Vestdanmark'!I402+'Resultater - Østdanmark'!I402</f>
        <v>819.37118772989857</v>
      </c>
      <c r="J402" s="254">
        <f>'Resultater - Vestdanmark'!J402+'Resultater - Østdanmark'!J402</f>
        <v>0</v>
      </c>
    </row>
    <row r="403" spans="1:10" x14ac:dyDescent="0.25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2">
        <f>'Resultater - Vestdanmark'!H403+'Resultater - Østdanmark'!H403</f>
        <v>-5585.5401846810773</v>
      </c>
      <c r="I403" s="253">
        <f>'Resultater - Vestdanmark'!I403+'Resultater - Østdanmark'!I403</f>
        <v>-2681.4282714678793</v>
      </c>
      <c r="J403" s="254">
        <f>'Resultater - Vestdanmark'!J403+'Resultater - Østdanmark'!J403</f>
        <v>0</v>
      </c>
    </row>
    <row r="404" spans="1:10" x14ac:dyDescent="0.25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2">
        <f>'Resultater - Vestdanmark'!H404+'Resultater - Østdanmark'!H404</f>
        <v>2327.4467722381351</v>
      </c>
      <c r="I404" s="253">
        <f>'Resultater - Vestdanmark'!I404+'Resultater - Østdanmark'!I404</f>
        <v>1034.3265730567928</v>
      </c>
      <c r="J404" s="254">
        <f>'Resultater - Vestdanmark'!J404+'Resultater - Østdanmark'!J404</f>
        <v>0</v>
      </c>
    </row>
    <row r="405" spans="1:10" x14ac:dyDescent="0.25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2">
        <f>'Resultater - Vestdanmark'!H405+'Resultater - Østdanmark'!H405</f>
        <v>2074307.374215838</v>
      </c>
      <c r="I405" s="253">
        <f>'Resultater - Vestdanmark'!I405+'Resultater - Østdanmark'!I405</f>
        <v>1332756.6852828248</v>
      </c>
      <c r="J405" s="254">
        <f>'Resultater - Vestdanmark'!J405+'Resultater - Østdanmark'!J405</f>
        <v>0</v>
      </c>
    </row>
    <row r="406" spans="1:10" x14ac:dyDescent="0.25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2">
        <f>'Resultater - Vestdanmark'!H406+'Resultater - Østdanmark'!H406</f>
        <v>-7521056.4692379907</v>
      </c>
      <c r="I406" s="253">
        <f>'Resultater - Vestdanmark'!I406+'Resultater - Østdanmark'!I406</f>
        <v>-4499922.522532139</v>
      </c>
      <c r="J406" s="254">
        <f>'Resultater - Vestdanmark'!J406+'Resultater - Østdanmark'!J406</f>
        <v>0</v>
      </c>
    </row>
    <row r="407" spans="1:10" x14ac:dyDescent="0.25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2">
        <f>'Resultater - Vestdanmark'!H407+'Resultater - Østdanmark'!H407</f>
        <v>295681.96678242408</v>
      </c>
      <c r="I407" s="253">
        <f>'Resultater - Vestdanmark'!I407+'Resultater - Østdanmark'!I407</f>
        <v>163767.58570994349</v>
      </c>
      <c r="J407" s="254">
        <f>'Resultater - Vestdanmark'!J407+'Resultater - Østdanmark'!J407</f>
        <v>0</v>
      </c>
    </row>
    <row r="408" spans="1:10" x14ac:dyDescent="0.25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2">
        <f>'Resultater - Vestdanmark'!H408+'Resultater - Østdanmark'!H408</f>
        <v>362795.13500095531</v>
      </c>
      <c r="I408" s="253">
        <f>'Resultater - Vestdanmark'!I408+'Resultater - Østdanmark'!I408</f>
        <v>620571.22507258446</v>
      </c>
      <c r="J408" s="254">
        <f>'Resultater - Vestdanmark'!J408+'Resultater - Østdanmark'!J408</f>
        <v>0</v>
      </c>
    </row>
    <row r="409" spans="1:10" x14ac:dyDescent="0.25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2">
        <f>'Resultater - Vestdanmark'!H409+'Resultater - Østdanmark'!H409</f>
        <v>-1096190.2797950064</v>
      </c>
      <c r="I409" s="253">
        <f>'Resultater - Vestdanmark'!I409+'Resultater - Østdanmark'!I409</f>
        <v>-1746081.6762831705</v>
      </c>
      <c r="J409" s="254">
        <f>'Resultater - Vestdanmark'!J409+'Resultater - Østdanmark'!J409</f>
        <v>0</v>
      </c>
    </row>
    <row r="410" spans="1:10" x14ac:dyDescent="0.25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2">
        <f>'Resultater - Vestdanmark'!H410+'Resultater - Østdanmark'!H410</f>
        <v>233744.91463565463</v>
      </c>
      <c r="I410" s="253">
        <f>'Resultater - Vestdanmark'!I410+'Resultater - Østdanmark'!I410</f>
        <v>344665.40995042573</v>
      </c>
      <c r="J410" s="254">
        <f>'Resultater - Vestdanmark'!J410+'Resultater - Østdanmark'!J410</f>
        <v>0</v>
      </c>
    </row>
    <row r="411" spans="1:10" x14ac:dyDescent="0.25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2">
        <f>'Resultater - Vestdanmark'!H411+'Resultater - Østdanmark'!H411</f>
        <v>458081.74348965334</v>
      </c>
      <c r="I411" s="253">
        <f>'Resultater - Vestdanmark'!I411+'Resultater - Østdanmark'!I411</f>
        <v>611122.95441100502</v>
      </c>
      <c r="J411" s="254">
        <f>'Resultater - Vestdanmark'!J411+'Resultater - Østdanmark'!J411</f>
        <v>0</v>
      </c>
    </row>
    <row r="412" spans="1:10" x14ac:dyDescent="0.25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2">
        <f>'Resultater - Vestdanmark'!H412+'Resultater - Østdanmark'!H412</f>
        <v>-1186371.4479686453</v>
      </c>
      <c r="I412" s="253">
        <f>'Resultater - Vestdanmark'!I412+'Resultater - Østdanmark'!I412</f>
        <v>-1473854.893050856</v>
      </c>
      <c r="J412" s="254">
        <f>'Resultater - Vestdanmark'!J412+'Resultater - Østdanmark'!J412</f>
        <v>0</v>
      </c>
    </row>
    <row r="413" spans="1:10" x14ac:dyDescent="0.25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2">
        <f>'Resultater - Vestdanmark'!H413+'Resultater - Østdanmark'!H413</f>
        <v>676271.92832627031</v>
      </c>
      <c r="I413" s="253">
        <f>'Resultater - Vestdanmark'!I413+'Resultater - Østdanmark'!I413</f>
        <v>777736.21700228157</v>
      </c>
      <c r="J413" s="254">
        <f>'Resultater - Vestdanmark'!J413+'Resultater - Østdanmark'!J413</f>
        <v>0</v>
      </c>
    </row>
    <row r="414" spans="1:10" x14ac:dyDescent="0.25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2">
        <f>'Resultater - Vestdanmark'!H414+'Resultater - Østdanmark'!H414</f>
        <v>265224.08195726445</v>
      </c>
      <c r="I414" s="253">
        <f>'Resultater - Vestdanmark'!I414+'Resultater - Østdanmark'!I414</f>
        <v>170408.28795210342</v>
      </c>
      <c r="J414" s="254">
        <f>'Resultater - Vestdanmark'!J414+'Resultater - Østdanmark'!J414</f>
        <v>0</v>
      </c>
    </row>
    <row r="415" spans="1:10" x14ac:dyDescent="0.25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2">
        <f>'Resultater - Vestdanmark'!H415+'Resultater - Østdanmark'!H415</f>
        <v>-961653.66917064704</v>
      </c>
      <c r="I415" s="253">
        <f>'Resultater - Vestdanmark'!I415+'Resultater - Østdanmark'!I415</f>
        <v>-575366.90789068094</v>
      </c>
      <c r="J415" s="254">
        <f>'Resultater - Vestdanmark'!J415+'Resultater - Østdanmark'!J415</f>
        <v>0</v>
      </c>
    </row>
    <row r="416" spans="1:10" x14ac:dyDescent="0.25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2">
        <f>'Resultater - Vestdanmark'!H416+'Resultater - Østdanmark'!H416</f>
        <v>37806.344019209348</v>
      </c>
      <c r="I416" s="253">
        <f>'Resultater - Vestdanmark'!I416+'Resultater - Østdanmark'!I416</f>
        <v>20939.571499473364</v>
      </c>
      <c r="J416" s="254">
        <f>'Resultater - Vestdanmark'!J416+'Resultater - Østdanmark'!J416</f>
        <v>0</v>
      </c>
    </row>
    <row r="417" spans="1:10" x14ac:dyDescent="0.25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2">
        <f>'Resultater - Vestdanmark'!H417+'Resultater - Østdanmark'!H417</f>
        <v>46387.535336013323</v>
      </c>
      <c r="I417" s="253">
        <f>'Resultater - Vestdanmark'!I417+'Resultater - Østdanmark'!I417</f>
        <v>79347.176558725885</v>
      </c>
      <c r="J417" s="254">
        <f>'Resultater - Vestdanmark'!J417+'Resultater - Østdanmark'!J417</f>
        <v>176679.37560747936</v>
      </c>
    </row>
    <row r="418" spans="1:10" x14ac:dyDescent="0.25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2">
        <f>'Resultater - Vestdanmark'!H418+'Resultater - Østdanmark'!H418</f>
        <v>-140160.5491177584</v>
      </c>
      <c r="I418" s="253">
        <f>'Resultater - Vestdanmark'!I418+'Resultater - Østdanmark'!I418</f>
        <v>-223256.64719274052</v>
      </c>
      <c r="J418" s="254">
        <f>'Resultater - Vestdanmark'!J418+'Resultater - Østdanmark'!J418</f>
        <v>-436699.99999999983</v>
      </c>
    </row>
    <row r="419" spans="1:10" x14ac:dyDescent="0.25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2">
        <f>'Resultater - Vestdanmark'!H419+'Resultater - Østdanmark'!H419</f>
        <v>29886.978741449482</v>
      </c>
      <c r="I419" s="253">
        <f>'Resultater - Vestdanmark'!I419+'Resultater - Østdanmark'!I419</f>
        <v>44069.441237503896</v>
      </c>
      <c r="J419" s="254">
        <f>'Resultater - Vestdanmark'!J419+'Resultater - Østdanmark'!J419</f>
        <v>73624.640646397049</v>
      </c>
    </row>
    <row r="420" spans="1:10" x14ac:dyDescent="0.25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2">
        <f>'Resultater - Vestdanmark'!H420+'Resultater - Østdanmark'!H420</f>
        <v>58571.025388344671</v>
      </c>
      <c r="I420" s="253">
        <f>'Resultater - Vestdanmark'!I420+'Resultater - Østdanmark'!I420</f>
        <v>78139.106364573236</v>
      </c>
      <c r="J420" s="254">
        <f>'Resultater - Vestdanmark'!J420+'Resultater - Østdanmark'!J420</f>
        <v>0</v>
      </c>
    </row>
    <row r="421" spans="1:10" x14ac:dyDescent="0.25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2">
        <f>'Resultater - Vestdanmark'!H421+'Resultater - Østdanmark'!H421</f>
        <v>-151691.24984032079</v>
      </c>
      <c r="I421" s="253">
        <f>'Resultater - Vestdanmark'!I421+'Resultater - Østdanmark'!I421</f>
        <v>-188449.31846005234</v>
      </c>
      <c r="J421" s="254">
        <f>'Resultater - Vestdanmark'!J421+'Resultater - Østdanmark'!J421</f>
        <v>0</v>
      </c>
    </row>
    <row r="422" spans="1:10" x14ac:dyDescent="0.25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2">
        <f>'Resultater - Vestdanmark'!H422+'Resultater - Østdanmark'!H422</f>
        <v>86469.152823414028</v>
      </c>
      <c r="I422" s="253">
        <f>'Resultater - Vestdanmark'!I422+'Resultater - Østdanmark'!I422</f>
        <v>99442.530419256203</v>
      </c>
      <c r="J422" s="254">
        <f>'Resultater - Vestdanmark'!J422+'Resultater - Østdanmark'!J422</f>
        <v>0</v>
      </c>
    </row>
    <row r="423" spans="1:10" x14ac:dyDescent="0.25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2">
        <f ca="1">'Resultater - Vestdanmark'!H423+'Resultater - Østdanmark'!H423</f>
        <v>827707.93518034508</v>
      </c>
      <c r="I423" s="253">
        <f ca="1">'Resultater - Vestdanmark'!I423+'Resultater - Østdanmark'!I423</f>
        <v>792057.93807476689</v>
      </c>
      <c r="J423" s="254">
        <f ca="1">'Resultater - Vestdanmark'!J423+'Resultater - Østdanmark'!J423</f>
        <v>859926.76116467617</v>
      </c>
    </row>
    <row r="424" spans="1:10" x14ac:dyDescent="0.25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2">
        <f ca="1">'Resultater - Vestdanmark'!H424+'Resultater - Østdanmark'!H424</f>
        <v>896683.59644537373</v>
      </c>
      <c r="I424" s="253">
        <f ca="1">'Resultater - Vestdanmark'!I424+'Resultater - Østdanmark'!I424</f>
        <v>858062.76624766411</v>
      </c>
      <c r="J424" s="254">
        <f ca="1">'Resultater - Vestdanmark'!J424+'Resultater - Østdanmark'!J424</f>
        <v>931587.32459506579</v>
      </c>
    </row>
    <row r="425" spans="1:10" x14ac:dyDescent="0.25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2">
        <f ca="1">'Resultater - Vestdanmark'!H425+'Resultater - Østdanmark'!H425</f>
        <v>-121290.05206481964</v>
      </c>
      <c r="I425" s="253">
        <f ca="1">'Resultater - Vestdanmark'!I425+'Resultater - Østdanmark'!I425</f>
        <v>-126032.53694086988</v>
      </c>
      <c r="J425" s="254">
        <f ca="1">'Resultater - Vestdanmark'!J425+'Resultater - Østdanmark'!J425</f>
        <v>-551037.53311620932</v>
      </c>
    </row>
    <row r="426" spans="1:10" x14ac:dyDescent="0.25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2">
        <f>'Resultater - Vestdanmark'!H426+'Resultater - Østdanmark'!H426</f>
        <v>3383628.2</v>
      </c>
      <c r="I426" s="253">
        <f>'Resultater - Vestdanmark'!I426+'Resultater - Østdanmark'!I426</f>
        <v>1460315.2156438841</v>
      </c>
      <c r="J426" s="254">
        <f>'Resultater - Vestdanmark'!J426+'Resultater - Østdanmark'!J426</f>
        <v>0</v>
      </c>
    </row>
    <row r="427" spans="1:10" x14ac:dyDescent="0.25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2">
        <f>'Resultater - Vestdanmark'!H427+'Resultater - Østdanmark'!H427</f>
        <v>131725</v>
      </c>
      <c r="I427" s="253">
        <f>'Resultater - Vestdanmark'!I427+'Resultater - Østdanmark'!I427</f>
        <v>56850.224200368895</v>
      </c>
      <c r="J427" s="254">
        <f>'Resultater - Vestdanmark'!J427+'Resultater - Østdanmark'!J427</f>
        <v>0</v>
      </c>
    </row>
    <row r="428" spans="1:10" x14ac:dyDescent="0.25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2">
        <f>'Resultater - Vestdanmark'!H428+'Resultater - Østdanmark'!H428</f>
        <v>17308.665000000001</v>
      </c>
      <c r="I428" s="253">
        <f>'Resultater - Vestdanmark'!I428+'Resultater - Østdanmark'!I428</f>
        <v>7470.1194599284727</v>
      </c>
      <c r="J428" s="254">
        <f>'Resultater - Vestdanmark'!J428+'Resultater - Østdanmark'!J428</f>
        <v>0</v>
      </c>
    </row>
    <row r="429" spans="1:10" x14ac:dyDescent="0.25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2">
        <f>'Resultater - Vestdanmark'!H429+'Resultater - Østdanmark'!H429</f>
        <v>1753646.8000000003</v>
      </c>
      <c r="I429" s="253">
        <f>'Resultater - Vestdanmark'!I429+'Resultater - Østdanmark'!I429</f>
        <v>756843.52817050298</v>
      </c>
      <c r="J429" s="254">
        <f>'Resultater - Vestdanmark'!J429+'Resultater - Østdanmark'!J429</f>
        <v>0</v>
      </c>
    </row>
    <row r="430" spans="1:10" x14ac:dyDescent="0.25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2">
        <f>'Resultater - Vestdanmark'!H430+'Resultater - Østdanmark'!H430</f>
        <v>1601127.6966659406</v>
      </c>
      <c r="I430" s="253">
        <f>'Resultater - Vestdanmark'!I430+'Resultater - Østdanmark'!I430</f>
        <v>1089799.8193435918</v>
      </c>
      <c r="J430" s="254">
        <f>'Resultater - Vestdanmark'!J430+'Resultater - Østdanmark'!J430</f>
        <v>56067.802327067431</v>
      </c>
    </row>
    <row r="431" spans="1:10" x14ac:dyDescent="0.25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2">
        <f>'Resultater - Vestdanmark'!H431+'Resultater - Østdanmark'!H431</f>
        <v>22728.326432774025</v>
      </c>
      <c r="I431" s="253">
        <f>'Resultater - Vestdanmark'!I431+'Resultater - Østdanmark'!I431</f>
        <v>20878.853359014196</v>
      </c>
      <c r="J431" s="254">
        <f>'Resultater - Vestdanmark'!J431+'Resultater - Østdanmark'!J431</f>
        <v>1074.171056161608</v>
      </c>
    </row>
    <row r="432" spans="1:10" x14ac:dyDescent="0.25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2">
        <f>'Resultater - Vestdanmark'!H432+'Resultater - Østdanmark'!H432</f>
        <v>142794.72651993899</v>
      </c>
      <c r="I432" s="253">
        <f>'Resultater - Vestdanmark'!I432+'Resultater - Østdanmark'!I432</f>
        <v>97192.539663571384</v>
      </c>
      <c r="J432" s="254">
        <f>'Resultater - Vestdanmark'!J432+'Resultater - Østdanmark'!J432</f>
        <v>5000.3422691013538</v>
      </c>
    </row>
    <row r="433" spans="1:10" x14ac:dyDescent="0.25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2">
        <f>'Resultater - Vestdanmark'!H433+'Resultater - Østdanmark'!H433</f>
        <v>140895.61996077577</v>
      </c>
      <c r="I433" s="253">
        <f>'Resultater - Vestdanmark'!I433+'Resultater - Østdanmark'!I433</f>
        <v>95899.921973302218</v>
      </c>
      <c r="J433" s="254">
        <f>'Resultater - Vestdanmark'!J433+'Resultater - Østdanmark'!J433</f>
        <v>4933.8399336668199</v>
      </c>
    </row>
    <row r="434" spans="1:10" x14ac:dyDescent="0.25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2">
        <f>'Resultater - Vestdanmark'!H434+'Resultater - Østdanmark'!H434</f>
        <v>115671.91919191919</v>
      </c>
      <c r="I434" s="253">
        <f>'Resultater - Vestdanmark'!I434+'Resultater - Østdanmark'!I434</f>
        <v>94202.59631534839</v>
      </c>
      <c r="J434" s="254">
        <f>'Resultater - Vestdanmark'!J434+'Resultater - Østdanmark'!J434</f>
        <v>4193.3637747548428</v>
      </c>
    </row>
    <row r="435" spans="1:10" x14ac:dyDescent="0.25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2">
        <f>'Resultater - Vestdanmark'!H435+'Resultater - Østdanmark'!H435</f>
        <v>50006.545454545456</v>
      </c>
      <c r="I435" s="253">
        <f>'Resultater - Vestdanmark'!I435+'Resultater - Østdanmark'!I435</f>
        <v>45689.022605134538</v>
      </c>
      <c r="J435" s="254">
        <f>'Resultater - Vestdanmark'!J435+'Resultater - Østdanmark'!J435</f>
        <v>2033.8154126343388</v>
      </c>
    </row>
    <row r="436" spans="1:10" x14ac:dyDescent="0.25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2">
        <f>'Resultater - Vestdanmark'!H436+'Resultater - Østdanmark'!H436</f>
        <v>7405.2525252525256</v>
      </c>
      <c r="I436" s="253">
        <f>'Resultater - Vestdanmark'!I436+'Resultater - Østdanmark'!I436</f>
        <v>6030.7983054396473</v>
      </c>
      <c r="J436" s="254">
        <f>'Resultater - Vestdanmark'!J436+'Resultater - Østdanmark'!J436</f>
        <v>268.45683809208481</v>
      </c>
    </row>
    <row r="437" spans="1:10" x14ac:dyDescent="0.25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2">
        <f>'Resultater - Vestdanmark'!H437+'Resultater - Østdanmark'!H437</f>
        <v>76114.747474747448</v>
      </c>
      <c r="I437" s="253">
        <f>'Resultater - Vestdanmark'!I437+'Resultater - Østdanmark'!I437</f>
        <v>61987.445873632809</v>
      </c>
      <c r="J437" s="254">
        <f>'Resultater - Vestdanmark'!J437+'Resultater - Østdanmark'!J437</f>
        <v>2759.328513047757</v>
      </c>
    </row>
    <row r="438" spans="1:10" x14ac:dyDescent="0.25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2">
        <f>'Resultater - Vestdanmark'!H438+'Resultater - Østdanmark'!H438</f>
        <v>201545.30567673693</v>
      </c>
      <c r="I438" s="253">
        <f>'Resultater - Vestdanmark'!I438+'Resultater - Østdanmark'!I438</f>
        <v>158635.6599520123</v>
      </c>
      <c r="J438" s="254">
        <f>'Resultater - Vestdanmark'!J438+'Resultater - Østdanmark'!J438</f>
        <v>6505.3390543143432</v>
      </c>
    </row>
    <row r="439" spans="1:10" ht="15.75" thickBot="1" x14ac:dyDescent="0.3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5">
        <f>'Resultater - Vestdanmark'!H439+'Resultater - Østdanmark'!H439</f>
        <v>550.81037157810442</v>
      </c>
      <c r="I439" s="256">
        <f>'Resultater - Vestdanmark'!I439+'Resultater - Østdanmark'!I439</f>
        <v>585.12501616057455</v>
      </c>
      <c r="J439" s="257">
        <f>'Resultater - Vestdanmark'!J439+'Resultater - Østdanmark'!J439</f>
        <v>23.994835842314107</v>
      </c>
    </row>
    <row r="440" spans="1:10" x14ac:dyDescent="0.25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49">
        <f>'Resultater - Vestdanmark'!H440+'Resultater - Østdanmark'!H440</f>
        <v>5940049093.1121235</v>
      </c>
      <c r="I440" s="250">
        <f>'Resultater - Vestdanmark'!I440+'Resultater - Østdanmark'!I440</f>
        <v>2681620814.6918106</v>
      </c>
      <c r="J440" s="251">
        <f>'Resultater - Vestdanmark'!J440+'Resultater - Østdanmark'!J440</f>
        <v>0</v>
      </c>
    </row>
    <row r="441" spans="1:10" x14ac:dyDescent="0.25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2">
        <f>'Resultater - Vestdanmark'!H441+'Resultater - Østdanmark'!H441</f>
        <v>164945487.85478973</v>
      </c>
      <c r="I441" s="253">
        <f>'Resultater - Vestdanmark'!I441+'Resultater - Østdanmark'!I441</f>
        <v>115419575.19381282</v>
      </c>
      <c r="J441" s="254">
        <f>'Resultater - Vestdanmark'!J441+'Resultater - Østdanmark'!J441</f>
        <v>17376265.149885077</v>
      </c>
    </row>
    <row r="442" spans="1:10" x14ac:dyDescent="0.25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2">
        <f>'Resultater - Vestdanmark'!H442+'Resultater - Østdanmark'!H442</f>
        <v>0</v>
      </c>
      <c r="I442" s="253">
        <f>'Resultater - Vestdanmark'!I442+'Resultater - Østdanmark'!I442</f>
        <v>0</v>
      </c>
      <c r="J442" s="254">
        <f>'Resultater - Vestdanmark'!J442+'Resultater - Østdanmark'!J442</f>
        <v>0</v>
      </c>
    </row>
    <row r="443" spans="1:10" x14ac:dyDescent="0.25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2">
        <f>'Resultater - Vestdanmark'!H443+'Resultater - Østdanmark'!H443</f>
        <v>78449683.248009756</v>
      </c>
      <c r="I443" s="253">
        <f>'Resultater - Vestdanmark'!I443+'Resultater - Østdanmark'!I443</f>
        <v>356248262.57144749</v>
      </c>
      <c r="J443" s="254">
        <f>'Resultater - Vestdanmark'!J443+'Resultater - Østdanmark'!J443</f>
        <v>136120681.40089452</v>
      </c>
    </row>
    <row r="444" spans="1:10" x14ac:dyDescent="0.25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2">
        <f>'Resultater - Vestdanmark'!H444+'Resultater - Østdanmark'!H444</f>
        <v>143824419.28801787</v>
      </c>
      <c r="I444" s="253">
        <f>'Resultater - Vestdanmark'!I444+'Resultater - Østdanmark'!I444</f>
        <v>100640239.34582457</v>
      </c>
      <c r="J444" s="254">
        <f>'Resultater - Vestdanmark'!J444+'Resultater - Østdanmark'!J444</f>
        <v>15151255.588009546</v>
      </c>
    </row>
    <row r="445" spans="1:10" x14ac:dyDescent="0.25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2">
        <f>'Resultater - Vestdanmark'!H445+'Resultater - Østdanmark'!H445</f>
        <v>1682645129.1528244</v>
      </c>
      <c r="I445" s="253">
        <f>'Resultater - Vestdanmark'!I445+'Resultater - Østdanmark'!I445</f>
        <v>759626079.06864202</v>
      </c>
      <c r="J445" s="254">
        <f>'Resultater - Vestdanmark'!J445+'Resultater - Østdanmark'!J445</f>
        <v>0</v>
      </c>
    </row>
    <row r="446" spans="1:10" x14ac:dyDescent="0.25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2">
        <f>'Resultater - Vestdanmark'!H446+'Resultater - Østdanmark'!H446</f>
        <v>242389405.93295321</v>
      </c>
      <c r="I446" s="253">
        <f>'Resultater - Vestdanmark'!I446+'Resultater - Østdanmark'!I446</f>
        <v>212682497.92198741</v>
      </c>
      <c r="J446" s="254">
        <f>'Resultater - Vestdanmark'!J446+'Resultater - Østdanmark'!J446</f>
        <v>43808954.93362122</v>
      </c>
    </row>
    <row r="447" spans="1:10" x14ac:dyDescent="0.25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2">
        <f>'Resultater - Vestdanmark'!H447+'Resultater - Østdanmark'!H447</f>
        <v>0</v>
      </c>
      <c r="I447" s="253">
        <f>'Resultater - Vestdanmark'!I447+'Resultater - Østdanmark'!I447</f>
        <v>0</v>
      </c>
      <c r="J447" s="254">
        <f>'Resultater - Vestdanmark'!J447+'Resultater - Østdanmark'!J447</f>
        <v>0</v>
      </c>
    </row>
    <row r="448" spans="1:10" x14ac:dyDescent="0.25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2">
        <f>'Resultater - Vestdanmark'!H448+'Resultater - Østdanmark'!H448</f>
        <v>0</v>
      </c>
      <c r="I448" s="253">
        <f>'Resultater - Vestdanmark'!I448+'Resultater - Østdanmark'!I448</f>
        <v>0</v>
      </c>
      <c r="J448" s="254">
        <f>'Resultater - Vestdanmark'!J448+'Resultater - Østdanmark'!J448</f>
        <v>0</v>
      </c>
    </row>
    <row r="449" spans="1:10" x14ac:dyDescent="0.25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2">
        <f>'Resultater - Vestdanmark'!H449+'Resultater - Østdanmark'!H449</f>
        <v>2285098465.8907456</v>
      </c>
      <c r="I449" s="253">
        <f>'Resultater - Vestdanmark'!I449+'Resultater - Østdanmark'!I449</f>
        <v>1953534201.5629807</v>
      </c>
      <c r="J449" s="254">
        <f>'Resultater - Vestdanmark'!J449+'Resultater - Østdanmark'!J449</f>
        <v>391151383.33590376</v>
      </c>
    </row>
    <row r="450" spans="1:10" x14ac:dyDescent="0.25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2">
        <f>'Resultater - Vestdanmark'!H450+'Resultater - Østdanmark'!H450</f>
        <v>163939722.68494347</v>
      </c>
      <c r="I450" s="253">
        <f>'Resultater - Vestdanmark'!I450+'Resultater - Østdanmark'!I450</f>
        <v>74010191.804057777</v>
      </c>
      <c r="J450" s="254">
        <f>'Resultater - Vestdanmark'!J450+'Resultater - Østdanmark'!J450</f>
        <v>0</v>
      </c>
    </row>
    <row r="451" spans="1:10" x14ac:dyDescent="0.25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2">
        <f>'Resultater - Vestdanmark'!H451+'Resultater - Østdanmark'!H451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'Resultater - Vestdanmark'!J451+'Resultater - Østdanmark'!J451</f>
        <v>722847756.40475023</v>
      </c>
    </row>
    <row r="452" spans="1:10" x14ac:dyDescent="0.25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2">
        <f>'Resultater - Vestdanmark'!H452+'Resultater - Østdanmark'!H452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>'Resultater - Vestdanmark'!J452+'Resultater - Østdanmark'!J452</f>
        <v>224833815.1414775</v>
      </c>
    </row>
    <row r="453" spans="1:10" x14ac:dyDescent="0.25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2">
        <f>'Resultater - Vestdanmark'!H453+'Resultater - Østdanmark'!H453</f>
        <v>121697585.55139975</v>
      </c>
      <c r="I453" s="253">
        <f>'Resultater - Vestdanmark'!I453+'Resultater - Østdanmark'!I453</f>
        <v>85157125.600313097</v>
      </c>
      <c r="J453" s="254">
        <f>'Resultater - Vestdanmark'!J453+'Resultater - Østdanmark'!J453</f>
        <v>12820293.189854233</v>
      </c>
    </row>
    <row r="454" spans="1:10" x14ac:dyDescent="0.25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2">
        <f>'Resultater - Vestdanmark'!H454+'Resultater - Østdanmark'!H454</f>
        <v>4029095270.4041944</v>
      </c>
      <c r="I454" s="253">
        <f>'Resultater - Vestdanmark'!I454+'Resultater - Østdanmark'!I454</f>
        <v>1818925327.4052479</v>
      </c>
      <c r="J454" s="254">
        <f>'Resultater - Vestdanmark'!J454+'Resultater - Østdanmark'!J454</f>
        <v>0</v>
      </c>
    </row>
    <row r="455" spans="1:10" x14ac:dyDescent="0.25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2">
        <f>'Resultater - Vestdanmark'!H455+'Resultater - Østdanmark'!H455</f>
        <v>12195000.399999995</v>
      </c>
      <c r="I455" s="253">
        <f>'Resultater - Vestdanmark'!I455+'Resultater - Østdanmark'!I455</f>
        <v>0</v>
      </c>
      <c r="J455" s="254">
        <f>'Resultater - Vestdanmark'!J455+'Resultater - Østdanmark'!J455</f>
        <v>0</v>
      </c>
    </row>
    <row r="456" spans="1:10" x14ac:dyDescent="0.25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2">
        <f>'Resultater - Vestdanmark'!H456+'Resultater - Østdanmark'!H456</f>
        <v>361184.4</v>
      </c>
      <c r="I456" s="253">
        <f>'Resultater - Vestdanmark'!I456+'Resultater - Østdanmark'!I456</f>
        <v>0</v>
      </c>
      <c r="J456" s="254">
        <f>'Resultater - Vestdanmark'!J456+'Resultater - Østdanmark'!J456</f>
        <v>0</v>
      </c>
    </row>
    <row r="457" spans="1:10" x14ac:dyDescent="0.25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2">
        <f>'Resultater - Vestdanmark'!H457+'Resultater - Østdanmark'!H457</f>
        <v>4390946.2499999981</v>
      </c>
      <c r="I457" s="253">
        <f>'Resultater - Vestdanmark'!I457+'Resultater - Østdanmark'!I457</f>
        <v>0</v>
      </c>
      <c r="J457" s="254">
        <f>'Resultater - Vestdanmark'!J457+'Resultater - Østdanmark'!J457</f>
        <v>0</v>
      </c>
    </row>
    <row r="458" spans="1:10" x14ac:dyDescent="0.25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2">
        <f>'Resultater - Vestdanmark'!H458+'Resultater - Østdanmark'!H458</f>
        <v>34978432</v>
      </c>
      <c r="I458" s="253">
        <f>'Resultater - Vestdanmark'!I458+'Resultater - Østdanmark'!I458</f>
        <v>108163364.51612903</v>
      </c>
      <c r="J458" s="254">
        <f>'Resultater - Vestdanmark'!J458+'Resultater - Østdanmark'!J458</f>
        <v>0</v>
      </c>
    </row>
    <row r="459" spans="1:10" x14ac:dyDescent="0.25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58">
        <f>'Resultater - Vestdanmark'!H459+'Resultater - Østdanmark'!H459</f>
        <v>-37099.291058504961</v>
      </c>
      <c r="I459" s="259">
        <f>'Resultater - Vestdanmark'!I459+'Resultater - Østdanmark'!I459</f>
        <v>-114721.6702581476</v>
      </c>
      <c r="J459" s="260">
        <f>'Resultater - Vestdanmark'!J459+'Resultater - Østdanmark'!J459</f>
        <v>0</v>
      </c>
    </row>
    <row r="460" spans="1:10" x14ac:dyDescent="0.25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2">
        <f>'Resultater - Vestdanmark'!H460+'Resultater - Østdanmark'!H460</f>
        <v>61384486.300000004</v>
      </c>
      <c r="I460" s="253">
        <f>'Resultater - Vestdanmark'!I460+'Resultater - Østdanmark'!I460</f>
        <v>110196980.16640659</v>
      </c>
      <c r="J460" s="254">
        <f>'Resultater - Vestdanmark'!J460+'Resultater - Østdanmark'!J460</f>
        <v>9343747.5811241698</v>
      </c>
    </row>
    <row r="461" spans="1:10" x14ac:dyDescent="0.25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58">
        <f>'Resultater - Vestdanmark'!H461+'Resultater - Østdanmark'!H461</f>
        <v>-128107.91983655478</v>
      </c>
      <c r="I461" s="259">
        <f>'Resultater - Vestdanmark'!I461+'Resultater - Østdanmark'!I461</f>
        <v>-229978.39930426251</v>
      </c>
      <c r="J461" s="260">
        <f>'Resultater - Vestdanmark'!J461+'Resultater - Østdanmark'!J461</f>
        <v>-19500.172409126408</v>
      </c>
    </row>
    <row r="462" spans="1:10" x14ac:dyDescent="0.25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2">
        <f>'Resultater - Vestdanmark'!H462+'Resultater - Østdanmark'!H462</f>
        <v>58183.649999999994</v>
      </c>
      <c r="I462" s="253">
        <f>'Resultater - Vestdanmark'!I462+'Resultater - Østdanmark'!I462</f>
        <v>68694.244838709681</v>
      </c>
      <c r="J462" s="254">
        <f>'Resultater - Vestdanmark'!J462+'Resultater - Østdanmark'!J462</f>
        <v>71800.707180841913</v>
      </c>
    </row>
    <row r="463" spans="1:10" x14ac:dyDescent="0.25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2">
        <f>'Resultater - Vestdanmark'!H463+'Resultater - Østdanmark'!H463</f>
        <v>45425220.000000007</v>
      </c>
      <c r="I463" s="253">
        <f>'Resultater - Vestdanmark'!I463+'Resultater - Østdanmark'!I463</f>
        <v>90452188.389879122</v>
      </c>
      <c r="J463" s="254">
        <f>'Resultater - Vestdanmark'!J463+'Resultater - Østdanmark'!J463</f>
        <v>35513699.281061076</v>
      </c>
    </row>
    <row r="464" spans="1:10" x14ac:dyDescent="0.25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2">
        <f>'Resultater - Vestdanmark'!H464+'Resultater - Østdanmark'!H464</f>
        <v>33002600</v>
      </c>
      <c r="I464" s="253">
        <f>'Resultater - Vestdanmark'!I464+'Resultater - Østdanmark'!I464</f>
        <v>0</v>
      </c>
      <c r="J464" s="254" t="e">
        <f>'Resultater - Vestdanmark'!J464+'Resultater - Østdanmark'!J464</f>
        <v>#DIV/0!</v>
      </c>
    </row>
    <row r="465" spans="1:12" x14ac:dyDescent="0.25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2">
        <f>'Resultater - Vestdanmark'!H465+'Resultater - Østdanmark'!H465</f>
        <v>2165561.9999999995</v>
      </c>
      <c r="I465" s="253">
        <f>'Resultater - Vestdanmark'!I465+'Resultater - Østdanmark'!I465</f>
        <v>0</v>
      </c>
      <c r="J465" s="254">
        <f>'Resultater - Vestdanmark'!J465+'Resultater - Østdanmark'!J465</f>
        <v>0</v>
      </c>
    </row>
    <row r="466" spans="1:12" x14ac:dyDescent="0.25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2">
        <f ca="1">'Resultater - Vestdanmark'!H466+'Resultater - Østdanmark'!H466</f>
        <v>69194816.600000009</v>
      </c>
      <c r="I466" s="253">
        <f ca="1">'Resultater - Vestdanmark'!I466+'Resultater - Østdanmark'!I466</f>
        <v>0</v>
      </c>
      <c r="J466" s="254">
        <f ca="1">'Resultater - Vestdanmark'!J466+'Resultater - Østdanmark'!J466</f>
        <v>0</v>
      </c>
    </row>
    <row r="467" spans="1:12" x14ac:dyDescent="0.25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2">
        <f>'Resultater - Vestdanmark'!H467+'Resultater - Østdanmark'!H467</f>
        <v>102149122.13</v>
      </c>
      <c r="I467" s="253">
        <f>'Resultater - Vestdanmark'!I467+'Resultater - Østdanmark'!I467</f>
        <v>0</v>
      </c>
      <c r="J467" s="254">
        <f>'Resultater - Vestdanmark'!J467+'Resultater - Østdanmark'!J467</f>
        <v>0</v>
      </c>
    </row>
    <row r="468" spans="1:12" x14ac:dyDescent="0.25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2">
        <f>'Resultater - Vestdanmark'!H468+'Resultater - Østdanmark'!H468</f>
        <v>0</v>
      </c>
      <c r="I468" s="253">
        <f>'Resultater - Vestdanmark'!I468+'Resultater - Østdanmark'!I468</f>
        <v>0</v>
      </c>
      <c r="J468" s="254">
        <f>'Resultater - Vestdanmark'!J468+'Resultater - Østdanmark'!J468</f>
        <v>0</v>
      </c>
    </row>
    <row r="469" spans="1:12" x14ac:dyDescent="0.25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2">
        <f>'Resultater - Vestdanmark'!H469+'Resultater - Østdanmark'!H469</f>
        <v>0</v>
      </c>
      <c r="I469" s="253">
        <f>'Resultater - Vestdanmark'!I469+'Resultater - Østdanmark'!I469</f>
        <v>0</v>
      </c>
      <c r="J469" s="254">
        <f>'Resultater - Vestdanmark'!J469+'Resultater - Østdanmark'!J469</f>
        <v>0</v>
      </c>
    </row>
    <row r="470" spans="1:12" x14ac:dyDescent="0.25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2">
        <f>'Resultater - Vestdanmark'!H470+'Resultater - Østdanmark'!H470</f>
        <v>3689.3999999999996</v>
      </c>
      <c r="I470" s="253">
        <f>'Resultater - Vestdanmark'!I470+'Resultater - Østdanmark'!I470</f>
        <v>0</v>
      </c>
      <c r="J470" s="254">
        <f>'Resultater - Vestdanmark'!J470+'Resultater - Østdanmark'!J470</f>
        <v>0</v>
      </c>
    </row>
    <row r="471" spans="1:12" x14ac:dyDescent="0.25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2">
        <f>'Resultater - Vestdanmark'!H471+'Resultater - Østdanmark'!H471</f>
        <v>0</v>
      </c>
      <c r="I471" s="253">
        <f>'Resultater - Vestdanmark'!I471+'Resultater - Østdanmark'!I471</f>
        <v>92837506.650271982</v>
      </c>
      <c r="J471" s="254">
        <f>'Resultater - Vestdanmark'!J471+'Resultater - Østdanmark'!J471</f>
        <v>47266199.774060607</v>
      </c>
    </row>
    <row r="472" spans="1:12" x14ac:dyDescent="0.25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2">
        <f>'Resultater - Vestdanmark'!H472+'Resultater - Østdanmark'!H472</f>
        <v>60431253.120000005</v>
      </c>
      <c r="I472" s="253">
        <f>'Resultater - Vestdanmark'!I472+'Resultater - Østdanmark'!I472</f>
        <v>0</v>
      </c>
      <c r="J472" s="254">
        <f>'Resultater - Vestdanmark'!J472+'Resultater - Østdanmark'!J472</f>
        <v>0</v>
      </c>
    </row>
    <row r="473" spans="1:12" x14ac:dyDescent="0.25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2">
        <f>'Resultater - Vestdanmark'!H473+'Resultater - Østdanmark'!H473</f>
        <v>37096792.599999994</v>
      </c>
      <c r="I473" s="253">
        <f>'Resultater - Vestdanmark'!I473+'Resultater - Østdanmark'!I473</f>
        <v>38189284.152657539</v>
      </c>
      <c r="J473" s="254">
        <f>'Resultater - Vestdanmark'!J473+'Resultater - Østdanmark'!J473</f>
        <v>39505704.530032769</v>
      </c>
      <c r="L473" s="94"/>
    </row>
    <row r="474" spans="1:12" x14ac:dyDescent="0.25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58">
        <f ca="1">'Resultater - Vestdanmark'!H474+'Resultater - Østdanmark'!H474</f>
        <v>12034020.807749998</v>
      </c>
      <c r="I474" s="259">
        <f ca="1">'Resultater - Vestdanmark'!I474+'Resultater - Østdanmark'!I474</f>
        <v>24781263.525629494</v>
      </c>
      <c r="J474" s="260" t="e">
        <f ca="1">'Resultater - Vestdanmark'!J474+'Resultater - Østdanmark'!J474</f>
        <v>#DIV/0!</v>
      </c>
    </row>
    <row r="475" spans="1:12" x14ac:dyDescent="0.25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58">
        <f>'Resultater - Vestdanmark'!H475+'Resultater - Østdanmark'!H475</f>
        <v>78133292.533333316</v>
      </c>
      <c r="I475" s="259">
        <f>'Resultater - Vestdanmark'!I475+'Resultater - Østdanmark'!I475</f>
        <v>15924050.887096774</v>
      </c>
      <c r="J475" s="260">
        <f>'Resultater - Vestdanmark'!J475+'Resultater - Østdanmark'!J475</f>
        <v>0</v>
      </c>
    </row>
    <row r="476" spans="1:12" x14ac:dyDescent="0.25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58">
        <f>'Resultater - Vestdanmark'!H476+'Resultater - Østdanmark'!H476</f>
        <v>77571922.666666672</v>
      </c>
      <c r="I476" s="259">
        <f>'Resultater - Vestdanmark'!I476+'Resultater - Østdanmark'!I476</f>
        <v>20841036.438091081</v>
      </c>
      <c r="J476" s="260">
        <f>'Resultater - Vestdanmark'!J476+'Resultater - Østdanmark'!J476</f>
        <v>589046.34081161022</v>
      </c>
    </row>
    <row r="477" spans="1:12" x14ac:dyDescent="0.25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58">
        <f>'Resultater - Vestdanmark'!H477+'Resultater - Østdanmark'!H477</f>
        <v>31090.5</v>
      </c>
      <c r="I477" s="259">
        <f>'Resultater - Vestdanmark'!I477+'Resultater - Østdanmark'!I477</f>
        <v>12235.616129032258</v>
      </c>
      <c r="J477" s="260">
        <f>'Resultater - Vestdanmark'!J477+'Resultater - Østdanmark'!J477</f>
        <v>4262.9766774036752</v>
      </c>
    </row>
    <row r="478" spans="1:12" x14ac:dyDescent="0.25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58">
        <f>'Resultater - Vestdanmark'!H478+'Resultater - Østdanmark'!H478</f>
        <v>11532709.900000002</v>
      </c>
      <c r="I478" s="259">
        <f>'Resultater - Vestdanmark'!I478+'Resultater - Østdanmark'!I478</f>
        <v>2663314.4359242185</v>
      </c>
      <c r="J478" s="260">
        <f>'Resultater - Vestdanmark'!J478+'Resultater - Østdanmark'!J478</f>
        <v>348560.38183263643</v>
      </c>
    </row>
    <row r="479" spans="1:12" x14ac:dyDescent="0.25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58">
        <f ca="1">'Resultater - Vestdanmark'!H479+'Resultater - Østdanmark'!H479</f>
        <v>61624442.148559391</v>
      </c>
      <c r="I479" s="259">
        <f ca="1">'Resultater - Vestdanmark'!I479+'Resultater - Østdanmark'!I479</f>
        <v>149130091.47057921</v>
      </c>
      <c r="J479" s="260" t="e">
        <f ca="1">'Resultater - Vestdanmark'!J479+'Resultater - Østdanmark'!J479</f>
        <v>#DIV/0!</v>
      </c>
    </row>
    <row r="480" spans="1:12" x14ac:dyDescent="0.25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58">
        <f ca="1">'Resultater - Vestdanmark'!H480+'Resultater - Østdanmark'!H480</f>
        <v>151170766.56868804</v>
      </c>
      <c r="I480" s="259">
        <f ca="1">'Resultater - Vestdanmark'!I480+'Resultater - Østdanmark'!I480</f>
        <v>239509830.76442248</v>
      </c>
      <c r="J480" s="260" t="e">
        <f ca="1">'Resultater - Vestdanmark'!J480+'Resultater - Østdanmark'!J480</f>
        <v>#DIV/0!</v>
      </c>
    </row>
    <row r="481" spans="1:13" x14ac:dyDescent="0.25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2">
        <f>'Resultater - Vestdanmark'!H481+'Resultater - Østdanmark'!H481</f>
        <v>19.591464268115235</v>
      </c>
      <c r="I481" s="263">
        <f>'Resultater - Vestdanmark'!I481+'Resultater - Østdanmark'!I481</f>
        <v>18.234620402906174</v>
      </c>
      <c r="J481" s="264">
        <f>'Resultater - Vestdanmark'!J481+'Resultater - Østdanmark'!J481</f>
        <v>8.9168233956715746</v>
      </c>
      <c r="L481" s="152" t="s">
        <v>215</v>
      </c>
      <c r="M481" s="150">
        <v>17963.28</v>
      </c>
    </row>
    <row r="482" spans="1:13" x14ac:dyDescent="0.25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2">
        <f>'Resultater - Vestdanmark'!H482+'Resultater - Østdanmark'!H482</f>
        <v>3.9505661308495017</v>
      </c>
      <c r="I482" s="263">
        <f>'Resultater - Vestdanmark'!I482+'Resultater - Østdanmark'!I482</f>
        <v>10.774713450429996</v>
      </c>
      <c r="J482" s="264">
        <f>'Resultater - Vestdanmark'!J482+'Resultater - Østdanmark'!J482</f>
        <v>9.6910796059277224</v>
      </c>
      <c r="L482" s="152" t="s">
        <v>219</v>
      </c>
      <c r="M482" s="150">
        <v>14758.1</v>
      </c>
    </row>
    <row r="483" spans="1:13" x14ac:dyDescent="0.25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1">
        <f>'Resultater - Vestdanmark'!H483+'Resultater - Østdanmark'!H483</f>
        <v>3.8615553516557766</v>
      </c>
      <c r="I483" s="263">
        <f>'Resultater - Vestdanmark'!I483+'Resultater - Østdanmark'!I483</f>
        <v>21.513006939060219</v>
      </c>
      <c r="J483" s="264">
        <f>'Resultater - Vestdanmark'!J483+'Resultater - Østdanmark'!J483</f>
        <v>32.266787694471262</v>
      </c>
      <c r="L483" s="152" t="s">
        <v>216</v>
      </c>
      <c r="M483" s="150">
        <v>1988.19</v>
      </c>
    </row>
    <row r="484" spans="1:13" x14ac:dyDescent="0.25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1">
        <f ca="1">'Resultater - Vestdanmark'!H484+'Resultater - Østdanmark'!H484</f>
        <v>43.629875452920871</v>
      </c>
      <c r="I484" s="263">
        <f ca="1">'Resultater - Vestdanmark'!I484+'Resultater - Østdanmark'!I484</f>
        <v>41.66669115626091</v>
      </c>
      <c r="J484" s="264">
        <f ca="1">'Resultater - Vestdanmark'!J484+'Resultater - Østdanmark'!J484</f>
        <v>42.823268788341721</v>
      </c>
      <c r="L484" s="152" t="s">
        <v>217</v>
      </c>
      <c r="M484" s="150">
        <v>8944.93</v>
      </c>
    </row>
    <row r="485" spans="1:13" x14ac:dyDescent="0.25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1">
        <f>'Resultater - Vestdanmark'!H485+'Resultater - Østdanmark'!H485</f>
        <v>17.543930524502301</v>
      </c>
      <c r="I485" s="263">
        <f>'Resultater - Vestdanmark'!I485+'Resultater - Østdanmark'!I485</f>
        <v>17.545322997702911</v>
      </c>
      <c r="J485" s="264">
        <f>'Resultater - Vestdanmark'!J485+'Resultater - Østdanmark'!J485</f>
        <v>17.545322997702911</v>
      </c>
      <c r="L485" s="152" t="s">
        <v>218</v>
      </c>
      <c r="M485" s="150">
        <v>18651.71</v>
      </c>
    </row>
    <row r="486" spans="1:13" x14ac:dyDescent="0.25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1">
        <f ca="1">'Resultater - Vestdanmark'!H486+'Resultater - Østdanmark'!H486</f>
        <v>0</v>
      </c>
      <c r="I486" s="263">
        <f ca="1">'Resultater - Vestdanmark'!I486+'Resultater - Østdanmark'!I486</f>
        <v>6.4981185039678975</v>
      </c>
      <c r="J486" s="264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25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1">
        <f>'Resultater - Vestdanmark'!H487+'Resultater - Østdanmark'!H487</f>
        <v>0</v>
      </c>
      <c r="I487" s="263">
        <f>'Resultater - Vestdanmark'!I487+'Resultater - Østdanmark'!I487</f>
        <v>0</v>
      </c>
      <c r="J487" s="264">
        <f>'Resultater - Vestdanmark'!J487+'Resultater - Østdanmark'!J487</f>
        <v>0</v>
      </c>
      <c r="L487" s="151"/>
      <c r="M487" s="150"/>
    </row>
    <row r="488" spans="1:13" x14ac:dyDescent="0.25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1">
        <f>'Resultater - Vestdanmark'!H488+'Resultater - Østdanmark'!H488</f>
        <v>0</v>
      </c>
      <c r="I488" s="263">
        <f>'Resultater - Vestdanmark'!I488+'Resultater - Østdanmark'!I488</f>
        <v>0</v>
      </c>
      <c r="J488" s="264">
        <f>'Resultater - Vestdanmark'!J488+'Resultater - Østdanmark'!J488</f>
        <v>0</v>
      </c>
      <c r="L488" s="151"/>
      <c r="M488" s="150"/>
    </row>
    <row r="489" spans="1:13" x14ac:dyDescent="0.25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5">
        <f ca="1">'Resultater - Vestdanmark'!H489+'Resultater - Østdanmark'!H489</f>
        <v>16.609927730843868</v>
      </c>
      <c r="I489" s="266">
        <f ca="1">'Resultater - Vestdanmark'!I489+'Resultater - Østdanmark'!I489</f>
        <v>15.780323118017279</v>
      </c>
      <c r="J489" s="267" t="e">
        <f>'Resultater - Vestdanmark'!J489+'Resultater - Østdanmark'!J489</f>
        <v>#DIV/0!</v>
      </c>
    </row>
    <row r="490" spans="1:13" x14ac:dyDescent="0.25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68">
        <f>'Resultater - Vestdanmark'!H490+'Resultater - Østdanmark'!H490</f>
        <v>0</v>
      </c>
      <c r="I490" s="269">
        <f>'Resultater - Vestdanmark'!I490+'Resultater - Østdanmark'!I490</f>
        <v>2676396.5881159487</v>
      </c>
      <c r="J490" s="270">
        <f>'Resultater - Vestdanmark'!J490+'Resultater - Østdanmark'!J490</f>
        <v>1135524.3188963511</v>
      </c>
    </row>
    <row r="491" spans="1:13" x14ac:dyDescent="0.25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68">
        <f>'Resultater - Vestdanmark'!H491+'Resultater - Østdanmark'!H491</f>
        <v>0</v>
      </c>
      <c r="I491" s="269">
        <f>'Resultater - Vestdanmark'!I491+'Resultater - Østdanmark'!I491</f>
        <v>5510228.2696504835</v>
      </c>
      <c r="J491" s="270">
        <f>'Resultater - Vestdanmark'!J491+'Resultater - Østdanmark'!J491</f>
        <v>2337844.1859630761</v>
      </c>
    </row>
    <row r="492" spans="1:13" x14ac:dyDescent="0.25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68">
        <f>'Resultater - Vestdanmark'!H492+'Resultater - Østdanmark'!H492</f>
        <v>0</v>
      </c>
      <c r="I492" s="269">
        <f>'Resultater - Vestdanmark'!I492+'Resultater - Østdanmark'!I492</f>
        <v>7823271.0880785175</v>
      </c>
      <c r="J492" s="270">
        <f>'Resultater - Vestdanmark'!J492+'Resultater - Østdanmark'!J492</f>
        <v>3319207.1060311096</v>
      </c>
    </row>
    <row r="493" spans="1:13" x14ac:dyDescent="0.25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68">
        <f>'Resultater - Vestdanmark'!H493+'Resultater - Østdanmark'!H493</f>
        <v>339162.61425562343</v>
      </c>
      <c r="I493" s="269">
        <f>'Resultater - Vestdanmark'!I493+'Resultater - Østdanmark'!I493</f>
        <v>481013.99332276778</v>
      </c>
      <c r="J493" s="270">
        <f>'Resultater - Vestdanmark'!J493+'Resultater - Østdanmark'!J493</f>
        <v>432637.4824074877</v>
      </c>
    </row>
    <row r="494" spans="1:13" x14ac:dyDescent="0.25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68">
        <f>'Resultater - Vestdanmark'!H494+'Resultater - Østdanmark'!H494</f>
        <v>217064.073123599</v>
      </c>
      <c r="I494" s="269">
        <f>'Resultater - Vestdanmark'!I494+'Resultater - Østdanmark'!I494</f>
        <v>307848.95572657138</v>
      </c>
      <c r="J494" s="270">
        <f>'Resultater - Vestdanmark'!J494+'Resultater - Østdanmark'!J494</f>
        <v>276887.98874079209</v>
      </c>
    </row>
    <row r="495" spans="1:13" x14ac:dyDescent="0.25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68">
        <f>'Resultater - Vestdanmark'!H495+'Resultater - Østdanmark'!H495</f>
        <v>0</v>
      </c>
      <c r="I495" s="269">
        <f>'Resultater - Vestdanmark'!I495+'Resultater - Østdanmark'!I495</f>
        <v>0</v>
      </c>
      <c r="J495" s="270">
        <f>'Resultater - Vestdanmark'!J495+'Resultater - Østdanmark'!J495</f>
        <v>0</v>
      </c>
    </row>
    <row r="496" spans="1:13" x14ac:dyDescent="0.25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68">
        <f>'Resultater - Vestdanmark'!H496+'Resultater - Østdanmark'!H496</f>
        <v>0</v>
      </c>
      <c r="I496" s="269">
        <f>'Resultater - Vestdanmark'!I496+'Resultater - Østdanmark'!I496</f>
        <v>0</v>
      </c>
      <c r="J496" s="270">
        <f>'Resultater - Vestdanmark'!J496+'Resultater - Østdanmark'!J496</f>
        <v>0</v>
      </c>
    </row>
    <row r="497" spans="1:10" ht="15.75" thickBot="1" x14ac:dyDescent="0.3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1">
        <f>'Resultater - Vestdanmark'!H497+'Resultater - Østdanmark'!H497</f>
        <v>0</v>
      </c>
      <c r="I497" s="272">
        <f>'Resultater - Vestdanmark'!I497+'Resultater - Østdanmark'!I497</f>
        <v>0</v>
      </c>
      <c r="J497" s="273">
        <f>'Resultater - Vestdanmark'!J497+'Resultater - Østdanmark'!J497</f>
        <v>0</v>
      </c>
    </row>
    <row r="498" spans="1:10" x14ac:dyDescent="0.25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25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25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25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25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25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25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25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25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25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25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25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25">
      <c r="H510" s="93"/>
      <c r="I510" s="93"/>
      <c r="J510" s="93"/>
    </row>
    <row r="511" spans="1:10" x14ac:dyDescent="0.25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A291"/>
  <sheetViews>
    <sheetView zoomScale="106" workbookViewId="0">
      <pane xSplit="6" ySplit="3" topLeftCell="G255" activePane="bottomRight" state="frozen"/>
      <selection pane="topRight" activeCell="F1" sqref="F1"/>
      <selection pane="bottomLeft" activeCell="A3" sqref="A3"/>
      <selection pane="bottomRight" activeCell="N257" activeCellId="1" sqref="N113 N257"/>
    </sheetView>
  </sheetViews>
  <sheetFormatPr defaultColWidth="18" defaultRowHeight="15" x14ac:dyDescent="0.25"/>
  <cols>
    <col min="1" max="2" width="18.140625" bestFit="1" customWidth="1"/>
    <col min="3" max="3" width="8.140625" bestFit="1" customWidth="1"/>
    <col min="4" max="4" width="8.140625" customWidth="1"/>
    <col min="5" max="5" width="7.85546875" customWidth="1"/>
    <col min="6" max="6" width="11.140625" bestFit="1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</cols>
  <sheetData>
    <row r="1" spans="1:27" ht="15.75" thickTop="1" x14ac:dyDescent="0.25">
      <c r="A1" s="453" t="s">
        <v>248</v>
      </c>
      <c r="B1" s="453"/>
      <c r="C1" s="453"/>
      <c r="D1" s="393"/>
      <c r="G1" s="454" t="s">
        <v>250</v>
      </c>
      <c r="H1" s="454"/>
      <c r="I1" s="454"/>
      <c r="J1" s="454"/>
      <c r="K1" s="454"/>
      <c r="L1" s="454"/>
      <c r="M1" s="454"/>
      <c r="N1" s="455"/>
      <c r="O1" s="456" t="s">
        <v>251</v>
      </c>
      <c r="P1" s="457"/>
      <c r="Q1" s="458"/>
      <c r="R1" s="450" t="s">
        <v>122</v>
      </c>
      <c r="S1" s="450"/>
      <c r="T1" s="450"/>
      <c r="U1" s="451"/>
      <c r="V1" s="452" t="s">
        <v>229</v>
      </c>
      <c r="W1" s="450"/>
      <c r="X1" s="450"/>
      <c r="Y1" s="451"/>
    </row>
    <row r="2" spans="1:27" x14ac:dyDescent="0.25">
      <c r="A2" s="393"/>
      <c r="B2" s="393"/>
      <c r="C2" s="393"/>
      <c r="D2" s="393"/>
      <c r="G2" s="394"/>
      <c r="H2" s="394"/>
      <c r="I2" s="394"/>
      <c r="J2" s="394"/>
      <c r="K2" s="394"/>
      <c r="L2" s="394"/>
      <c r="M2" s="394"/>
      <c r="N2" s="394"/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27" x14ac:dyDescent="0.25">
      <c r="A3" s="91" t="s">
        <v>128</v>
      </c>
      <c r="B3" s="91" t="s">
        <v>311</v>
      </c>
      <c r="C3" s="91" t="s">
        <v>129</v>
      </c>
      <c r="D3" s="91" t="s">
        <v>339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</row>
    <row r="4" spans="1:27" x14ac:dyDescent="0.25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</row>
    <row r="5" spans="1:27" x14ac:dyDescent="0.25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>
        <f t="shared" si="1"/>
        <v>0</v>
      </c>
      <c r="AA5">
        <f t="shared" si="2"/>
        <v>1</v>
      </c>
    </row>
    <row r="6" spans="1:27" x14ac:dyDescent="0.25">
      <c r="A6" s="171" t="s">
        <v>102</v>
      </c>
      <c r="B6" s="171" t="s">
        <v>230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IF(E6=År1,Q6,SUM(P6,Q6))*IFERROR(VLOOKUP(A6,[1]Tørstofindhold!A$2:B$24,2,FALSE),0)</f>
        <v>110192.22039498243</v>
      </c>
      <c r="X6">
        <f ca="1">K6*IFERROR(VLOOKUP(A6,[1]Tørstofindhold!A$2:B$24,2,FALSE),0)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</row>
    <row r="7" spans="1:27" x14ac:dyDescent="0.25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</row>
    <row r="8" spans="1:27" x14ac:dyDescent="0.25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</row>
    <row r="9" spans="1:27" x14ac:dyDescent="0.25">
      <c r="A9" s="171" t="s">
        <v>208</v>
      </c>
      <c r="B9" s="171" t="s">
        <v>230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</row>
    <row r="10" spans="1:27" x14ac:dyDescent="0.25">
      <c r="A10" t="s">
        <v>101</v>
      </c>
      <c r="B10" s="171" t="s">
        <v>222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si="3"/>
        <v>1198807.4305444965</v>
      </c>
      <c r="P10" s="94">
        <f t="shared" si="4"/>
        <v>1198807.4305444965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2.5822312053928456</v>
      </c>
      <c r="S10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P10*IFERROR(VLOOKUP(A10,[1]Tørstofindhold!A$2:B$24,2,FALSE),0)</f>
        <v>359642.22916334897</v>
      </c>
      <c r="W10">
        <f>IF(E10=År1,Q10,SUM(P10,Q10))*IFERROR(VLOOKUP(A10,[1]Tørstofindhold!A$2:B$24,2,FALSE),0)</f>
        <v>201358.40146508775</v>
      </c>
      <c r="X10">
        <f>K10*IFERROR(VLOOKUP(A10,[1]Tørstofindhold!A$2:B$24,2,FALSE),0)</f>
        <v>201358.40146508775</v>
      </c>
      <c r="Y10" s="170">
        <f t="shared" si="7"/>
        <v>0</v>
      </c>
      <c r="Z10">
        <f t="shared" si="1"/>
        <v>0</v>
      </c>
      <c r="AA10">
        <f t="shared" si="2"/>
        <v>1</v>
      </c>
    </row>
    <row r="11" spans="1:27" x14ac:dyDescent="0.25">
      <c r="A11" t="s">
        <v>204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</row>
    <row r="12" spans="1:27" x14ac:dyDescent="0.25">
      <c r="A12" t="s">
        <v>137</v>
      </c>
      <c r="B12" s="171" t="s">
        <v>222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si="4"/>
        <v>0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P12*IFERROR(VLOOKUP(A12,[1]Tørstofindhold!A$2:B$24,2,FALSE),0)</f>
        <v>0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>
        <f t="shared" si="1"/>
        <v>0</v>
      </c>
      <c r="AA12">
        <f t="shared" si="2"/>
        <v>0</v>
      </c>
    </row>
    <row r="13" spans="1:27" x14ac:dyDescent="0.25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</row>
    <row r="14" spans="1:27" x14ac:dyDescent="0.25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</row>
    <row r="15" spans="1:27" x14ac:dyDescent="0.25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</row>
    <row r="16" spans="1:27" x14ac:dyDescent="0.25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</row>
    <row r="17" spans="1:27" x14ac:dyDescent="0.25">
      <c r="A17" s="171" t="s">
        <v>51</v>
      </c>
      <c r="B17" s="171" t="s">
        <v>224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8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9">G17-SUM(H17:N17)</f>
        <v>3451069.2602304816</v>
      </c>
      <c r="P17" s="94">
        <f t="shared" si="4"/>
        <v>3451069.2602304816</v>
      </c>
      <c r="Q17" s="180">
        <f t="shared" ref="Q17:Q82" si="10">SUM(K17,M17)</f>
        <v>75399.16825098735</v>
      </c>
      <c r="R17">
        <f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1">S17-T17</f>
        <v>0</v>
      </c>
      <c r="V17" s="169">
        <f>P17*IFERROR(VLOOKUP(A17,[1]Tørstofindhold!A$2:B$24,2,FALSE),0)</f>
        <v>966299.39286453498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2">W17-X17</f>
        <v>0</v>
      </c>
      <c r="Z17">
        <f t="shared" si="1"/>
        <v>0</v>
      </c>
      <c r="AA17">
        <f t="shared" si="2"/>
        <v>1</v>
      </c>
    </row>
    <row r="18" spans="1:27" x14ac:dyDescent="0.25">
      <c r="A18" s="171" t="s">
        <v>203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8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9"/>
        <v>0</v>
      </c>
      <c r="P18" s="94">
        <f t="shared" si="4"/>
        <v>0</v>
      </c>
      <c r="Q18" s="180">
        <f t="shared" si="10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1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2"/>
        <v>0</v>
      </c>
      <c r="Z18">
        <f t="shared" si="1"/>
        <v>0</v>
      </c>
      <c r="AA18">
        <f t="shared" si="2"/>
        <v>0</v>
      </c>
    </row>
    <row r="19" spans="1:27" x14ac:dyDescent="0.25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8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9"/>
        <v>-76351.578443047096</v>
      </c>
      <c r="P19" s="94">
        <f t="shared" si="4"/>
        <v>0</v>
      </c>
      <c r="Q19" s="180">
        <f t="shared" si="10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1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2"/>
        <v>0</v>
      </c>
      <c r="Z19">
        <f t="shared" si="1"/>
        <v>1</v>
      </c>
      <c r="AA19">
        <f t="shared" si="2"/>
        <v>0</v>
      </c>
    </row>
    <row r="20" spans="1:27" x14ac:dyDescent="0.25">
      <c r="A20" s="171" t="s">
        <v>67</v>
      </c>
      <c r="B20" s="171" t="s">
        <v>227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8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si="9"/>
        <v>0</v>
      </c>
      <c r="P20" s="94">
        <f t="shared" si="4"/>
        <v>0</v>
      </c>
      <c r="Q20" s="180">
        <f t="shared" si="10"/>
        <v>1216033.8356726633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11"/>
        <v>12.018877995102612</v>
      </c>
      <c r="V20" s="169">
        <f>P20*IFERROR(VLOOKUP(A20,[1]Tørstofindhold!A$2:B$24,2,FALSE),0)</f>
        <v>0</v>
      </c>
      <c r="W20">
        <f>IF(E20=År1,Q20,SUM(P20,Q20))*IFERROR(VLOOKUP(A20,[1]Tørstofindhold!A$2:B$24,2,FALSE),0)</f>
        <v>1033628.7603217638</v>
      </c>
      <c r="X20">
        <f>K20*IFERROR(VLOOKUP(A20,[1]Tørstofindhold!A$2:B$24,2,FALSE),0)</f>
        <v>45215.6689157937</v>
      </c>
      <c r="Y20" s="170">
        <f t="shared" si="12"/>
        <v>988413.09140597016</v>
      </c>
      <c r="Z20">
        <f t="shared" si="1"/>
        <v>0</v>
      </c>
      <c r="AA20">
        <f t="shared" si="2"/>
        <v>0</v>
      </c>
    </row>
    <row r="21" spans="1:27" x14ac:dyDescent="0.25">
      <c r="A21" s="171" t="s">
        <v>162</v>
      </c>
      <c r="B21" s="171" t="s">
        <v>230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8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9"/>
        <v>0</v>
      </c>
      <c r="P21" s="94">
        <f t="shared" si="4"/>
        <v>0</v>
      </c>
      <c r="Q21" s="180">
        <f t="shared" si="10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1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2"/>
        <v>159126.11635512838</v>
      </c>
      <c r="Z21">
        <f t="shared" si="1"/>
        <v>0</v>
      </c>
      <c r="AA21">
        <f t="shared" si="2"/>
        <v>0</v>
      </c>
    </row>
    <row r="22" spans="1:27" x14ac:dyDescent="0.25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8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9"/>
        <v>-4828427.5390456235</v>
      </c>
      <c r="P22" s="94">
        <f t="shared" si="4"/>
        <v>0</v>
      </c>
      <c r="Q22" s="180">
        <f t="shared" si="10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1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2"/>
        <v>0</v>
      </c>
      <c r="Z22">
        <f t="shared" si="1"/>
        <v>1</v>
      </c>
      <c r="AA22">
        <f t="shared" si="2"/>
        <v>0</v>
      </c>
    </row>
    <row r="23" spans="1:27" x14ac:dyDescent="0.25">
      <c r="A23" s="171" t="s">
        <v>103</v>
      </c>
      <c r="B23" s="171" t="s">
        <v>230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8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si="9"/>
        <v>-203061.53166372905</v>
      </c>
      <c r="P23" s="94">
        <f t="shared" si="4"/>
        <v>0</v>
      </c>
      <c r="Q23" s="180">
        <f t="shared" si="10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11"/>
        <v>0</v>
      </c>
      <c r="V23" s="169">
        <f>P23*IFERROR(VLOOKUP(A23,[1]Tørstofindhold!A$2:B$24,2,FALSE),0)</f>
        <v>0</v>
      </c>
      <c r="W23">
        <f>IF(E23=År1,Q23,SUM(P23,Q23))*IFERROR(VLOOKUP(A23,[1]Tørstofindhold!A$2:B$24,2,FALSE),0)</f>
        <v>300763.57585499104</v>
      </c>
      <c r="X23">
        <f>K23*IFERROR(VLOOKUP(A23,[1]Tørstofindhold!A$2:B$24,2,FALSE),0)</f>
        <v>300763.57585499104</v>
      </c>
      <c r="Y23" s="170">
        <f t="shared" si="12"/>
        <v>0</v>
      </c>
      <c r="Z23">
        <f t="shared" si="1"/>
        <v>1</v>
      </c>
      <c r="AA23">
        <f t="shared" si="2"/>
        <v>0</v>
      </c>
    </row>
    <row r="24" spans="1:27" x14ac:dyDescent="0.25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8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9"/>
        <v>766472.09789043549</v>
      </c>
      <c r="P24" s="94">
        <f t="shared" si="4"/>
        <v>0</v>
      </c>
      <c r="Q24" s="180">
        <f t="shared" si="10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1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2"/>
        <v>0</v>
      </c>
      <c r="Z24">
        <f t="shared" si="1"/>
        <v>0</v>
      </c>
      <c r="AA24">
        <f t="shared" si="2"/>
        <v>1</v>
      </c>
    </row>
    <row r="25" spans="1:27" x14ac:dyDescent="0.25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8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9"/>
        <v>2027113.3294623662</v>
      </c>
      <c r="P25" s="94">
        <f t="shared" si="4"/>
        <v>0</v>
      </c>
      <c r="Q25" s="180">
        <f t="shared" si="10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1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2"/>
        <v>0</v>
      </c>
      <c r="Z25">
        <f t="shared" si="1"/>
        <v>0</v>
      </c>
      <c r="AA25">
        <f t="shared" si="2"/>
        <v>1</v>
      </c>
    </row>
    <row r="26" spans="1:27" x14ac:dyDescent="0.25">
      <c r="A26" s="171" t="s">
        <v>48</v>
      </c>
      <c r="B26" s="171" t="s">
        <v>227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8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9"/>
        <v>675046.7637937516</v>
      </c>
      <c r="P26" s="94">
        <f t="shared" si="4"/>
        <v>675046.7637937516</v>
      </c>
      <c r="Q26" s="180">
        <f t="shared" si="10"/>
        <v>2843.3935258054057</v>
      </c>
      <c r="R26">
        <f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1"/>
        <v>0</v>
      </c>
      <c r="V26" s="169">
        <f>P26*IFERROR(VLOOKUP(A26,[1]Tørstofindhold!A$2:B$24,2,FALSE),0)</f>
        <v>209264.496776063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2"/>
        <v>0</v>
      </c>
      <c r="Z26">
        <f t="shared" si="1"/>
        <v>0</v>
      </c>
      <c r="AA26">
        <f t="shared" si="2"/>
        <v>1</v>
      </c>
    </row>
    <row r="27" spans="1:27" x14ac:dyDescent="0.25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8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9"/>
        <v>-569996.93502990273</v>
      </c>
      <c r="P27" s="94">
        <f t="shared" si="4"/>
        <v>0</v>
      </c>
      <c r="Q27" s="180">
        <f t="shared" si="10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1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2"/>
        <v>0</v>
      </c>
      <c r="Z27">
        <f t="shared" ca="1" si="1"/>
        <v>1</v>
      </c>
      <c r="AA27">
        <f t="shared" ca="1" si="2"/>
        <v>0</v>
      </c>
    </row>
    <row r="28" spans="1:27" x14ac:dyDescent="0.25">
      <c r="A28" s="171" t="s">
        <v>136</v>
      </c>
      <c r="B28" s="171" t="s">
        <v>222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8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si="9"/>
        <v>0</v>
      </c>
      <c r="P28" s="94">
        <f t="shared" si="4"/>
        <v>0</v>
      </c>
      <c r="Q28" s="180">
        <f t="shared" si="10"/>
        <v>4066864.6068164087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11"/>
        <v>0</v>
      </c>
      <c r="V28" s="169">
        <f>P28*IFERROR(VLOOKUP(A28,[1]Tørstofindhold!A$2:B$24,2,FALSE),0)</f>
        <v>0</v>
      </c>
      <c r="W28">
        <f>IF(E28=År1,Q28,SUM(P28,Q28))*IFERROR(VLOOKUP(A28,[1]Tørstofindhold!A$2:B$24,2,FALSE),0)</f>
        <v>309081.71011804708</v>
      </c>
      <c r="X28">
        <f>K28*IFERROR(VLOOKUP(A28,[1]Tørstofindhold!A$2:B$24,2,FALSE),0)</f>
        <v>309081.71011804708</v>
      </c>
      <c r="Y28" s="170">
        <f t="shared" si="12"/>
        <v>0</v>
      </c>
      <c r="Z28">
        <f t="shared" si="1"/>
        <v>0</v>
      </c>
      <c r="AA28">
        <f t="shared" si="2"/>
        <v>0</v>
      </c>
    </row>
    <row r="29" spans="1:27" x14ac:dyDescent="0.25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8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9"/>
        <v>122443.54553678865</v>
      </c>
      <c r="P29" s="94">
        <f t="shared" si="4"/>
        <v>0</v>
      </c>
      <c r="Q29" s="180">
        <f t="shared" si="10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1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2"/>
        <v>0</v>
      </c>
      <c r="Z29">
        <f t="shared" si="1"/>
        <v>0</v>
      </c>
      <c r="AA29">
        <f t="shared" si="2"/>
        <v>1</v>
      </c>
    </row>
    <row r="30" spans="1:27" x14ac:dyDescent="0.25">
      <c r="A30" t="s">
        <v>53</v>
      </c>
      <c r="B30" s="171" t="s">
        <v>224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8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9"/>
        <v>1618746.6633055378</v>
      </c>
      <c r="P30" s="94">
        <f t="shared" si="4"/>
        <v>1274488.0820395502</v>
      </c>
      <c r="Q30" s="180">
        <f t="shared" si="10"/>
        <v>314874.94627501385</v>
      </c>
      <c r="R30">
        <f>IFERROR(VLOOKUP(A30,[1]Energiindhold!$A$2:$C$11,3,FALSE),IFERROR(VLOOKUP(A30,[1]Biogasudbytte!$A$2:$B$18,2,FALSE)*[1]Energiindhold!$C$10,0))*P30</f>
        <v>4.575412214521986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1"/>
        <v>0</v>
      </c>
      <c r="V30" s="169">
        <f>P30*IFERROR(VLOOKUP(A30,[1]Tørstofindhold!A$2:B$24,2,FALSE),0)</f>
        <v>382346.42461186502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2"/>
        <v>0</v>
      </c>
      <c r="Z30">
        <f t="shared" si="1"/>
        <v>0</v>
      </c>
      <c r="AA30">
        <f t="shared" si="2"/>
        <v>1</v>
      </c>
    </row>
    <row r="31" spans="1:27" x14ac:dyDescent="0.25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8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9"/>
        <v>2703717.1158706988</v>
      </c>
      <c r="P31" s="94">
        <f t="shared" si="4"/>
        <v>0</v>
      </c>
      <c r="Q31" s="180">
        <f t="shared" si="10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1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2"/>
        <v>0</v>
      </c>
      <c r="Z31">
        <f t="shared" si="1"/>
        <v>0</v>
      </c>
      <c r="AA31">
        <f t="shared" si="2"/>
        <v>1</v>
      </c>
    </row>
    <row r="32" spans="1:27" x14ac:dyDescent="0.25">
      <c r="A32" s="171" t="s">
        <v>106</v>
      </c>
      <c r="B32" s="171" t="s">
        <v>226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8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9"/>
        <v>878.90231344976178</v>
      </c>
      <c r="P32" s="94">
        <f t="shared" si="4"/>
        <v>878.90231344976178</v>
      </c>
      <c r="Q32" s="180">
        <f t="shared" si="10"/>
        <v>0</v>
      </c>
      <c r="R32">
        <f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1"/>
        <v>0</v>
      </c>
      <c r="V32" s="169">
        <f>P32*IFERROR(VLOOKUP(A32,[1]Tørstofindhold!A$2:B$24,2,FALSE),0)</f>
        <v>131.83534701746427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2"/>
        <v>0</v>
      </c>
      <c r="Z32">
        <f t="shared" si="1"/>
        <v>0</v>
      </c>
      <c r="AA32">
        <f t="shared" si="2"/>
        <v>1</v>
      </c>
    </row>
    <row r="33" spans="1:27" x14ac:dyDescent="0.25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8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9"/>
        <v>50014.542046090508</v>
      </c>
      <c r="P33" s="94">
        <f t="shared" si="4"/>
        <v>0</v>
      </c>
      <c r="Q33" s="180">
        <f t="shared" si="10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1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2"/>
        <v>0</v>
      </c>
      <c r="Z33">
        <f t="shared" si="1"/>
        <v>0</v>
      </c>
      <c r="AA33">
        <f t="shared" si="2"/>
        <v>1</v>
      </c>
    </row>
    <row r="34" spans="1:27" x14ac:dyDescent="0.25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8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9"/>
        <v>1610618.3345669576</v>
      </c>
      <c r="P34" s="94">
        <f t="shared" si="4"/>
        <v>0</v>
      </c>
      <c r="Q34" s="180">
        <f t="shared" si="10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1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2"/>
        <v>0</v>
      </c>
      <c r="Z34">
        <f t="shared" si="1"/>
        <v>0</v>
      </c>
      <c r="AA34">
        <f t="shared" si="2"/>
        <v>1</v>
      </c>
    </row>
    <row r="35" spans="1:27" x14ac:dyDescent="0.25">
      <c r="A35" s="171" t="s">
        <v>95</v>
      </c>
      <c r="B35" s="171" t="s">
        <v>225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8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9"/>
        <v>0</v>
      </c>
      <c r="P35" s="94">
        <f t="shared" si="4"/>
        <v>0</v>
      </c>
      <c r="Q35" s="180">
        <f t="shared" si="10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1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2"/>
        <v>70967.814731961684</v>
      </c>
      <c r="Z35">
        <f t="shared" si="1"/>
        <v>0</v>
      </c>
      <c r="AA35">
        <f t="shared" si="2"/>
        <v>0</v>
      </c>
    </row>
    <row r="36" spans="1:27" x14ac:dyDescent="0.25">
      <c r="A36" s="171" t="s">
        <v>306</v>
      </c>
      <c r="B36" s="171" t="s">
        <v>312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8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>G36-SUM(H36:N36)</f>
        <v>0</v>
      </c>
      <c r="P36" s="94">
        <f t="shared" si="4"/>
        <v>0</v>
      </c>
      <c r="Q36" s="180">
        <f>SUM(K36,M36)</f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>S36-T36</f>
        <v>0</v>
      </c>
      <c r="V36" s="169">
        <f>P36*IFERROR(VLOOKUP(A36,[1]Tørstofindhold!A$2:B$24,2,FALSE),0)</f>
        <v>0</v>
      </c>
      <c r="W36">
        <f>IF(E36=År1,Q36,SUM(P36,Q36))*IFERROR(VLOOKUP(A36,[1]Tørstofindhold!A$2:B$24,2,FALSE),0)</f>
        <v>0</v>
      </c>
      <c r="X36">
        <f>K36*IFERROR(VLOOKUP(A36,[1]Tørstofindhold!A$2:B$24,2,FALSE),0)</f>
        <v>0</v>
      </c>
      <c r="Y36" s="170">
        <f>W36-X36</f>
        <v>0</v>
      </c>
      <c r="Z36">
        <f t="shared" si="1"/>
        <v>0</v>
      </c>
      <c r="AA36">
        <f t="shared" si="2"/>
        <v>0</v>
      </c>
    </row>
    <row r="37" spans="1:27" x14ac:dyDescent="0.25">
      <c r="A37" s="171" t="s">
        <v>307</v>
      </c>
      <c r="B37" s="171" t="s">
        <v>312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8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>G37-SUM(H37:N37)</f>
        <v>0</v>
      </c>
      <c r="P37" s="94">
        <f t="shared" si="4"/>
        <v>0</v>
      </c>
      <c r="Q37" s="180">
        <f>SUM(K37,M37)</f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>S37-T37</f>
        <v>0</v>
      </c>
      <c r="V37" s="169">
        <f>P37*IFERROR(VLOOKUP(A37,[1]Tørstofindhold!A$2:B$24,2,FALSE),0)</f>
        <v>0</v>
      </c>
      <c r="W37">
        <f>IF(E37=År1,Q37,SUM(P37,Q37))*IFERROR(VLOOKUP(A37,[1]Tørstofindhold!A$2:B$24,2,FALSE),0)</f>
        <v>0</v>
      </c>
      <c r="X37">
        <f>K37*IFERROR(VLOOKUP(A37,[1]Tørstofindhold!A$2:B$24,2,FALSE),0)</f>
        <v>0</v>
      </c>
      <c r="Y37" s="170">
        <f>W37-X37</f>
        <v>0</v>
      </c>
      <c r="Z37">
        <f t="shared" si="1"/>
        <v>0</v>
      </c>
      <c r="AA37">
        <f t="shared" si="2"/>
        <v>0</v>
      </c>
    </row>
    <row r="38" spans="1:27" x14ac:dyDescent="0.25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8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9"/>
        <v>4922001.9803787302</v>
      </c>
      <c r="P38" s="94">
        <f t="shared" si="4"/>
        <v>0</v>
      </c>
      <c r="Q38" s="180">
        <f t="shared" si="10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1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2"/>
        <v>0</v>
      </c>
      <c r="Z38">
        <f t="shared" si="1"/>
        <v>0</v>
      </c>
      <c r="AA38">
        <f t="shared" si="2"/>
        <v>1</v>
      </c>
    </row>
    <row r="39" spans="1:27" x14ac:dyDescent="0.25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8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9"/>
        <v>0</v>
      </c>
      <c r="P39" s="94">
        <f t="shared" si="4"/>
        <v>0</v>
      </c>
      <c r="Q39" s="180">
        <f t="shared" si="10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1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2"/>
        <v>0</v>
      </c>
      <c r="Z39">
        <f t="shared" si="1"/>
        <v>0</v>
      </c>
      <c r="AA39">
        <f t="shared" si="2"/>
        <v>0</v>
      </c>
    </row>
    <row r="40" spans="1:27" x14ac:dyDescent="0.25">
      <c r="A40" t="s">
        <v>238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8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9"/>
        <v>28781.895095316839</v>
      </c>
      <c r="P40" s="94">
        <f t="shared" si="4"/>
        <v>0</v>
      </c>
      <c r="Q40" s="180">
        <f t="shared" si="10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1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2"/>
        <v>0</v>
      </c>
      <c r="Z40">
        <f t="shared" si="1"/>
        <v>0</v>
      </c>
      <c r="AA40">
        <f t="shared" si="2"/>
        <v>1</v>
      </c>
    </row>
    <row r="41" spans="1:27" x14ac:dyDescent="0.25">
      <c r="A41" t="s">
        <v>231</v>
      </c>
      <c r="B41" s="171" t="s">
        <v>231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8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9"/>
        <v>0</v>
      </c>
      <c r="P41" s="94">
        <f t="shared" si="4"/>
        <v>0</v>
      </c>
      <c r="Q41" s="180">
        <f t="shared" si="10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1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2"/>
        <v>0</v>
      </c>
      <c r="Z41">
        <f t="shared" si="1"/>
        <v>0</v>
      </c>
      <c r="AA41">
        <f t="shared" si="2"/>
        <v>0</v>
      </c>
    </row>
    <row r="42" spans="1:27" x14ac:dyDescent="0.25">
      <c r="A42" t="s">
        <v>52</v>
      </c>
      <c r="B42" s="171" t="s">
        <v>224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8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9"/>
        <v>-467792.00917977782</v>
      </c>
      <c r="P42" s="94">
        <f t="shared" si="4"/>
        <v>0</v>
      </c>
      <c r="Q42" s="180">
        <f t="shared" si="10"/>
        <v>4141.9679702877811</v>
      </c>
      <c r="R42">
        <f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1"/>
        <v>0</v>
      </c>
      <c r="V42" s="169">
        <f>P42*IFERROR(VLOOKUP(A42,[1]Tørstofindhold!A$2:B$24,2,FALSE),0)</f>
        <v>0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2"/>
        <v>0</v>
      </c>
      <c r="Z42">
        <f t="shared" si="1"/>
        <v>0</v>
      </c>
      <c r="AA42">
        <f t="shared" si="2"/>
        <v>1</v>
      </c>
    </row>
    <row r="43" spans="1:27" x14ac:dyDescent="0.25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8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9"/>
        <v>193830.89221723122</v>
      </c>
      <c r="P43" s="94">
        <f t="shared" si="4"/>
        <v>0</v>
      </c>
      <c r="Q43" s="180">
        <f t="shared" si="10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1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2"/>
        <v>0</v>
      </c>
      <c r="Z43">
        <f t="shared" si="1"/>
        <v>0</v>
      </c>
      <c r="AA43">
        <f t="shared" si="2"/>
        <v>1</v>
      </c>
    </row>
    <row r="44" spans="1:27" x14ac:dyDescent="0.25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8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9"/>
        <v>91860.340866184866</v>
      </c>
      <c r="P44" s="94">
        <f t="shared" si="4"/>
        <v>0</v>
      </c>
      <c r="Q44" s="180">
        <f t="shared" si="10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1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2"/>
        <v>0</v>
      </c>
      <c r="Z44">
        <f t="shared" si="1"/>
        <v>0</v>
      </c>
      <c r="AA44">
        <f t="shared" si="2"/>
        <v>1</v>
      </c>
    </row>
    <row r="45" spans="1:27" x14ac:dyDescent="0.25">
      <c r="A45" s="171" t="s">
        <v>140</v>
      </c>
      <c r="B45" s="171" t="s">
        <v>230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8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si="9"/>
        <v>2390013.9527756004</v>
      </c>
      <c r="P45" s="94">
        <f t="shared" si="4"/>
        <v>2390013.9527756004</v>
      </c>
      <c r="Q45" s="180">
        <f t="shared" si="10"/>
        <v>1460182.5874658169</v>
      </c>
      <c r="R45">
        <f>IFERROR(VLOOKUP(A45,[1]Energiindhold!$A$2:$C$11,3,FALSE),IFERROR(VLOOKUP(A45,[1]Biogasudbytte!$A$2:$B$18,2,FALSE)*[1]Energiindhold!$C$10,0))*P45</f>
        <v>1.1926408625745526</v>
      </c>
      <c r="S45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11"/>
        <v>0</v>
      </c>
      <c r="V45" s="169">
        <f>P45*IFERROR(VLOOKUP(A45,[1]Tørstofindhold!A$2:B$24,2,FALSE),0)</f>
        <v>143400.83716653602</v>
      </c>
      <c r="W45">
        <f>IF(E45=År1,Q45,SUM(P45,Q45))*IFERROR(VLOOKUP(A45,[1]Tørstofindhold!A$2:B$24,2,FALSE),0)</f>
        <v>87610.955247949008</v>
      </c>
      <c r="X45">
        <f>K45*IFERROR(VLOOKUP(A45,[1]Tørstofindhold!A$2:B$24,2,FALSE),0)</f>
        <v>87610.955247949008</v>
      </c>
      <c r="Y45" s="170">
        <f t="shared" si="12"/>
        <v>0</v>
      </c>
      <c r="Z45">
        <f t="shared" si="1"/>
        <v>0</v>
      </c>
      <c r="AA45">
        <f t="shared" si="2"/>
        <v>1</v>
      </c>
    </row>
    <row r="46" spans="1:27" x14ac:dyDescent="0.25">
      <c r="A46" s="171" t="s">
        <v>135</v>
      </c>
      <c r="B46" s="171" t="s">
        <v>222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8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9"/>
        <v>0</v>
      </c>
      <c r="P46" s="94">
        <f t="shared" si="4"/>
        <v>0</v>
      </c>
      <c r="Q46" s="180">
        <f t="shared" si="10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1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2"/>
        <v>0</v>
      </c>
      <c r="Z46">
        <f t="shared" si="1"/>
        <v>0</v>
      </c>
      <c r="AA46">
        <f t="shared" si="2"/>
        <v>0</v>
      </c>
    </row>
    <row r="47" spans="1:27" x14ac:dyDescent="0.25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8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9"/>
        <v>1276456.3476501952</v>
      </c>
      <c r="P47" s="94">
        <f t="shared" si="4"/>
        <v>0</v>
      </c>
      <c r="Q47" s="180">
        <f t="shared" si="10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1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2"/>
        <v>0</v>
      </c>
      <c r="Z47">
        <f t="shared" si="1"/>
        <v>0</v>
      </c>
      <c r="AA47">
        <f t="shared" si="2"/>
        <v>1</v>
      </c>
    </row>
    <row r="48" spans="1:27" x14ac:dyDescent="0.25">
      <c r="A48" s="171" t="s">
        <v>99</v>
      </c>
      <c r="B48" s="171" t="s">
        <v>226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8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9"/>
        <v>76.5</v>
      </c>
      <c r="P48" s="94">
        <f t="shared" si="4"/>
        <v>76.5</v>
      </c>
      <c r="Q48" s="180">
        <f t="shared" si="10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1"/>
        <v>0</v>
      </c>
      <c r="V48" s="169">
        <f>P48*IFERROR(VLOOKUP(A48,[1]Tørstofindhold!A$2:B$24,2,FALSE),0)</f>
        <v>11.475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2"/>
        <v>0</v>
      </c>
      <c r="Z48">
        <f t="shared" si="1"/>
        <v>0</v>
      </c>
      <c r="AA48">
        <f t="shared" si="2"/>
        <v>1</v>
      </c>
    </row>
    <row r="49" spans="1:27" x14ac:dyDescent="0.25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8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9"/>
        <v>0</v>
      </c>
      <c r="P49" s="94">
        <f t="shared" si="4"/>
        <v>0</v>
      </c>
      <c r="Q49" s="180">
        <f t="shared" si="10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1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2"/>
        <v>0</v>
      </c>
      <c r="Z49">
        <f t="shared" si="1"/>
        <v>0</v>
      </c>
      <c r="AA49">
        <f t="shared" si="2"/>
        <v>0</v>
      </c>
    </row>
    <row r="50" spans="1:27" x14ac:dyDescent="0.25">
      <c r="A50" s="171" t="s">
        <v>119</v>
      </c>
      <c r="B50" s="171" t="s">
        <v>225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8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9"/>
        <v>0</v>
      </c>
      <c r="P50" s="94">
        <f t="shared" ca="1" si="4"/>
        <v>0</v>
      </c>
      <c r="Q50" s="180">
        <f t="shared" ca="1" si="10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1"/>
        <v>33.750841721162331</v>
      </c>
      <c r="V50" s="169">
        <f ca="1">P50*IFERROR(VLOOKUP(A50,[1]Tørstofindhold!A$2:B$24,2,FALSE),0)</f>
        <v>0</v>
      </c>
      <c r="W50">
        <f ca="1">IF(E50=År1,Q50,SUM(P50,Q50))*IFERROR(VLOOKUP(A50,[1]Tørstofindhold!A$2:B$24,2,FALSE),0)</f>
        <v>1151724.8729790249</v>
      </c>
      <c r="X50">
        <f>K50*IFERROR(VLOOKUP(A50,[1]Tørstofindhold!A$2:B$24,2,FALSE),0)</f>
        <v>0</v>
      </c>
      <c r="Y50" s="170">
        <f t="shared" ca="1" si="12"/>
        <v>1151724.8729790249</v>
      </c>
      <c r="Z50">
        <f t="shared" ca="1" si="1"/>
        <v>0</v>
      </c>
      <c r="AA50">
        <f t="shared" ca="1" si="2"/>
        <v>0</v>
      </c>
    </row>
    <row r="51" spans="1:27" x14ac:dyDescent="0.25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8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9"/>
        <v>0</v>
      </c>
      <c r="P51" s="94">
        <f t="shared" si="4"/>
        <v>0</v>
      </c>
      <c r="Q51" s="180">
        <f t="shared" si="10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1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2"/>
        <v>0</v>
      </c>
      <c r="Z51">
        <f t="shared" ca="1" si="1"/>
        <v>0</v>
      </c>
      <c r="AA51">
        <f t="shared" ca="1" si="2"/>
        <v>0</v>
      </c>
    </row>
    <row r="52" spans="1:27" x14ac:dyDescent="0.25">
      <c r="A52" s="171" t="str">
        <f t="shared" ref="A52:A83" si="13">A4</f>
        <v>Æg</v>
      </c>
      <c r="B52" s="171" t="str">
        <f t="shared" ref="B52:B83" si="14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15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170645.52593143433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forbrug'!J$3,'Forbrug af biomasse'!$B$2:$B$425,$F52)</f>
        <v>32579.784552999867</v>
      </c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9"/>
        <v>138065.74137843447</v>
      </c>
      <c r="P52" s="94">
        <f t="shared" si="4"/>
        <v>0</v>
      </c>
      <c r="Q52" s="180">
        <f t="shared" si="10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1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2"/>
        <v>0</v>
      </c>
      <c r="Z52">
        <f t="shared" si="1"/>
        <v>0</v>
      </c>
      <c r="AA52">
        <f t="shared" si="2"/>
        <v>1</v>
      </c>
    </row>
    <row r="53" spans="1:27" x14ac:dyDescent="0.25">
      <c r="A53" s="171" t="str">
        <f t="shared" si="13"/>
        <v>Bælgsæd</v>
      </c>
      <c r="B53" s="171" t="str">
        <f t="shared" si="14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16">D5</f>
        <v>1</v>
      </c>
      <c r="E53" s="171">
        <f t="shared" si="15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735809.0653745383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293264.09403304121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forbrug'!J$3,'Forbrug af biomasse'!$B$2:$B$425,$F53)</f>
        <v>0</v>
      </c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9"/>
        <v>442544.97134149709</v>
      </c>
      <c r="P53" s="94">
        <f t="shared" si="4"/>
        <v>0</v>
      </c>
      <c r="Q53" s="180">
        <f t="shared" si="10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1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2"/>
        <v>0</v>
      </c>
      <c r="Z53">
        <f t="shared" si="1"/>
        <v>0</v>
      </c>
      <c r="AA53">
        <f t="shared" si="2"/>
        <v>1</v>
      </c>
    </row>
    <row r="54" spans="1:27" x14ac:dyDescent="0.25">
      <c r="A54" s="171" t="str">
        <f t="shared" si="13"/>
        <v>Bioaffald</v>
      </c>
      <c r="B54" s="171" t="str">
        <f t="shared" si="14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16"/>
        <v>0</v>
      </c>
      <c r="E54" s="171">
        <f t="shared" si="15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forbrug'!J$3,'Forbrug af biomasse'!$B$2:$B$425,$F54)</f>
        <v>0</v>
      </c>
      <c r="K54" s="94">
        <f ca="1"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0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9"/>
        <v>0</v>
      </c>
      <c r="P54" s="94">
        <f t="shared" ca="1" si="4"/>
        <v>0</v>
      </c>
      <c r="Q54" s="180">
        <f t="shared" ca="1" si="10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11"/>
        <v>3.4826509179371086</v>
      </c>
      <c r="V54" s="169">
        <f ca="1">P54*IFERROR(VLOOKUP(A54,[1]Tørstofindhold!A$2:B$24,2,FALSE),0)</f>
        <v>0</v>
      </c>
      <c r="W54">
        <f ca="1">IF(E54=År1,Q54,SUM(P54,Q54))*IFERROR(VLOOKUP(A54,[1]Tørstofindhold!A$2:B$24,2,FALSE),0)</f>
        <v>54623.023275626925</v>
      </c>
      <c r="X54">
        <f ca="1">K54*IFERROR(VLOOKUP(A54,[1]Tørstofindhold!A$2:B$24,2,FALSE),0)</f>
        <v>0</v>
      </c>
      <c r="Y54" s="170">
        <f t="shared" ca="1" si="12"/>
        <v>54623.023275626925</v>
      </c>
      <c r="Z54">
        <f t="shared" ca="1" si="1"/>
        <v>0</v>
      </c>
      <c r="AA54">
        <f t="shared" ca="1" si="2"/>
        <v>0</v>
      </c>
    </row>
    <row r="55" spans="1:27" x14ac:dyDescent="0.25">
      <c r="A55" s="171" t="str">
        <f t="shared" si="13"/>
        <v>Biogas</v>
      </c>
      <c r="B55" s="171" t="str">
        <f t="shared" si="14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16"/>
        <v>0</v>
      </c>
      <c r="E55" s="171">
        <f t="shared" si="15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380552475.07633466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forbrug'!J$3,'Forbrug af biomasse'!$B$2:$B$425,$F55)</f>
        <v>0</v>
      </c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380552475.07633466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9"/>
        <v>0</v>
      </c>
      <c r="P55" s="94">
        <f t="shared" ca="1" si="4"/>
        <v>0</v>
      </c>
      <c r="Q55" s="180">
        <f t="shared" ca="1" si="10"/>
        <v>380552475.07633466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1"/>
        <v>0</v>
      </c>
      <c r="V55" s="169">
        <f ca="1">P55*IFERROR(VLOOKUP(A55,[1]Tørstofindhold!A$2:B$24,2,FALSE),0)</f>
        <v>0</v>
      </c>
      <c r="W55">
        <f ca="1"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12"/>
        <v>0</v>
      </c>
      <c r="Z55">
        <f t="shared" ca="1" si="1"/>
        <v>0</v>
      </c>
      <c r="AA55">
        <f t="shared" ca="1" si="2"/>
        <v>0</v>
      </c>
    </row>
    <row r="56" spans="1:27" x14ac:dyDescent="0.25">
      <c r="A56" s="171" t="str">
        <f t="shared" si="13"/>
        <v>Biogasgylle</v>
      </c>
      <c r="B56" s="171" t="str">
        <f t="shared" si="14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16"/>
        <v>0</v>
      </c>
      <c r="E56" s="171">
        <f t="shared" si="15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21343677.064342611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forbrug'!J$3,'Forbrug af biomasse'!$B$2:$B$425,$F56)</f>
        <v>0</v>
      </c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18349026.989869542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9"/>
        <v>2994650.0744730681</v>
      </c>
      <c r="P56" s="94">
        <f t="shared" si="4"/>
        <v>0</v>
      </c>
      <c r="Q56" s="180">
        <f t="shared" si="10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1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2"/>
        <v>0</v>
      </c>
      <c r="Z56">
        <f t="shared" ca="1" si="1"/>
        <v>0</v>
      </c>
      <c r="AA56">
        <f t="shared" ca="1" si="2"/>
        <v>1</v>
      </c>
    </row>
    <row r="57" spans="1:27" x14ac:dyDescent="0.25">
      <c r="A57" s="171" t="str">
        <f t="shared" si="13"/>
        <v>Brun saft</v>
      </c>
      <c r="B57" s="171" t="str">
        <f t="shared" si="14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16"/>
        <v>0</v>
      </c>
      <c r="E57" s="171">
        <f t="shared" si="15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6976805.6291645998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forbrug'!J$3,'Forbrug af biomasse'!$B$2:$B$425,$F57)</f>
        <v>0</v>
      </c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5232604.2218734501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9"/>
        <v>1744201.4072911497</v>
      </c>
      <c r="P57" s="94">
        <f t="shared" si="4"/>
        <v>1744201.4072911497</v>
      </c>
      <c r="Q57" s="180">
        <f t="shared" si="10"/>
        <v>5232604.2218734501</v>
      </c>
      <c r="R57">
        <f>IFERROR(VLOOKUP(A57,[1]Energiindhold!$A$2:$C$11,3,FALSE),IFERROR(VLOOKUP(A57,[1]Biogasudbytte!$A$2:$B$18,2,FALSE)*[1]Energiindhold!$C$10,0))*P57</f>
        <v>0.99075188277540405</v>
      </c>
      <c r="S57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3.9630075311016162</v>
      </c>
      <c r="T57">
        <f>IFERROR(VLOOKUP(A57,[1]Biogasudbytte!$A$2:$B$18,2,FALSE)*[1]Energiindhold!$C$10,0)*K57*IFERROR(VLOOKUP(A57,Biogasanlæg!$F$3:$G$8,2,FALSE),1)</f>
        <v>2.9722556483262124</v>
      </c>
      <c r="U57" s="170">
        <f t="shared" si="11"/>
        <v>0.99075188277540382</v>
      </c>
      <c r="V57" s="169">
        <f>P57*IFERROR(VLOOKUP(A57,[1]Tørstofindhold!A$2:B$24,2,FALSE),0)</f>
        <v>74587.960760024376</v>
      </c>
      <c r="W57">
        <f>IF(E57=År1,Q57,SUM(P57,Q57))*IFERROR(VLOOKUP(A57,[1]Tørstofindhold!A$2:B$24,2,FALSE),0)</f>
        <v>298351.84304009756</v>
      </c>
      <c r="X57">
        <f>K57*IFERROR(VLOOKUP(A57,[1]Tørstofindhold!A$2:B$24,2,FALSE),0)</f>
        <v>223763.88228007319</v>
      </c>
      <c r="Y57" s="170">
        <f t="shared" si="12"/>
        <v>74587.960760024376</v>
      </c>
      <c r="Z57">
        <f t="shared" si="1"/>
        <v>0</v>
      </c>
      <c r="AA57">
        <f t="shared" si="2"/>
        <v>1</v>
      </c>
    </row>
    <row r="58" spans="1:27" x14ac:dyDescent="0.25">
      <c r="A58" s="171" t="str">
        <f t="shared" si="13"/>
        <v>Dybstrøelse</v>
      </c>
      <c r="B58" s="171" t="str">
        <f t="shared" si="14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16"/>
        <v>0</v>
      </c>
      <c r="E58" s="171">
        <f t="shared" si="15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1772243.3904723523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forbrug'!J$3,'Forbrug af biomasse'!$B$2:$B$425,$F58)</f>
        <v>0</v>
      </c>
      <c r="K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1329182.5428542641</v>
      </c>
      <c r="L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167730.1780268476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si="9"/>
        <v>275330.66959124058</v>
      </c>
      <c r="P58" s="94">
        <f t="shared" si="4"/>
        <v>275330.66959124058</v>
      </c>
      <c r="Q58" s="180">
        <f t="shared" si="10"/>
        <v>1329182.5428542641</v>
      </c>
      <c r="R58">
        <f>IFERROR(VLOOKUP(A58,[1]Energiindhold!$A$2:$C$11,3,FALSE),IFERROR(VLOOKUP(A58,[1]Biogasudbytte!$A$2:$B$18,2,FALSE)*[1]Energiindhold!$C$10,0))*P58</f>
        <v>0.59306226229953218</v>
      </c>
      <c r="S58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3.4561214596076173</v>
      </c>
      <c r="T58">
        <f>IFERROR(VLOOKUP(A58,[1]Biogasudbytte!$A$2:$B$18,2,FALSE)*[1]Energiindhold!$C$10,0)*K58*IFERROR(VLOOKUP(A58,Biogasanlæg!$F$3:$G$8,2,FALSE),1)</f>
        <v>2.8630591973080852</v>
      </c>
      <c r="U58" s="170">
        <f t="shared" si="11"/>
        <v>0.59306226229953207</v>
      </c>
      <c r="V58" s="169">
        <f>P58*IFERROR(VLOOKUP(A58,[1]Tørstofindhold!A$2:B$24,2,FALSE),0)</f>
        <v>82599.200877372175</v>
      </c>
      <c r="W58">
        <f>IF(E58=År1,Q58,SUM(P58,Q58))*IFERROR(VLOOKUP(A58,[1]Tørstofindhold!A$2:B$24,2,FALSE),0)</f>
        <v>481353.96373365138</v>
      </c>
      <c r="X58">
        <f>K58*IFERROR(VLOOKUP(A58,[1]Tørstofindhold!A$2:B$24,2,FALSE),0)</f>
        <v>398754.76285627921</v>
      </c>
      <c r="Y58" s="170">
        <f t="shared" si="12"/>
        <v>82599.200877372175</v>
      </c>
      <c r="Z58">
        <f t="shared" si="1"/>
        <v>0</v>
      </c>
      <c r="AA58">
        <f t="shared" si="2"/>
        <v>1</v>
      </c>
    </row>
    <row r="59" spans="1:27" x14ac:dyDescent="0.25">
      <c r="A59" s="171" t="str">
        <f t="shared" si="13"/>
        <v>Fiberfraktion</v>
      </c>
      <c r="B59" s="171" t="str">
        <f t="shared" si="14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16"/>
        <v>0</v>
      </c>
      <c r="E59" s="171">
        <f t="shared" si="15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4914030.3559545483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4912693.6343060844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forbrug'!J$3,'Forbrug af biomasse'!$B$2:$B$425,$F59)</f>
        <v>0</v>
      </c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9"/>
        <v>1336.7216484639794</v>
      </c>
      <c r="P59" s="94">
        <f t="shared" si="4"/>
        <v>0</v>
      </c>
      <c r="Q59" s="180">
        <f t="shared" si="10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1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2"/>
        <v>0</v>
      </c>
      <c r="Z59">
        <f t="shared" si="1"/>
        <v>0</v>
      </c>
      <c r="AA59">
        <f t="shared" si="2"/>
        <v>1</v>
      </c>
    </row>
    <row r="60" spans="1:27" x14ac:dyDescent="0.25">
      <c r="A60" s="171" t="str">
        <f t="shared" si="13"/>
        <v>Fjerkrægylle</v>
      </c>
      <c r="B60" s="171" t="str">
        <f t="shared" si="14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16"/>
        <v>0</v>
      </c>
      <c r="E60" s="171">
        <f t="shared" si="15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6450.400880208218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forbrug'!J$3,'Forbrug af biomasse'!$B$2:$B$425,$F60)</f>
        <v>0</v>
      </c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4837.8006601561638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1612.6002200520545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9"/>
        <v>0</v>
      </c>
      <c r="P60" s="94">
        <f t="shared" si="4"/>
        <v>0</v>
      </c>
      <c r="Q60" s="180">
        <f t="shared" si="10"/>
        <v>4837.8006601561638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2.2751692724648424E-3</v>
      </c>
      <c r="T60">
        <f>IFERROR(VLOOKUP(A60,[1]Biogasudbytte!$A$2:$B$18,2,FALSE)*[1]Energiindhold!$C$10,0)*K60*IFERROR(VLOOKUP(A60,Biogasanlæg!$F$3:$G$8,2,FALSE),1)</f>
        <v>2.2751692724648424E-3</v>
      </c>
      <c r="U60" s="170">
        <f t="shared" si="11"/>
        <v>0</v>
      </c>
      <c r="V60" s="169">
        <f>P60*IFERROR(VLOOKUP(A60,[1]Tørstofindhold!A$2:B$24,2,FALSE),0)</f>
        <v>0</v>
      </c>
      <c r="W60">
        <f>IF(E60=År1,Q60,SUM(P60,Q60))*IFERROR(VLOOKUP(A60,[1]Tørstofindhold!A$2:B$24,2,FALSE),0)</f>
        <v>304.78144158983832</v>
      </c>
      <c r="X60">
        <f>K60*IFERROR(VLOOKUP(A60,[1]Tørstofindhold!A$2:B$24,2,FALSE),0)</f>
        <v>304.78144158983832</v>
      </c>
      <c r="Y60" s="170">
        <f t="shared" si="12"/>
        <v>0</v>
      </c>
      <c r="Z60">
        <f t="shared" si="1"/>
        <v>0</v>
      </c>
      <c r="AA60">
        <f t="shared" si="2"/>
        <v>0</v>
      </c>
    </row>
    <row r="61" spans="1:27" x14ac:dyDescent="0.25">
      <c r="A61" s="171" t="str">
        <f t="shared" si="13"/>
        <v>Fjerkrækød</v>
      </c>
      <c r="B61" s="171" t="str">
        <f t="shared" si="14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16"/>
        <v>1</v>
      </c>
      <c r="E61" s="171">
        <f t="shared" si="15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146352.36036688712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forbrug'!J$3,'Forbrug af biomasse'!$B$2:$B$425,$F61)</f>
        <v>35294.766599083188</v>
      </c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9"/>
        <v>111057.59376780393</v>
      </c>
      <c r="P61" s="94">
        <f t="shared" si="4"/>
        <v>0</v>
      </c>
      <c r="Q61" s="180">
        <f t="shared" si="10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1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2"/>
        <v>0</v>
      </c>
      <c r="Z61">
        <f t="shared" si="1"/>
        <v>0</v>
      </c>
      <c r="AA61">
        <f t="shared" si="2"/>
        <v>1</v>
      </c>
    </row>
    <row r="62" spans="1:27" x14ac:dyDescent="0.25">
      <c r="A62" s="171" t="str">
        <f t="shared" si="13"/>
        <v>Frø</v>
      </c>
      <c r="B62" s="171" t="str">
        <f t="shared" si="14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16"/>
        <v>0</v>
      </c>
      <c r="E62" s="171">
        <f t="shared" si="15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710419.72735456063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forbrug'!J$3,'Forbrug af biomasse'!$B$2:$B$425,$F62)</f>
        <v>0</v>
      </c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9"/>
        <v>710419.72735456063</v>
      </c>
      <c r="P62" s="94">
        <f t="shared" si="4"/>
        <v>0</v>
      </c>
      <c r="Q62" s="180">
        <f t="shared" si="10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1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2"/>
        <v>0</v>
      </c>
      <c r="Z62">
        <f t="shared" si="1"/>
        <v>0</v>
      </c>
      <c r="AA62">
        <f t="shared" si="2"/>
        <v>1</v>
      </c>
    </row>
    <row r="63" spans="1:27" x14ac:dyDescent="0.25">
      <c r="A63" s="171" t="str">
        <f t="shared" si="13"/>
        <v>Frugt</v>
      </c>
      <c r="B63" s="171" t="str">
        <f t="shared" si="14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16"/>
        <v>1</v>
      </c>
      <c r="E63" s="171">
        <f t="shared" si="15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750025.29549583921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forbrug'!J$3,'Forbrug af biomasse'!$B$2:$B$425,$F63)</f>
        <v>257923.29437791562</v>
      </c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9"/>
        <v>492102.00111792359</v>
      </c>
      <c r="P63" s="94">
        <f t="shared" si="4"/>
        <v>0</v>
      </c>
      <c r="Q63" s="180">
        <f t="shared" si="10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1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2"/>
        <v>0</v>
      </c>
      <c r="Z63">
        <f t="shared" si="1"/>
        <v>0</v>
      </c>
      <c r="AA63">
        <f t="shared" si="2"/>
        <v>1</v>
      </c>
    </row>
    <row r="64" spans="1:27" x14ac:dyDescent="0.25">
      <c r="A64" s="171" t="str">
        <f t="shared" si="13"/>
        <v>Glycerin</v>
      </c>
      <c r="B64" s="171" t="str">
        <f t="shared" si="14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16"/>
        <v>0</v>
      </c>
      <c r="E64" s="171">
        <f t="shared" si="15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forbrug'!J$3,'Forbrug af biomasse'!$B$2:$B$425,$F64)</f>
        <v>0</v>
      </c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0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9"/>
        <v>0</v>
      </c>
      <c r="P64" s="94">
        <f t="shared" si="4"/>
        <v>0</v>
      </c>
      <c r="Q64" s="180">
        <f t="shared" si="10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11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0</v>
      </c>
      <c r="X64">
        <f>K64*IFERROR(VLOOKUP(A64,[1]Tørstofindhold!A$2:B$24,2,FALSE),0)</f>
        <v>0</v>
      </c>
      <c r="Y64" s="170">
        <f t="shared" si="12"/>
        <v>0</v>
      </c>
      <c r="Z64">
        <f t="shared" si="1"/>
        <v>0</v>
      </c>
      <c r="AA64">
        <f t="shared" si="2"/>
        <v>0</v>
      </c>
    </row>
    <row r="65" spans="1:27" x14ac:dyDescent="0.25">
      <c r="A65" s="171" t="str">
        <f t="shared" si="13"/>
        <v>Græs</v>
      </c>
      <c r="B65" s="171" t="str">
        <f t="shared" si="14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16"/>
        <v>0</v>
      </c>
      <c r="E65" s="171">
        <f t="shared" si="15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20061837.661928307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10475226.633309843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forbrug'!J$3,'Forbrug af biomasse'!$B$2:$B$425,$F65)</f>
        <v>0</v>
      </c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14277650.729439929</v>
      </c>
      <c r="O65" s="179">
        <f t="shared" si="9"/>
        <v>-4691039.700821463</v>
      </c>
      <c r="P65" s="94">
        <f t="shared" si="4"/>
        <v>0</v>
      </c>
      <c r="Q65" s="180">
        <f t="shared" si="10"/>
        <v>0</v>
      </c>
      <c r="R65">
        <f>IFERROR(VLOOKUP(A65,[1]Energiindhold!$A$2:$C$11,3,FALSE),IFERROR(VLOOKUP(A65,[1]Biogasudbytte!$A$2:$B$18,2,FALSE)*[1]Energiindhold!$C$10,0))*P65</f>
        <v>0</v>
      </c>
      <c r="S65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0</v>
      </c>
      <c r="T65">
        <f>IFERROR(VLOOKUP(A65,[1]Biogasudbytte!$A$2:$B$18,2,FALSE)*[1]Energiindhold!$C$10,0)*K65*IFERROR(VLOOKUP(A65,Biogasanlæg!$F$3:$G$8,2,FALSE),1)</f>
        <v>0</v>
      </c>
      <c r="U65" s="170">
        <f t="shared" si="11"/>
        <v>0</v>
      </c>
      <c r="V65" s="169">
        <f>P65*IFERROR(VLOOKUP(A65,[1]Tørstofindhold!A$2:B$24,2,FALSE),0)</f>
        <v>0</v>
      </c>
      <c r="W65">
        <f>IF(E65=År1,Q65,SUM(P65,Q65))*IFERROR(VLOOKUP(A65,[1]Tørstofindhold!A$2:B$24,2,FALSE),0)</f>
        <v>0</v>
      </c>
      <c r="X65">
        <f>K65*IFERROR(VLOOKUP(A65,[1]Tørstofindhold!A$2:B$24,2,FALSE),0)</f>
        <v>0</v>
      </c>
      <c r="Y65" s="170">
        <f t="shared" si="12"/>
        <v>0</v>
      </c>
      <c r="Z65">
        <f t="shared" si="1"/>
        <v>1</v>
      </c>
      <c r="AA65">
        <f t="shared" si="2"/>
        <v>0</v>
      </c>
    </row>
    <row r="66" spans="1:27" x14ac:dyDescent="0.25">
      <c r="A66" s="171" t="str">
        <f t="shared" si="13"/>
        <v>Græsprotein</v>
      </c>
      <c r="B66" s="171" t="str">
        <f t="shared" si="14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16"/>
        <v>0</v>
      </c>
      <c r="E66" s="171">
        <f t="shared" si="15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2386814.7443207805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2386814.7443207805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forbrug'!J$3,'Forbrug af biomasse'!$B$2:$B$425,$F66)</f>
        <v>0</v>
      </c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9"/>
        <v>0</v>
      </c>
      <c r="P66" s="94">
        <f t="shared" si="4"/>
        <v>0</v>
      </c>
      <c r="Q66" s="180">
        <f t="shared" si="10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1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2"/>
        <v>0</v>
      </c>
      <c r="Z66">
        <f t="shared" si="1"/>
        <v>0</v>
      </c>
      <c r="AA66">
        <f t="shared" si="2"/>
        <v>0</v>
      </c>
    </row>
    <row r="67" spans="1:27" x14ac:dyDescent="0.25">
      <c r="A67" s="171" t="str">
        <f t="shared" si="13"/>
        <v>Grøntsager</v>
      </c>
      <c r="B67" s="171" t="str">
        <f t="shared" si="14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16"/>
        <v>1</v>
      </c>
      <c r="E67" s="171">
        <f t="shared" si="15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1055655.6204498296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forbrug'!J$3,'Forbrug af biomasse'!$B$2:$B$425,$F67)</f>
        <v>270140.71358529059</v>
      </c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9"/>
        <v>785514.90686453902</v>
      </c>
      <c r="P67" s="94">
        <f t="shared" si="4"/>
        <v>0</v>
      </c>
      <c r="Q67" s="180">
        <f t="shared" si="10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1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2"/>
        <v>0</v>
      </c>
      <c r="Z67">
        <f t="shared" si="1"/>
        <v>0</v>
      </c>
      <c r="AA67">
        <f t="shared" si="2"/>
        <v>1</v>
      </c>
    </row>
    <row r="68" spans="1:27" x14ac:dyDescent="0.25">
      <c r="A68" s="171" t="str">
        <f t="shared" si="13"/>
        <v>Halm</v>
      </c>
      <c r="B68" s="171" t="str">
        <f t="shared" si="14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16"/>
        <v>0</v>
      </c>
      <c r="E68" s="171">
        <f t="shared" si="15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2251816.1518870248</v>
      </c>
      <c r="H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541644.90666485392</v>
      </c>
      <c r="I68" s="390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496834.86508299207</v>
      </c>
      <c r="J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forbrug'!J$3,'Forbrug af biomasse'!$B$2:$B$425,$F68)</f>
        <v>0</v>
      </c>
      <c r="K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0</v>
      </c>
      <c r="L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0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1213336.3801391786</v>
      </c>
      <c r="N68" s="391">
        <f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si="9"/>
        <v>0</v>
      </c>
      <c r="P68" s="94">
        <f t="shared" ref="P68:P131" si="17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si="10"/>
        <v>1213336.3801391786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12.540809849344866</v>
      </c>
      <c r="T68">
        <f>IFERROR(VLOOKUP(A68,[1]Biogasudbytte!$A$2:$B$18,2,FALSE)*[1]Energiindhold!$C$10,0)*K68*IFERROR(VLOOKUP(A68,Biogasanlæg!$F$3:$G$8,2,FALSE),1)</f>
        <v>0</v>
      </c>
      <c r="U68" s="170">
        <f t="shared" si="11"/>
        <v>12.540809849344866</v>
      </c>
      <c r="V68" s="169">
        <f>P68*IFERROR(VLOOKUP(A68,[1]Tørstofindhold!A$2:B$24,2,FALSE),0)</f>
        <v>0</v>
      </c>
      <c r="W68">
        <f>IF(E68=År1,Q68,SUM(P68,Q68))*IFERROR(VLOOKUP(A68,[1]Tørstofindhold!A$2:B$24,2,FALSE),0)</f>
        <v>1031335.9231183018</v>
      </c>
      <c r="X68">
        <f>K68*IFERROR(VLOOKUP(A68,[1]Tørstofindhold!A$2:B$24,2,FALSE),0)</f>
        <v>0</v>
      </c>
      <c r="Y68" s="170">
        <f t="shared" si="12"/>
        <v>1031335.9231183018</v>
      </c>
      <c r="Z68">
        <f t="shared" ref="Z68:Z131" si="18">IF(SUMIFS($O$4:$O$291,$A$4:$A$291,A68,$E$4:$E$291,E68)&lt;0,1,0)</f>
        <v>0</v>
      </c>
      <c r="AA68">
        <f t="shared" ref="AA68:AA131" si="19">IF(SUMIFS($O$4:$O$291,$A$4:$A$291,A68,$E$4:$E$291,E68)&gt;0,1,0)</f>
        <v>0</v>
      </c>
    </row>
    <row r="69" spans="1:27" x14ac:dyDescent="0.25">
      <c r="A69" s="171" t="str">
        <f t="shared" si="13"/>
        <v>Have/parkaffald</v>
      </c>
      <c r="B69" s="171" t="str">
        <f t="shared" si="14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16"/>
        <v>0</v>
      </c>
      <c r="E69" s="171">
        <f t="shared" si="15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forbrug'!J$3,'Forbrug af biomasse'!$B$2:$B$425,$F69)</f>
        <v>0</v>
      </c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0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526734.10986839118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9"/>
        <v>0</v>
      </c>
      <c r="P69" s="94">
        <f t="shared" si="17"/>
        <v>0</v>
      </c>
      <c r="Q69" s="180">
        <f t="shared" si="10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9.4033734851313486</v>
      </c>
      <c r="T69">
        <f>IFERROR(VLOOKUP(A69,[1]Biogasudbytte!$A$2:$B$18,2,FALSE)*[1]Energiindhold!$C$10,0)*K69*IFERROR(VLOOKUP(A69,Biogasanlæg!$F$3:$G$8,2,FALSE),1)</f>
        <v>0</v>
      </c>
      <c r="U69" s="170">
        <f t="shared" si="11"/>
        <v>9.4033734851313486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0</v>
      </c>
      <c r="Y69" s="170">
        <f t="shared" si="12"/>
        <v>158020.23296051734</v>
      </c>
      <c r="Z69">
        <f t="shared" si="18"/>
        <v>0</v>
      </c>
      <c r="AA69">
        <f t="shared" si="19"/>
        <v>0</v>
      </c>
    </row>
    <row r="70" spans="1:27" x14ac:dyDescent="0.25">
      <c r="A70" s="171" t="str">
        <f t="shared" si="13"/>
        <v>Import af foder</v>
      </c>
      <c r="B70" s="171" t="str">
        <f t="shared" si="14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16"/>
        <v>1</v>
      </c>
      <c r="E70" s="171">
        <f t="shared" si="15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2182533.5827186201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forbrug'!J$3,'Forbrug af biomasse'!$B$2:$B$425,$F70)</f>
        <v>0</v>
      </c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9"/>
        <v>-2182533.5827186201</v>
      </c>
      <c r="P70" s="94">
        <f t="shared" si="17"/>
        <v>0</v>
      </c>
      <c r="Q70" s="180">
        <f t="shared" si="1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1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2"/>
        <v>0</v>
      </c>
      <c r="Z70">
        <f t="shared" si="18"/>
        <v>1</v>
      </c>
      <c r="AA70">
        <f t="shared" si="19"/>
        <v>0</v>
      </c>
    </row>
    <row r="71" spans="1:27" x14ac:dyDescent="0.25">
      <c r="A71" s="171" t="str">
        <f t="shared" si="13"/>
        <v>Industriaffald</v>
      </c>
      <c r="B71" s="171" t="str">
        <f t="shared" si="14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16"/>
        <v>0</v>
      </c>
      <c r="E71" s="171">
        <f t="shared" si="15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421188.13344095187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forbrug'!J$3,'Forbrug af biomasse'!$B$2:$B$425,$F71)</f>
        <v>0</v>
      </c>
      <c r="K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0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si="9"/>
        <v>421188.13344095187</v>
      </c>
      <c r="P71" s="94">
        <f t="shared" si="17"/>
        <v>421188.13344095187</v>
      </c>
      <c r="Q71" s="180">
        <f t="shared" si="10"/>
        <v>0</v>
      </c>
      <c r="R71">
        <f>IFERROR(VLOOKUP(A71,[1]Energiindhold!$A$2:$C$11,3,FALSE),IFERROR(VLOOKUP(A71,[1]Biogasudbytte!$A$2:$B$18,2,FALSE)*[1]Energiindhold!$C$10,0))*P71</f>
        <v>1.8250629366569919</v>
      </c>
      <c r="S71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1.8250629366569919</v>
      </c>
      <c r="T71">
        <f>IFERROR(VLOOKUP(A71,[1]Biogasudbytte!$A$2:$B$18,2,FALSE)*[1]Energiindhold!$C$10,0)*K71*IFERROR(VLOOKUP(A71,Biogasanlæg!$F$3:$G$8,2,FALSE),1)</f>
        <v>0</v>
      </c>
      <c r="U71" s="170">
        <f t="shared" si="11"/>
        <v>1.8250629366569919</v>
      </c>
      <c r="V71" s="169">
        <f>P71*IFERROR(VLOOKUP(A71,[1]Tørstofindhold!A$2:B$24,2,FALSE),0)</f>
        <v>176899.01604519979</v>
      </c>
      <c r="W71">
        <f>IF(E71=År1,Q71,SUM(P71,Q71))*IFERROR(VLOOKUP(A71,[1]Tørstofindhold!A$2:B$24,2,FALSE),0)</f>
        <v>176899.01604519979</v>
      </c>
      <c r="X71">
        <f>K71*IFERROR(VLOOKUP(A71,[1]Tørstofindhold!A$2:B$24,2,FALSE),0)</f>
        <v>0</v>
      </c>
      <c r="Y71" s="170">
        <f t="shared" si="12"/>
        <v>176899.01604519979</v>
      </c>
      <c r="Z71">
        <f t="shared" si="18"/>
        <v>0</v>
      </c>
      <c r="AA71">
        <f t="shared" si="19"/>
        <v>1</v>
      </c>
    </row>
    <row r="72" spans="1:27" x14ac:dyDescent="0.25">
      <c r="A72" s="171" t="str">
        <f t="shared" si="13"/>
        <v>Juletræer</v>
      </c>
      <c r="B72" s="171" t="str">
        <f t="shared" si="14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16"/>
        <v>0</v>
      </c>
      <c r="E72" s="171">
        <f t="shared" si="15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681865.66095142043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forbrug'!J$3,'Forbrug af biomasse'!$B$2:$B$425,$F72)</f>
        <v>0</v>
      </c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9"/>
        <v>681865.66095142043</v>
      </c>
      <c r="P72" s="94">
        <f t="shared" si="17"/>
        <v>0</v>
      </c>
      <c r="Q72" s="180">
        <f t="shared" si="1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1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2"/>
        <v>0</v>
      </c>
      <c r="Z72">
        <f t="shared" si="18"/>
        <v>0</v>
      </c>
      <c r="AA72">
        <f t="shared" si="19"/>
        <v>1</v>
      </c>
    </row>
    <row r="73" spans="1:27" x14ac:dyDescent="0.25">
      <c r="A73" s="171" t="str">
        <f t="shared" si="13"/>
        <v>Kartofler</v>
      </c>
      <c r="B73" s="171" t="str">
        <f t="shared" si="14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16"/>
        <v>1</v>
      </c>
      <c r="E73" s="171">
        <f t="shared" si="15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1695915.6587194109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forbrug'!J$3,'Forbrug af biomasse'!$B$2:$B$425,$F73)</f>
        <v>123531.68309679118</v>
      </c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9"/>
        <v>1572383.9756226197</v>
      </c>
      <c r="P73" s="94">
        <f t="shared" si="17"/>
        <v>0</v>
      </c>
      <c r="Q73" s="180">
        <f t="shared" si="1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1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2"/>
        <v>0</v>
      </c>
      <c r="Z73">
        <f t="shared" si="18"/>
        <v>0</v>
      </c>
      <c r="AA73">
        <f t="shared" si="19"/>
        <v>1</v>
      </c>
    </row>
    <row r="74" spans="1:27" x14ac:dyDescent="0.25">
      <c r="A74" s="171" t="str">
        <f t="shared" si="13"/>
        <v>Korn</v>
      </c>
      <c r="B74" s="171" t="str">
        <f t="shared" si="14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16"/>
        <v>1</v>
      </c>
      <c r="E74" s="171">
        <f t="shared" si="15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4663363.7758037988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2657507.9598111873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forbrug'!J$3,'Forbrug af biomasse'!$B$2:$B$425,$F74)</f>
        <v>295933.04302308214</v>
      </c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9"/>
        <v>1709922.7729695295</v>
      </c>
      <c r="P74" s="94">
        <f t="shared" si="17"/>
        <v>1709922.7729695295</v>
      </c>
      <c r="Q74" s="180">
        <f t="shared" si="10"/>
        <v>0</v>
      </c>
      <c r="R74">
        <f>IFERROR(VLOOKUP(A74,[1]Energiindhold!$A$2:$C$11,3,FALSE),IFERROR(VLOOKUP(A74,[1]Biogasudbytte!$A$2:$B$18,2,FALSE)*[1]Energiindhold!$C$10,0))*P74</f>
        <v>5.8562461082324235</v>
      </c>
      <c r="S74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5.8562461082324235</v>
      </c>
      <c r="T74">
        <f>IFERROR(VLOOKUP(A74,[1]Biogasudbytte!$A$2:$B$18,2,FALSE)*[1]Energiindhold!$C$10,0)*K74*IFERROR(VLOOKUP(A74,Biogasanlæg!$F$3:$G$8,2,FALSE),1)</f>
        <v>0</v>
      </c>
      <c r="U74" s="170">
        <f t="shared" si="11"/>
        <v>5.8562461082324235</v>
      </c>
      <c r="V74" s="169">
        <f>P74*IFERROR(VLOOKUP(A74,[1]Tørstofindhold!A$2:B$24,2,FALSE),0)</f>
        <v>530076.05962055409</v>
      </c>
      <c r="W74">
        <f>IF(E74=År1,Q74,SUM(P74,Q74))*IFERROR(VLOOKUP(A74,[1]Tørstofindhold!A$2:B$24,2,FALSE),0)</f>
        <v>530076.05962055409</v>
      </c>
      <c r="X74">
        <f>K74*IFERROR(VLOOKUP(A74,[1]Tørstofindhold!A$2:B$24,2,FALSE),0)</f>
        <v>0</v>
      </c>
      <c r="Y74" s="170">
        <f t="shared" si="12"/>
        <v>530076.05962055409</v>
      </c>
      <c r="Z74">
        <f t="shared" si="18"/>
        <v>0</v>
      </c>
      <c r="AA74">
        <f t="shared" si="19"/>
        <v>1</v>
      </c>
    </row>
    <row r="75" spans="1:27" x14ac:dyDescent="0.25">
      <c r="A75" s="171" t="str">
        <f t="shared" si="13"/>
        <v>Kunstgødning</v>
      </c>
      <c r="B75" s="171" t="str">
        <f t="shared" si="14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16"/>
        <v>0</v>
      </c>
      <c r="E75" s="171">
        <f t="shared" si="15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forbrug'!J$3,'Forbrug af biomasse'!$B$2:$B$425,$F75)</f>
        <v>0</v>
      </c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1027550.6043709198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9"/>
        <v>-1027550.6043709198</v>
      </c>
      <c r="P75" s="94">
        <f t="shared" si="17"/>
        <v>0</v>
      </c>
      <c r="Q75" s="180">
        <f t="shared" si="1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1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2"/>
        <v>0</v>
      </c>
      <c r="Z75">
        <f t="shared" ca="1" si="18"/>
        <v>1</v>
      </c>
      <c r="AA75">
        <f t="shared" ca="1" si="19"/>
        <v>0</v>
      </c>
    </row>
    <row r="76" spans="1:27" x14ac:dyDescent="0.25">
      <c r="A76" s="171" t="str">
        <f t="shared" si="13"/>
        <v>Kvæggylle</v>
      </c>
      <c r="B76" s="171" t="str">
        <f t="shared" si="14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16"/>
        <v>0</v>
      </c>
      <c r="E76" s="171">
        <f t="shared" si="15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9729036.5778426565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forbrug'!J$3,'Forbrug af biomasse'!$B$2:$B$425,$F76)</f>
        <v>0</v>
      </c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7296777.4333819924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2432259.1444606641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9"/>
        <v>0</v>
      </c>
      <c r="P76" s="94">
        <f t="shared" si="17"/>
        <v>0</v>
      </c>
      <c r="Q76" s="180">
        <f t="shared" si="10"/>
        <v>7296777.4333819924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3.6935557690036314</v>
      </c>
      <c r="T76">
        <f>IFERROR(VLOOKUP(A76,[1]Biogasudbytte!$A$2:$B$18,2,FALSE)*[1]Energiindhold!$C$10,0)*K76*IFERROR(VLOOKUP(A76,Biogasanlæg!$F$3:$G$8,2,FALSE),1)</f>
        <v>3.6935557690036314</v>
      </c>
      <c r="U76" s="170">
        <f t="shared" si="11"/>
        <v>0</v>
      </c>
      <c r="V76" s="169">
        <f>P76*IFERROR(VLOOKUP(A76,[1]Tørstofindhold!A$2:B$24,2,FALSE),0)</f>
        <v>0</v>
      </c>
      <c r="W76">
        <f>IF(E76=År1,Q76,SUM(P76,Q76))*IFERROR(VLOOKUP(A76,[1]Tørstofindhold!A$2:B$24,2,FALSE),0)</f>
        <v>554555.08493703138</v>
      </c>
      <c r="X76">
        <f>K76*IFERROR(VLOOKUP(A76,[1]Tørstofindhold!A$2:B$24,2,FALSE),0)</f>
        <v>554555.08493703138</v>
      </c>
      <c r="Y76" s="170">
        <f t="shared" si="12"/>
        <v>0</v>
      </c>
      <c r="Z76">
        <f t="shared" si="18"/>
        <v>0</v>
      </c>
      <c r="AA76">
        <f t="shared" si="19"/>
        <v>0</v>
      </c>
    </row>
    <row r="77" spans="1:27" x14ac:dyDescent="0.25">
      <c r="A77" s="171" t="str">
        <f t="shared" si="13"/>
        <v>Mælk til foder</v>
      </c>
      <c r="B77" s="171" t="str">
        <f t="shared" si="14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16"/>
        <v>0</v>
      </c>
      <c r="E77" s="171">
        <f t="shared" si="15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706621.13097372942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685129.28051204176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forbrug'!J$3,'Forbrug af biomasse'!$B$2:$B$425,$F77)</f>
        <v>0</v>
      </c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9"/>
        <v>21491.85046168766</v>
      </c>
      <c r="P77" s="94">
        <f t="shared" si="17"/>
        <v>0</v>
      </c>
      <c r="Q77" s="180">
        <f t="shared" si="1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1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2"/>
        <v>0</v>
      </c>
      <c r="Z77">
        <f t="shared" si="18"/>
        <v>1</v>
      </c>
      <c r="AA77">
        <f t="shared" si="19"/>
        <v>0</v>
      </c>
    </row>
    <row r="78" spans="1:27" x14ac:dyDescent="0.25">
      <c r="A78" s="171" t="str">
        <f t="shared" si="13"/>
        <v>Majs</v>
      </c>
      <c r="B78" s="171" t="str">
        <f t="shared" si="14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16"/>
        <v>1</v>
      </c>
      <c r="E78" s="171">
        <f t="shared" si="15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3948930.9849556261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2557087.1196415746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forbrug'!J$3,'Forbrug af biomasse'!$B$2:$B$425,$F78)</f>
        <v>0</v>
      </c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9"/>
        <v>1391843.8653140515</v>
      </c>
      <c r="P78" s="94">
        <f t="shared" si="17"/>
        <v>1391843.8653140515</v>
      </c>
      <c r="Q78" s="180">
        <f t="shared" si="10"/>
        <v>0</v>
      </c>
      <c r="R78">
        <f>IFERROR(VLOOKUP(A78,[1]Energiindhold!$A$2:$C$11,3,FALSE),IFERROR(VLOOKUP(A78,[1]Biogasudbytte!$A$2:$B$18,2,FALSE)*[1]Energiindhold!$C$10,0))*P78</f>
        <v>4.9967194764774456</v>
      </c>
      <c r="S78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4.9967194764774456</v>
      </c>
      <c r="T78">
        <f>IFERROR(VLOOKUP(A78,[1]Biogasudbytte!$A$2:$B$18,2,FALSE)*[1]Energiindhold!$C$10,0)*K78*IFERROR(VLOOKUP(A78,Biogasanlæg!$F$3:$G$8,2,FALSE),1)</f>
        <v>0</v>
      </c>
      <c r="U78" s="170">
        <f t="shared" si="11"/>
        <v>4.9967194764774456</v>
      </c>
      <c r="V78" s="169">
        <f>P78*IFERROR(VLOOKUP(A78,[1]Tørstofindhold!A$2:B$24,2,FALSE),0)</f>
        <v>417553.15959421545</v>
      </c>
      <c r="W78">
        <f>IF(E78=År1,Q78,SUM(P78,Q78))*IFERROR(VLOOKUP(A78,[1]Tørstofindhold!A$2:B$24,2,FALSE),0)</f>
        <v>417553.15959421545</v>
      </c>
      <c r="X78">
        <f>K78*IFERROR(VLOOKUP(A78,[1]Tørstofindhold!A$2:B$24,2,FALSE),0)</f>
        <v>0</v>
      </c>
      <c r="Y78" s="170">
        <f t="shared" si="12"/>
        <v>417553.15959421545</v>
      </c>
      <c r="Z78">
        <f t="shared" si="18"/>
        <v>0</v>
      </c>
      <c r="AA78">
        <f t="shared" si="19"/>
        <v>1</v>
      </c>
    </row>
    <row r="79" spans="1:27" x14ac:dyDescent="0.25">
      <c r="A79" s="171" t="str">
        <f t="shared" si="13"/>
        <v>Mejeriprodukter</v>
      </c>
      <c r="B79" s="171" t="str">
        <f t="shared" si="14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16"/>
        <v>1</v>
      </c>
      <c r="E79" s="171">
        <f t="shared" si="15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1363412.0539430196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forbrug'!J$3,'Forbrug af biomasse'!$B$2:$B$425,$F79)</f>
        <v>472406.87601849809</v>
      </c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9"/>
        <v>891005.1779245215</v>
      </c>
      <c r="P79" s="94">
        <f t="shared" si="17"/>
        <v>0</v>
      </c>
      <c r="Q79" s="180">
        <f t="shared" si="1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1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2"/>
        <v>0</v>
      </c>
      <c r="Z79">
        <f t="shared" si="18"/>
        <v>0</v>
      </c>
      <c r="AA79">
        <f t="shared" si="19"/>
        <v>1</v>
      </c>
    </row>
    <row r="80" spans="1:27" x14ac:dyDescent="0.25">
      <c r="A80" s="171" t="str">
        <f t="shared" si="13"/>
        <v>Muslinger</v>
      </c>
      <c r="B80" s="171" t="str">
        <f t="shared" si="14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16"/>
        <v>1</v>
      </c>
      <c r="E80" s="171">
        <f t="shared" si="15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forbrug'!J$3,'Forbrug af biomasse'!$B$2:$B$425,$F80)</f>
        <v>0</v>
      </c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9"/>
        <v>878.90231344976178</v>
      </c>
      <c r="P80" s="94">
        <f t="shared" si="17"/>
        <v>878.90231344976178</v>
      </c>
      <c r="Q80" s="180">
        <f t="shared" si="10"/>
        <v>0</v>
      </c>
      <c r="R80">
        <f>IFERROR(VLOOKUP(A80,[1]Energiindhold!$A$2:$C$11,3,FALSE),IFERROR(VLOOKUP(A80,[1]Biogasudbytte!$A$2:$B$18,2,FALSE)*[1]Energiindhold!$C$10,0))*P80</f>
        <v>7.8881482632116122E-4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si="11"/>
        <v>7.8881482632116122E-4</v>
      </c>
      <c r="V80" s="169">
        <f>P80*IFERROR(VLOOKUP(A80,[1]Tørstofindhold!A$2:B$24,2,FALSE),0)</f>
        <v>131.83534701746427</v>
      </c>
      <c r="W80">
        <f>IF(E80=År1,Q80,SUM(P80,Q80))*IFERROR(VLOOKUP(A80,[1]Tørstofindhold!A$2:B$24,2,FALSE),0)</f>
        <v>131.83534701746427</v>
      </c>
      <c r="X80">
        <f>K80*IFERROR(VLOOKUP(A80,[1]Tørstofindhold!A$2:B$24,2,FALSE),0)</f>
        <v>0</v>
      </c>
      <c r="Y80" s="170">
        <f t="shared" si="12"/>
        <v>131.83534701746427</v>
      </c>
      <c r="Z80">
        <f t="shared" si="18"/>
        <v>0</v>
      </c>
      <c r="AA80">
        <f t="shared" si="19"/>
        <v>1</v>
      </c>
    </row>
    <row r="81" spans="1:27" x14ac:dyDescent="0.25">
      <c r="A81" s="171" t="str">
        <f t="shared" si="13"/>
        <v>Oksekød</v>
      </c>
      <c r="B81" s="171" t="str">
        <f t="shared" si="14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16"/>
        <v>1</v>
      </c>
      <c r="E81" s="171">
        <f t="shared" si="15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87951.528514645848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forbrug'!J$3,'Forbrug af biomasse'!$B$2:$B$425,$F81)</f>
        <v>60028.253038902265</v>
      </c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9"/>
        <v>27923.275475743583</v>
      </c>
      <c r="P81" s="94">
        <f t="shared" si="17"/>
        <v>0</v>
      </c>
      <c r="Q81" s="180">
        <f t="shared" si="1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1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2"/>
        <v>0</v>
      </c>
      <c r="Z81">
        <f t="shared" si="18"/>
        <v>1</v>
      </c>
      <c r="AA81">
        <f t="shared" si="19"/>
        <v>0</v>
      </c>
    </row>
    <row r="82" spans="1:27" x14ac:dyDescent="0.25">
      <c r="A82" s="171" t="str">
        <f t="shared" si="13"/>
        <v>Øvrige</v>
      </c>
      <c r="B82" s="171" t="str">
        <f t="shared" si="14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16"/>
        <v>1</v>
      </c>
      <c r="E82" s="171">
        <f t="shared" si="15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982115.03636884945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forbrug'!J$3,'Forbrug af biomasse'!$B$2:$B$425,$F82)</f>
        <v>0</v>
      </c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9"/>
        <v>982115.03636884945</v>
      </c>
      <c r="P82" s="94">
        <f t="shared" si="17"/>
        <v>0</v>
      </c>
      <c r="Q82" s="180">
        <f t="shared" si="1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1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2"/>
        <v>0</v>
      </c>
      <c r="Z82">
        <f t="shared" si="18"/>
        <v>0</v>
      </c>
      <c r="AA82">
        <f t="shared" si="19"/>
        <v>1</v>
      </c>
    </row>
    <row r="83" spans="1:27" x14ac:dyDescent="0.25">
      <c r="A83" s="171" t="str">
        <f t="shared" si="13"/>
        <v>Pil &amp; poppel</v>
      </c>
      <c r="B83" s="171" t="str">
        <f t="shared" si="14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16"/>
        <v>0</v>
      </c>
      <c r="E83" s="171">
        <f t="shared" si="15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896780.35875026754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forbrug'!J$3,'Forbrug af biomasse'!$B$2:$B$425,$F83)</f>
        <v>0</v>
      </c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896780.35875026754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0">G83-SUM(H83:N83)</f>
        <v>0</v>
      </c>
      <c r="P83" s="94">
        <f t="shared" si="17"/>
        <v>0</v>
      </c>
      <c r="Q83" s="180">
        <f t="shared" ref="Q83:Q150" si="21">SUM(K83,M83)</f>
        <v>896780.35875026754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16.500758601004918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2">S83-T83</f>
        <v>16.500758601004918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372163.84888136107</v>
      </c>
      <c r="X83">
        <f>K83*IFERROR(VLOOKUP(A83,[1]Tørstofindhold!A$2:B$24,2,FALSE),0)</f>
        <v>0</v>
      </c>
      <c r="Y83" s="170">
        <f t="shared" ref="Y83:Y150" si="23">W83-X83</f>
        <v>372163.84888136107</v>
      </c>
      <c r="Z83">
        <f t="shared" si="18"/>
        <v>0</v>
      </c>
      <c r="AA83">
        <f t="shared" si="19"/>
        <v>0</v>
      </c>
    </row>
    <row r="84" spans="1:27" x14ac:dyDescent="0.25">
      <c r="A84" s="171" t="str">
        <f>A36</f>
        <v>Pyrolysegas</v>
      </c>
      <c r="B84" s="171" t="str">
        <f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16"/>
        <v>0</v>
      </c>
      <c r="E84" s="171">
        <f t="shared" si="15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forbrug'!J$3,'Forbrug af biomasse'!$B$2:$B$425,$F84)</f>
        <v>0</v>
      </c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>G84-SUM(H84:N84)</f>
        <v>0</v>
      </c>
      <c r="P84" s="94">
        <f t="shared" si="17"/>
        <v>0</v>
      </c>
      <c r="Q84" s="180">
        <f>SUM(K84,M84)</f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>S84-T84</f>
        <v>0</v>
      </c>
      <c r="V84" s="169">
        <f>P84*IFERROR(VLOOKUP(A84,[1]Tørstofindhold!A$2:B$24,2,FALSE),0)</f>
        <v>0</v>
      </c>
      <c r="W84">
        <f>IF(E84=År1,Q84,SUM(P84,Q84))*IFERROR(VLOOKUP(A84,[1]Tørstofindhold!A$2:B$24,2,FALSE),0)</f>
        <v>0</v>
      </c>
      <c r="X84">
        <f>K84*IFERROR(VLOOKUP(A84,[1]Tørstofindhold!A$2:B$24,2,FALSE),0)</f>
        <v>0</v>
      </c>
      <c r="Y84" s="170">
        <f>W84-X84</f>
        <v>0</v>
      </c>
      <c r="Z84">
        <f t="shared" si="18"/>
        <v>0</v>
      </c>
      <c r="AA84">
        <f t="shared" si="19"/>
        <v>0</v>
      </c>
    </row>
    <row r="85" spans="1:27" x14ac:dyDescent="0.25">
      <c r="A85" s="171" t="str">
        <f>A37</f>
        <v>Pyrolyseolie</v>
      </c>
      <c r="B85" s="171" t="str">
        <f>IF(B37&lt;&gt;"",B37,"")</f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16"/>
        <v>0</v>
      </c>
      <c r="E85" s="171">
        <f t="shared" si="15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forbrug'!J$3,'Forbrug af biomasse'!$B$2:$B$425,$F85)</f>
        <v>0</v>
      </c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>G85-SUM(H85:N85)</f>
        <v>0</v>
      </c>
      <c r="P85" s="94">
        <f t="shared" si="17"/>
        <v>0</v>
      </c>
      <c r="Q85" s="180">
        <f>SUM(K85,M85)</f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>S85-T85</f>
        <v>0</v>
      </c>
      <c r="V85" s="169">
        <f>P85*IFERROR(VLOOKUP(A85,[1]Tørstofindhold!A$2:B$24,2,FALSE),0)</f>
        <v>0</v>
      </c>
      <c r="W85">
        <f>IF(E85=År1,Q85,SUM(P85,Q85))*IFERROR(VLOOKUP(A85,[1]Tørstofindhold!A$2:B$24,2,FALSE),0)</f>
        <v>0</v>
      </c>
      <c r="X85">
        <f>K85*IFERROR(VLOOKUP(A85,[1]Tørstofindhold!A$2:B$24,2,FALSE),0)</f>
        <v>0</v>
      </c>
      <c r="Y85" s="170">
        <f>W85-X85</f>
        <v>0</v>
      </c>
      <c r="Z85">
        <f t="shared" si="18"/>
        <v>0</v>
      </c>
      <c r="AA85">
        <f t="shared" si="19"/>
        <v>0</v>
      </c>
    </row>
    <row r="86" spans="1:27" x14ac:dyDescent="0.25">
      <c r="A86" s="171" t="str">
        <f t="shared" ref="A86:A131" si="24">A38</f>
        <v>Råmælk</v>
      </c>
      <c r="B86" s="171" t="str">
        <f t="shared" ref="B86:B131" si="25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16"/>
        <v>0</v>
      </c>
      <c r="E86" s="171">
        <f t="shared" si="15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2123110.9588889731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forbrug'!J$3,'Forbrug af biomasse'!$B$2:$B$425,$F86)</f>
        <v>0</v>
      </c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0"/>
        <v>2123110.9588889731</v>
      </c>
      <c r="P86" s="94">
        <f t="shared" si="17"/>
        <v>0</v>
      </c>
      <c r="Q86" s="180">
        <f t="shared" si="21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2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3"/>
        <v>0</v>
      </c>
      <c r="Z86">
        <f t="shared" si="18"/>
        <v>0</v>
      </c>
      <c r="AA86">
        <f t="shared" si="19"/>
        <v>1</v>
      </c>
    </row>
    <row r="87" spans="1:27" x14ac:dyDescent="0.25">
      <c r="A87" s="171" t="str">
        <f t="shared" si="24"/>
        <v>Raps</v>
      </c>
      <c r="B87" s="171" t="str">
        <f t="shared" si="25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16"/>
        <v>0</v>
      </c>
      <c r="E87" s="171">
        <f t="shared" si="15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736256.34152477351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forbrug'!J$3,'Forbrug af biomasse'!$B$2:$B$425,$F87)</f>
        <v>0</v>
      </c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736256.34152477351</v>
      </c>
      <c r="O87" s="179">
        <f t="shared" si="20"/>
        <v>0</v>
      </c>
      <c r="P87" s="94">
        <f t="shared" si="17"/>
        <v>0</v>
      </c>
      <c r="Q87" s="180">
        <f t="shared" si="21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2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3"/>
        <v>0</v>
      </c>
      <c r="Z87">
        <f t="shared" si="18"/>
        <v>0</v>
      </c>
      <c r="AA87">
        <f t="shared" si="19"/>
        <v>0</v>
      </c>
    </row>
    <row r="88" spans="1:27" x14ac:dyDescent="0.25">
      <c r="A88" s="171" t="str">
        <f t="shared" si="24"/>
        <v>Rapskage</v>
      </c>
      <c r="B88" s="171" t="str">
        <f t="shared" si="25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16"/>
        <v>0</v>
      </c>
      <c r="E88" s="171">
        <f t="shared" si="15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368128.17076238676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188096.56093269461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forbrug'!J$3,'Forbrug af biomasse'!$B$2:$B$425,$F88)</f>
        <v>0</v>
      </c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0"/>
        <v>180031.60982969214</v>
      </c>
      <c r="P88" s="94">
        <f t="shared" si="17"/>
        <v>0</v>
      </c>
      <c r="Q88" s="180">
        <f t="shared" si="21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2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3"/>
        <v>0</v>
      </c>
      <c r="Z88">
        <f t="shared" si="18"/>
        <v>0</v>
      </c>
      <c r="AA88">
        <f t="shared" si="19"/>
        <v>1</v>
      </c>
    </row>
    <row r="89" spans="1:27" x14ac:dyDescent="0.25">
      <c r="A89" s="171" t="str">
        <f t="shared" si="24"/>
        <v>Rapsolie</v>
      </c>
      <c r="B89" s="171" t="str">
        <f t="shared" si="25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16"/>
        <v>1</v>
      </c>
      <c r="E89" s="171">
        <f t="shared" si="15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235602.02928792752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forbrug'!J$3,'Forbrug af biomasse'!$B$2:$B$425,$F89)</f>
        <v>0</v>
      </c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235602.02928792752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0"/>
        <v>0</v>
      </c>
      <c r="P89" s="94">
        <f t="shared" si="17"/>
        <v>0</v>
      </c>
      <c r="Q89" s="180">
        <f t="shared" si="21"/>
        <v>235602.02928792752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8.2460710250774625</v>
      </c>
      <c r="T89">
        <f>IFERROR(VLOOKUP(A89,[1]Biogasudbytte!$A$2:$B$18,2,FALSE)*[1]Energiindhold!$C$10,0)*K89*IFERROR(VLOOKUP(A89,Biogasanlæg!$F$3:$G$8,2,FALSE),1)</f>
        <v>0</v>
      </c>
      <c r="U89" s="170">
        <f t="shared" si="22"/>
        <v>8.2460710250774625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3"/>
        <v>0</v>
      </c>
      <c r="Z89">
        <f t="shared" si="18"/>
        <v>0</v>
      </c>
      <c r="AA89">
        <f t="shared" si="19"/>
        <v>0</v>
      </c>
    </row>
    <row r="90" spans="1:27" x14ac:dyDescent="0.25">
      <c r="A90" s="171" t="str">
        <f t="shared" si="24"/>
        <v>Roer</v>
      </c>
      <c r="B90" s="171" t="str">
        <f t="shared" si="25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16"/>
        <v>1</v>
      </c>
      <c r="E90" s="171">
        <f t="shared" si="15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1903494.0653747609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589344.8057454204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forbrug'!J$3,'Forbrug af biomasse'!$B$2:$B$425,$F90)</f>
        <v>0</v>
      </c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0"/>
        <v>1314149.2596293404</v>
      </c>
      <c r="P90" s="94">
        <f t="shared" si="17"/>
        <v>1314149.2596293404</v>
      </c>
      <c r="Q90" s="180">
        <f t="shared" si="21"/>
        <v>0</v>
      </c>
      <c r="R90">
        <f>IFERROR(VLOOKUP(A90,[1]Energiindhold!$A$2:$C$11,3,FALSE),IFERROR(VLOOKUP(A90,[1]Biogasudbytte!$A$2:$B$18,2,FALSE)*[1]Energiindhold!$C$10,0))*P90</f>
        <v>3.5666536566044149</v>
      </c>
      <c r="S90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3.5666536566044149</v>
      </c>
      <c r="T90">
        <f>IFERROR(VLOOKUP(A90,[1]Biogasudbytte!$A$2:$B$18,2,FALSE)*[1]Energiindhold!$C$10,0)*K90*IFERROR(VLOOKUP(A90,Biogasanlæg!$F$3:$G$8,2,FALSE),1)</f>
        <v>0</v>
      </c>
      <c r="U90" s="170">
        <f t="shared" si="22"/>
        <v>3.5666536566044149</v>
      </c>
      <c r="V90" s="169">
        <f>P90*IFERROR(VLOOKUP(A90,[1]Tørstofindhold!A$2:B$24,2,FALSE),0)</f>
        <v>262829.85192586808</v>
      </c>
      <c r="W90">
        <f>IF(E90=År1,Q90,SUM(P90,Q90))*IFERROR(VLOOKUP(A90,[1]Tørstofindhold!A$2:B$24,2,FALSE),0)</f>
        <v>262829.85192586808</v>
      </c>
      <c r="X90">
        <f>K90*IFERROR(VLOOKUP(A90,[1]Tørstofindhold!A$2:B$24,2,FALSE),0)</f>
        <v>0</v>
      </c>
      <c r="Y90" s="170">
        <f t="shared" si="23"/>
        <v>262829.85192586808</v>
      </c>
      <c r="Z90">
        <f t="shared" si="18"/>
        <v>0</v>
      </c>
      <c r="AA90">
        <f t="shared" si="19"/>
        <v>1</v>
      </c>
    </row>
    <row r="91" spans="1:27" x14ac:dyDescent="0.25">
      <c r="A91" s="171" t="str">
        <f t="shared" si="24"/>
        <v>Slagteriaffald til andet</v>
      </c>
      <c r="B91" s="171" t="str">
        <f t="shared" si="25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16"/>
        <v>0</v>
      </c>
      <c r="E91" s="171">
        <f t="shared" si="15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141637.01837439084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forbrug'!J$3,'Forbrug af biomasse'!$B$2:$B$425,$F91)</f>
        <v>0</v>
      </c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0"/>
        <v>141637.01837439084</v>
      </c>
      <c r="P91" s="94">
        <f t="shared" si="17"/>
        <v>0</v>
      </c>
      <c r="Q91" s="180">
        <f t="shared" si="21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2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3"/>
        <v>0</v>
      </c>
      <c r="Z91">
        <f t="shared" si="18"/>
        <v>0</v>
      </c>
      <c r="AA91">
        <f t="shared" si="19"/>
        <v>1</v>
      </c>
    </row>
    <row r="92" spans="1:27" x14ac:dyDescent="0.25">
      <c r="A92" s="171" t="str">
        <f t="shared" si="24"/>
        <v>Slagteriaffald til foder</v>
      </c>
      <c r="B92" s="171" t="str">
        <f t="shared" si="25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16"/>
        <v>0</v>
      </c>
      <c r="E92" s="171">
        <f t="shared" si="15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90522.550539010685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27615.731046643767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forbrug'!J$3,'Forbrug af biomasse'!$B$2:$B$425,$F92)</f>
        <v>0</v>
      </c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0"/>
        <v>62906.819492366922</v>
      </c>
      <c r="P92" s="94">
        <f t="shared" si="17"/>
        <v>0</v>
      </c>
      <c r="Q92" s="180">
        <f t="shared" si="21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2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3"/>
        <v>0</v>
      </c>
      <c r="Z92">
        <f t="shared" si="18"/>
        <v>0</v>
      </c>
      <c r="AA92">
        <f t="shared" si="19"/>
        <v>1</v>
      </c>
    </row>
    <row r="93" spans="1:27" x14ac:dyDescent="0.25">
      <c r="A93" s="171" t="str">
        <f t="shared" si="24"/>
        <v>Spildevandsslam</v>
      </c>
      <c r="B93" s="171" t="str">
        <f t="shared" si="25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16"/>
        <v>0</v>
      </c>
      <c r="E93" s="171">
        <f t="shared" si="15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3905227.9830927276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forbrug'!J$3,'Forbrug af biomasse'!$B$2:$B$425,$F93)</f>
        <v>0</v>
      </c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1481053.1985566379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0"/>
        <v>2424174.7845360897</v>
      </c>
      <c r="P93" s="94">
        <f t="shared" si="17"/>
        <v>2424174.7845360897</v>
      </c>
      <c r="Q93" s="180">
        <f t="shared" si="21"/>
        <v>1481053.1985566379</v>
      </c>
      <c r="R93">
        <f>IFERROR(VLOOKUP(A93,[1]Energiindhold!$A$2:$C$11,3,FALSE),IFERROR(VLOOKUP(A93,[1]Biogasudbytte!$A$2:$B$18,2,FALSE)*[1]Energiindhold!$C$10,0))*P93</f>
        <v>1.2096874592313542</v>
      </c>
      <c r="S93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1.9487478158431022</v>
      </c>
      <c r="T93">
        <f>IFERROR(VLOOKUP(A93,[1]Biogasudbytte!$A$2:$B$18,2,FALSE)*[1]Energiindhold!$C$10,0)*K93*IFERROR(VLOOKUP(A93,Biogasanlæg!$F$3:$G$8,2,FALSE),1)</f>
        <v>0.73906035661174796</v>
      </c>
      <c r="U93" s="170">
        <f t="shared" si="22"/>
        <v>1.2096874592313542</v>
      </c>
      <c r="V93" s="169">
        <f>P93*IFERROR(VLOOKUP(A93,[1]Tørstofindhold!A$2:B$24,2,FALSE),0)</f>
        <v>145450.48707216539</v>
      </c>
      <c r="W93">
        <f>IF(E93=År1,Q93,SUM(P93,Q93))*IFERROR(VLOOKUP(A93,[1]Tørstofindhold!A$2:B$24,2,FALSE),0)</f>
        <v>234313.67898556366</v>
      </c>
      <c r="X93">
        <f>K93*IFERROR(VLOOKUP(A93,[1]Tørstofindhold!A$2:B$24,2,FALSE),0)</f>
        <v>88863.191913398274</v>
      </c>
      <c r="Y93" s="170">
        <f t="shared" si="23"/>
        <v>145450.48707216539</v>
      </c>
      <c r="Z93">
        <f t="shared" si="18"/>
        <v>0</v>
      </c>
      <c r="AA93">
        <f t="shared" si="19"/>
        <v>1</v>
      </c>
    </row>
    <row r="94" spans="1:27" x14ac:dyDescent="0.25">
      <c r="A94" s="171" t="str">
        <f t="shared" si="24"/>
        <v>Svinegylle</v>
      </c>
      <c r="B94" s="171" t="str">
        <f t="shared" si="25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16"/>
        <v>0</v>
      </c>
      <c r="E94" s="171">
        <f t="shared" si="15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10497145.511353366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forbrug'!J$3,'Forbrug af biomasse'!$B$2:$B$425,$F94)</f>
        <v>0</v>
      </c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7872859.1335150246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2624286.3778383415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0"/>
        <v>0</v>
      </c>
      <c r="P94" s="94">
        <f t="shared" si="17"/>
        <v>0</v>
      </c>
      <c r="Q94" s="180">
        <f t="shared" si="21"/>
        <v>7872859.1335150246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3.3916277147182732</v>
      </c>
      <c r="T94">
        <f>IFERROR(VLOOKUP(A94,[1]Biogasudbytte!$A$2:$B$18,2,FALSE)*[1]Energiindhold!$C$10,0)*K94*IFERROR(VLOOKUP(A94,Biogasanlæg!$F$3:$G$8,2,FALSE),1)</f>
        <v>3.3916277147182732</v>
      </c>
      <c r="U94" s="170">
        <f t="shared" si="22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393642.95667575125</v>
      </c>
      <c r="X94">
        <f>K94*IFERROR(VLOOKUP(A94,[1]Tørstofindhold!A$2:B$24,2,FALSE),0)</f>
        <v>393642.95667575125</v>
      </c>
      <c r="Y94" s="170">
        <f t="shared" si="23"/>
        <v>0</v>
      </c>
      <c r="Z94">
        <f t="shared" si="18"/>
        <v>0</v>
      </c>
      <c r="AA94">
        <f t="shared" si="19"/>
        <v>0</v>
      </c>
    </row>
    <row r="95" spans="1:27" x14ac:dyDescent="0.25">
      <c r="A95" s="171" t="str">
        <f t="shared" si="24"/>
        <v>Svinekød</v>
      </c>
      <c r="B95" s="171" t="str">
        <f t="shared" si="25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16"/>
        <v>1</v>
      </c>
      <c r="E95" s="171">
        <f t="shared" si="15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951875.76678713446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forbrug'!J$3,'Forbrug af biomasse'!$B$2:$B$425,$F95)</f>
        <v>121875.54404868034</v>
      </c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0"/>
        <v>830000.22273845412</v>
      </c>
      <c r="P95" s="94">
        <f t="shared" si="17"/>
        <v>0</v>
      </c>
      <c r="Q95" s="180">
        <f t="shared" si="21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2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3"/>
        <v>0</v>
      </c>
      <c r="Z95">
        <f t="shared" si="18"/>
        <v>0</v>
      </c>
      <c r="AA95">
        <f t="shared" si="19"/>
        <v>1</v>
      </c>
    </row>
    <row r="96" spans="1:27" x14ac:dyDescent="0.25">
      <c r="A96" s="171" t="str">
        <f t="shared" si="24"/>
        <v>Tang</v>
      </c>
      <c r="B96" s="171" t="str">
        <f t="shared" si="25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16"/>
        <v>1</v>
      </c>
      <c r="E96" s="171">
        <f t="shared" si="15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382.5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forbrug'!J$3,'Forbrug af biomasse'!$B$2:$B$425,$F96)</f>
        <v>0</v>
      </c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0"/>
        <v>382.5</v>
      </c>
      <c r="P96" s="94">
        <f t="shared" si="17"/>
        <v>382.5</v>
      </c>
      <c r="Q96" s="180">
        <f t="shared" si="21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2"/>
        <v>3.4329375000000003E-4</v>
      </c>
      <c r="V96" s="169">
        <f>P96*IFERROR(VLOOKUP(A96,[1]Tørstofindhold!A$2:B$24,2,FALSE),0)</f>
        <v>57.375</v>
      </c>
      <c r="W96">
        <f>IF(E96=År1,Q96,SUM(P96,Q96))*IFERROR(VLOOKUP(A96,[1]Tørstofindhold!A$2:B$24,2,FALSE),0)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3"/>
        <v>57.375</v>
      </c>
      <c r="Z96">
        <f t="shared" si="18"/>
        <v>0</v>
      </c>
      <c r="AA96">
        <f t="shared" si="19"/>
        <v>1</v>
      </c>
    </row>
    <row r="97" spans="1:27" x14ac:dyDescent="0.25">
      <c r="A97" s="171" t="str">
        <f t="shared" si="24"/>
        <v>Total til biogas</v>
      </c>
      <c r="B97" s="171" t="str">
        <f t="shared" si="25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16"/>
        <v>0</v>
      </c>
      <c r="E97" s="171">
        <f t="shared" si="15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forbrug'!J$3,'Forbrug af biomasse'!$B$2:$B$425,$F97)</f>
        <v>0</v>
      </c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0"/>
        <v>0</v>
      </c>
      <c r="P97" s="94">
        <f t="shared" si="17"/>
        <v>0</v>
      </c>
      <c r="Q97" s="180">
        <f t="shared" si="21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2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3"/>
        <v>0</v>
      </c>
      <c r="Z97">
        <f t="shared" si="18"/>
        <v>0</v>
      </c>
      <c r="AA97">
        <f t="shared" si="19"/>
        <v>0</v>
      </c>
    </row>
    <row r="98" spans="1:27" x14ac:dyDescent="0.25">
      <c r="A98" s="171" t="str">
        <f t="shared" si="24"/>
        <v>Træ til energi</v>
      </c>
      <c r="B98" s="171" t="str">
        <f t="shared" si="25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16"/>
        <v>0</v>
      </c>
      <c r="E98" s="171">
        <f t="shared" si="15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2225869.1010711943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forbrug'!J$3,'Forbrug af biomasse'!$B$2:$B$425,$F98)</f>
        <v>0</v>
      </c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2225869.1010711943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0"/>
        <v>0</v>
      </c>
      <c r="P98" s="94">
        <f t="shared" ca="1" si="17"/>
        <v>0</v>
      </c>
      <c r="Q98" s="180">
        <f t="shared" ca="1" si="21"/>
        <v>2225869.1010711943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32.260787180482176</v>
      </c>
      <c r="T98">
        <f>IFERROR(VLOOKUP(A98,[1]Biogasudbytte!$A$2:$B$18,2,FALSE)*[1]Energiindhold!$C$10,0)*K98*IFERROR(VLOOKUP(A98,Biogasanlæg!$F$3:$G$8,2,FALSE),1)</f>
        <v>0</v>
      </c>
      <c r="U98" s="170">
        <f t="shared" ca="1" si="22"/>
        <v>32.260787180482176</v>
      </c>
      <c r="V98" s="169">
        <f ca="1">P98*IFERROR(VLOOKUP(A98,[1]Tørstofindhold!A$2:B$24,2,FALSE),0)</f>
        <v>0</v>
      </c>
      <c r="W98">
        <f ca="1">IF(E98=År1,Q98,SUM(P98,Q98))*IFERROR(VLOOKUP(A98,[1]Tørstofindhold!A$2:B$24,2,FALSE),0)</f>
        <v>1100877.7595714615</v>
      </c>
      <c r="X98">
        <f>K98*IFERROR(VLOOKUP(A98,[1]Tørstofindhold!A$2:B$24,2,FALSE),0)</f>
        <v>0</v>
      </c>
      <c r="Y98" s="170">
        <f t="shared" ca="1" si="23"/>
        <v>1100877.7595714615</v>
      </c>
      <c r="Z98">
        <f t="shared" ca="1" si="18"/>
        <v>0</v>
      </c>
      <c r="AA98">
        <f t="shared" ca="1" si="19"/>
        <v>0</v>
      </c>
    </row>
    <row r="99" spans="1:27" x14ac:dyDescent="0.25">
      <c r="A99" s="171" t="str">
        <f t="shared" si="24"/>
        <v>Træmaterialer</v>
      </c>
      <c r="B99" s="171" t="str">
        <f t="shared" si="25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16"/>
        <v>0</v>
      </c>
      <c r="E99" s="171">
        <f t="shared" si="15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613377.28282504401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forbrug'!J$3,'Forbrug af biomasse'!$B$2:$B$425,$F99)</f>
        <v>0</v>
      </c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613377.28282504401</v>
      </c>
      <c r="O99" s="179">
        <f t="shared" ca="1" si="20"/>
        <v>0</v>
      </c>
      <c r="P99" s="94">
        <f t="shared" si="17"/>
        <v>0</v>
      </c>
      <c r="Q99" s="180">
        <f t="shared" si="21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2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3"/>
        <v>0</v>
      </c>
      <c r="Z99">
        <f t="shared" ca="1" si="18"/>
        <v>0</v>
      </c>
      <c r="AA99">
        <f t="shared" ca="1" si="19"/>
        <v>0</v>
      </c>
    </row>
    <row r="100" spans="1:27" x14ac:dyDescent="0.25">
      <c r="A100" s="171" t="str">
        <f t="shared" si="24"/>
        <v>Æg</v>
      </c>
      <c r="B100" s="171" t="str">
        <f t="shared" si="25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16"/>
        <v>1</v>
      </c>
      <c r="E100" s="171">
        <f t="shared" ref="E100:E147" si="26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38948.680417674739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forbrug'!J$3,'Forbrug af biomasse'!$B$2:$B$425,$F100)</f>
        <v>33849.968886444818</v>
      </c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0"/>
        <v>5098.7115312299211</v>
      </c>
      <c r="P100" s="94">
        <f t="shared" si="17"/>
        <v>0</v>
      </c>
      <c r="Q100" s="180">
        <f t="shared" si="21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2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3"/>
        <v>0</v>
      </c>
      <c r="Z100">
        <f t="shared" si="18"/>
        <v>1</v>
      </c>
      <c r="AA100">
        <f t="shared" si="19"/>
        <v>0</v>
      </c>
    </row>
    <row r="101" spans="1:27" x14ac:dyDescent="0.25">
      <c r="A101" s="171" t="str">
        <f t="shared" si="24"/>
        <v>Bælgsæd</v>
      </c>
      <c r="B101" s="171" t="str">
        <f t="shared" si="25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16"/>
        <v>1</v>
      </c>
      <c r="E101" s="171">
        <f t="shared" si="26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983865.71975473268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112073.72164637063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forbrug'!J$3,'Forbrug af biomasse'!$B$2:$B$425,$F101)</f>
        <v>0</v>
      </c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0"/>
        <v>871791.99810836208</v>
      </c>
      <c r="P101" s="94">
        <f t="shared" si="17"/>
        <v>0</v>
      </c>
      <c r="Q101" s="180">
        <f t="shared" si="21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2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3"/>
        <v>0</v>
      </c>
      <c r="Z101">
        <f t="shared" si="18"/>
        <v>0</v>
      </c>
      <c r="AA101">
        <f t="shared" si="19"/>
        <v>1</v>
      </c>
    </row>
    <row r="102" spans="1:27" x14ac:dyDescent="0.25">
      <c r="A102" s="171" t="str">
        <f t="shared" si="24"/>
        <v>Bioaffald</v>
      </c>
      <c r="B102" s="171" t="str">
        <f t="shared" si="25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16"/>
        <v>0</v>
      </c>
      <c r="E102" s="171">
        <f t="shared" si="26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forbrug'!J$3,'Forbrug af biomasse'!$B$2:$B$425,$F102)</f>
        <v>0</v>
      </c>
      <c r="K102" s="94">
        <f ca="1"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0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0"/>
        <v>0</v>
      </c>
      <c r="P102" s="94">
        <f t="shared" ca="1" si="17"/>
        <v>0</v>
      </c>
      <c r="Q102" s="180">
        <f t="shared" ca="1" si="21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2"/>
        <v>3.5255303237813815</v>
      </c>
      <c r="V102" s="169">
        <f ca="1">P102*IFERROR(VLOOKUP(A102,[1]Tørstofindhold!A$2:B$24,2,FALSE),0)</f>
        <v>0</v>
      </c>
      <c r="W102">
        <f ca="1">IF(E102=År1,Q102,SUM(P102,Q102))*IFERROR(VLOOKUP(A102,[1]Tørstofindhold!A$2:B$24,2,FALSE),0)</f>
        <v>55295.557743957776</v>
      </c>
      <c r="X102">
        <f ca="1">K102*IFERROR(VLOOKUP(A102,[1]Tørstofindhold!A$2:B$24,2,FALSE),0)</f>
        <v>0</v>
      </c>
      <c r="Y102" s="170">
        <f t="shared" ca="1" si="23"/>
        <v>55295.557743957776</v>
      </c>
      <c r="Z102">
        <f t="shared" ca="1" si="18"/>
        <v>0</v>
      </c>
      <c r="AA102">
        <f t="shared" ca="1" si="19"/>
        <v>0</v>
      </c>
    </row>
    <row r="103" spans="1:27" x14ac:dyDescent="0.25">
      <c r="A103" s="171" t="str">
        <f t="shared" si="24"/>
        <v>Biogas</v>
      </c>
      <c r="B103" s="171" t="str">
        <f t="shared" si="25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16"/>
        <v>0</v>
      </c>
      <c r="E103" s="171">
        <f t="shared" si="26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103142787.98027463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forbrug'!J$3,'Forbrug af biomasse'!$B$2:$B$425,$F103)</f>
        <v>0</v>
      </c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103142787.98027463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0"/>
        <v>0</v>
      </c>
      <c r="P103" s="94">
        <f t="shared" ca="1" si="17"/>
        <v>0</v>
      </c>
      <c r="Q103" s="180">
        <f t="shared" ca="1" si="21"/>
        <v>103142787.98027463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2"/>
        <v>0</v>
      </c>
      <c r="V103" s="169">
        <f ca="1">P103*IFERROR(VLOOKUP(A103,[1]Tørstofindhold!A$2:B$24,2,FALSE),0)</f>
        <v>0</v>
      </c>
      <c r="W103">
        <f ca="1"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3"/>
        <v>0</v>
      </c>
      <c r="Z103">
        <f t="shared" ca="1" si="18"/>
        <v>0</v>
      </c>
      <c r="AA103">
        <f t="shared" ca="1" si="19"/>
        <v>0</v>
      </c>
    </row>
    <row r="104" spans="1:27" x14ac:dyDescent="0.25">
      <c r="A104" s="171" t="str">
        <f t="shared" si="24"/>
        <v>Biogasgylle</v>
      </c>
      <c r="B104" s="171" t="str">
        <f t="shared" si="25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16"/>
        <v>0</v>
      </c>
      <c r="E104" s="171">
        <f t="shared" si="26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0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forbrug'!J$3,'Forbrug af biomasse'!$B$2:$B$425,$F104)</f>
        <v>0</v>
      </c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 t="e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#DIV/0!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 t="e">
        <f t="shared" ca="1" si="20"/>
        <v>#DIV/0!</v>
      </c>
      <c r="P104" s="94">
        <f t="shared" si="17"/>
        <v>0</v>
      </c>
      <c r="Q104" s="180">
        <f t="shared" si="21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2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3"/>
        <v>0</v>
      </c>
      <c r="Z104" t="e">
        <f t="shared" ca="1" si="18"/>
        <v>#DIV/0!</v>
      </c>
      <c r="AA104" t="e">
        <f t="shared" ca="1" si="19"/>
        <v>#DIV/0!</v>
      </c>
    </row>
    <row r="105" spans="1:27" x14ac:dyDescent="0.25">
      <c r="A105" s="171" t="str">
        <f t="shared" si="24"/>
        <v>Brun saft</v>
      </c>
      <c r="B105" s="171" t="str">
        <f t="shared" si="25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16"/>
        <v>0</v>
      </c>
      <c r="E105" s="171">
        <f t="shared" si="26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2960575.4754863908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forbrug'!J$3,'Forbrug af biomasse'!$B$2:$B$425,$F105)</f>
        <v>0</v>
      </c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2664517.9279377516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0"/>
        <v>296057.54754863912</v>
      </c>
      <c r="P105" s="94">
        <f t="shared" si="17"/>
        <v>296057.54754863912</v>
      </c>
      <c r="Q105" s="180">
        <f t="shared" si="21"/>
        <v>2664517.9279377516</v>
      </c>
      <c r="R105">
        <f>IFERROR(VLOOKUP(A105,[1]Energiindhold!$A$2:$C$11,3,FALSE),IFERROR(VLOOKUP(A105,[1]Biogasudbytte!$A$2:$B$18,2,FALSE)*[1]Energiindhold!$C$10,0))*P105</f>
        <v>0.16816840728229082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1.6816840728229081</v>
      </c>
      <c r="T105">
        <f>IFERROR(VLOOKUP(A105,[1]Biogasudbytte!$A$2:$B$18,2,FALSE)*[1]Energiindhold!$C$10,0)*K105*IFERROR(VLOOKUP(A105,Biogasanlæg!$F$3:$G$8,2,FALSE),1)</f>
        <v>1.5135156655406172</v>
      </c>
      <c r="U105" s="170">
        <f t="shared" si="22"/>
        <v>0.16816840728229088</v>
      </c>
      <c r="V105" s="169">
        <f>P105*IFERROR(VLOOKUP(A105,[1]Tørstofindhold!A$2:B$24,2,FALSE),0)</f>
        <v>12660.42364543332</v>
      </c>
      <c r="W105">
        <f>IF(E105=År1,Q105,SUM(P105,Q105))*IFERROR(VLOOKUP(A105,[1]Tørstofindhold!A$2:B$24,2,FALSE),0)</f>
        <v>126604.23645433319</v>
      </c>
      <c r="X105">
        <f>K105*IFERROR(VLOOKUP(A105,[1]Tørstofindhold!A$2:B$24,2,FALSE),0)</f>
        <v>113943.81280889986</v>
      </c>
      <c r="Y105" s="170">
        <f t="shared" si="23"/>
        <v>12660.42364543333</v>
      </c>
      <c r="Z105">
        <f t="shared" si="18"/>
        <v>0</v>
      </c>
      <c r="AA105">
        <f t="shared" si="19"/>
        <v>1</v>
      </c>
    </row>
    <row r="106" spans="1:27" x14ac:dyDescent="0.25">
      <c r="A106" s="171" t="str">
        <f t="shared" si="24"/>
        <v>Dybstrøelse</v>
      </c>
      <c r="B106" s="171" t="str">
        <f t="shared" si="25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16"/>
        <v>0</v>
      </c>
      <c r="E106" s="171">
        <f t="shared" si="26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575834.83314211352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forbrug'!J$3,'Forbrug af biomasse'!$B$2:$B$425,$F106)</f>
        <v>0</v>
      </c>
      <c r="K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518251.34982790216</v>
      </c>
      <c r="L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21799.461540380005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si="20"/>
        <v>35784.021773831337</v>
      </c>
      <c r="P106" s="94">
        <f t="shared" si="17"/>
        <v>35784.021773831337</v>
      </c>
      <c r="Q106" s="180">
        <f t="shared" si="21"/>
        <v>518251.34982790216</v>
      </c>
      <c r="R106">
        <f>IFERROR(VLOOKUP(A106,[1]Energiindhold!$A$2:$C$11,3,FALSE),IFERROR(VLOOKUP(A106,[1]Biogasudbytte!$A$2:$B$18,2,FALSE)*[1]Energiindhold!$C$10,0))*P106</f>
        <v>7.7078782900832699E-2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1.1933921904301341</v>
      </c>
      <c r="T106">
        <f>IFERROR(VLOOKUP(A106,[1]Biogasudbytte!$A$2:$B$18,2,FALSE)*[1]Energiindhold!$C$10,0)*K106*IFERROR(VLOOKUP(A106,Biogasanlæg!$F$3:$G$8,2,FALSE),1)</f>
        <v>1.1163134075293013</v>
      </c>
      <c r="U106" s="170">
        <f t="shared" si="22"/>
        <v>7.707878290083281E-2</v>
      </c>
      <c r="V106" s="169">
        <f>P106*IFERROR(VLOOKUP(A106,[1]Tørstofindhold!A$2:B$24,2,FALSE),0)</f>
        <v>10735.206532149401</v>
      </c>
      <c r="W106">
        <f>IF(E106=År1,Q106,SUM(P106,Q106))*IFERROR(VLOOKUP(A106,[1]Tørstofindhold!A$2:B$24,2,FALSE),0)</f>
        <v>166210.61148052005</v>
      </c>
      <c r="X106">
        <f>K106*IFERROR(VLOOKUP(A106,[1]Tørstofindhold!A$2:B$24,2,FALSE),0)</f>
        <v>155475.40494837065</v>
      </c>
      <c r="Y106" s="170">
        <f t="shared" si="23"/>
        <v>10735.206532149401</v>
      </c>
      <c r="Z106">
        <f t="shared" si="18"/>
        <v>0</v>
      </c>
      <c r="AA106">
        <f t="shared" si="19"/>
        <v>1</v>
      </c>
    </row>
    <row r="107" spans="1:27" x14ac:dyDescent="0.25">
      <c r="A107" s="171" t="str">
        <f t="shared" si="24"/>
        <v>Fiberfraktion</v>
      </c>
      <c r="B107" s="171" t="str">
        <f t="shared" si="25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16"/>
        <v>0</v>
      </c>
      <c r="E107" s="171">
        <f t="shared" si="26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2085246.2474831352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2083858.9217546936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forbrug'!J$3,'Forbrug af biomasse'!$B$2:$B$425,$F107)</f>
        <v>0</v>
      </c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0"/>
        <v>1387.3257284415886</v>
      </c>
      <c r="P107" s="94">
        <f t="shared" si="17"/>
        <v>0</v>
      </c>
      <c r="Q107" s="180">
        <f t="shared" si="21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2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3"/>
        <v>0</v>
      </c>
      <c r="Z107">
        <f t="shared" si="18"/>
        <v>0</v>
      </c>
      <c r="AA107">
        <f t="shared" si="19"/>
        <v>1</v>
      </c>
    </row>
    <row r="108" spans="1:27" x14ac:dyDescent="0.25">
      <c r="A108" s="171" t="str">
        <f t="shared" si="24"/>
        <v>Fjerkrægylle</v>
      </c>
      <c r="B108" s="171" t="str">
        <f t="shared" si="25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16"/>
        <v>0</v>
      </c>
      <c r="E108" s="171">
        <f t="shared" si="26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5618.4151705662098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forbrug'!J$3,'Forbrug af biomasse'!$B$2:$B$425,$F108)</f>
        <v>0</v>
      </c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5056.5736535095893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561.84151705662089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0"/>
        <v>0</v>
      </c>
      <c r="P108" s="94">
        <f t="shared" si="17"/>
        <v>0</v>
      </c>
      <c r="Q108" s="180">
        <f t="shared" si="21"/>
        <v>5056.5736535095893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2.3780560235090249E-3</v>
      </c>
      <c r="T108">
        <f>IFERROR(VLOOKUP(A108,[1]Biogasudbytte!$A$2:$B$18,2,FALSE)*[1]Energiindhold!$C$10,0)*K108*IFERROR(VLOOKUP(A108,Biogasanlæg!$F$3:$G$8,2,FALSE),1)</f>
        <v>2.3780560235090249E-3</v>
      </c>
      <c r="U108" s="170">
        <f t="shared" si="22"/>
        <v>0</v>
      </c>
      <c r="V108" s="169">
        <f>P108*IFERROR(VLOOKUP(A108,[1]Tørstofindhold!A$2:B$24,2,FALSE),0)</f>
        <v>0</v>
      </c>
      <c r="W108">
        <f>IF(E108=År1,Q108,SUM(P108,Q108))*IFERROR(VLOOKUP(A108,[1]Tørstofindhold!A$2:B$24,2,FALSE),0)</f>
        <v>318.56414017110416</v>
      </c>
      <c r="X108">
        <f>K108*IFERROR(VLOOKUP(A108,[1]Tørstofindhold!A$2:B$24,2,FALSE),0)</f>
        <v>318.56414017110416</v>
      </c>
      <c r="Y108" s="170">
        <f t="shared" si="23"/>
        <v>0</v>
      </c>
      <c r="Z108">
        <f t="shared" si="18"/>
        <v>0</v>
      </c>
      <c r="AA108">
        <f t="shared" si="19"/>
        <v>0</v>
      </c>
    </row>
    <row r="109" spans="1:27" x14ac:dyDescent="0.25">
      <c r="A109" s="171" t="str">
        <f t="shared" si="24"/>
        <v>Fjerkrækød</v>
      </c>
      <c r="B109" s="171" t="str">
        <f t="shared" si="25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16"/>
        <v>1</v>
      </c>
      <c r="E109" s="171">
        <f t="shared" si="26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6001.6248923716248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forbrug'!J$3,'Forbrug af biomasse'!$B$2:$B$425,$F109)</f>
        <v>36670.799626981883</v>
      </c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0"/>
        <v>-30669.174734610257</v>
      </c>
      <c r="P109" s="94">
        <f t="shared" si="17"/>
        <v>0</v>
      </c>
      <c r="Q109" s="180">
        <f t="shared" si="21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2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3"/>
        <v>0</v>
      </c>
      <c r="Z109">
        <f t="shared" si="18"/>
        <v>1</v>
      </c>
      <c r="AA109">
        <f t="shared" si="19"/>
        <v>0</v>
      </c>
    </row>
    <row r="110" spans="1:27" x14ac:dyDescent="0.25">
      <c r="A110" s="171" t="str">
        <f t="shared" si="24"/>
        <v>Frø</v>
      </c>
      <c r="B110" s="171" t="str">
        <f t="shared" si="25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16"/>
        <v>0</v>
      </c>
      <c r="E110" s="171">
        <f t="shared" si="26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0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forbrug'!J$3,'Forbrug af biomasse'!$B$2:$B$425,$F110)</f>
        <v>0</v>
      </c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0"/>
        <v>0</v>
      </c>
      <c r="P110" s="94">
        <f t="shared" si="17"/>
        <v>0</v>
      </c>
      <c r="Q110" s="180">
        <f t="shared" si="21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2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3"/>
        <v>0</v>
      </c>
      <c r="Z110">
        <f t="shared" si="18"/>
        <v>0</v>
      </c>
      <c r="AA110">
        <f t="shared" si="19"/>
        <v>0</v>
      </c>
    </row>
    <row r="111" spans="1:27" x14ac:dyDescent="0.25">
      <c r="A111" s="171" t="str">
        <f t="shared" si="24"/>
        <v>Frugt</v>
      </c>
      <c r="B111" s="171" t="str">
        <f t="shared" si="25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16"/>
        <v>1</v>
      </c>
      <c r="E111" s="171">
        <f t="shared" si="26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1207470.6320248828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forbrug'!J$3,'Forbrug af biomasse'!$B$2:$B$425,$F111)</f>
        <v>267978.92035102146</v>
      </c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0"/>
        <v>939491.71167386137</v>
      </c>
      <c r="P111" s="94">
        <f t="shared" si="17"/>
        <v>0</v>
      </c>
      <c r="Q111" s="180">
        <f t="shared" si="21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2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3"/>
        <v>0</v>
      </c>
      <c r="Z111">
        <f t="shared" si="18"/>
        <v>0</v>
      </c>
      <c r="AA111">
        <f t="shared" si="19"/>
        <v>1</v>
      </c>
    </row>
    <row r="112" spans="1:27" x14ac:dyDescent="0.25">
      <c r="A112" s="171" t="str">
        <f t="shared" si="24"/>
        <v>Glycerin</v>
      </c>
      <c r="B112" s="171" t="str">
        <f t="shared" si="25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16"/>
        <v>0</v>
      </c>
      <c r="E112" s="171">
        <f t="shared" si="26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forbrug'!J$3,'Forbrug af biomasse'!$B$2:$B$425,$F112)</f>
        <v>0</v>
      </c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0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0"/>
        <v>0</v>
      </c>
      <c r="P112" s="94">
        <f t="shared" si="17"/>
        <v>0</v>
      </c>
      <c r="Q112" s="180">
        <f t="shared" si="21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2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0</v>
      </c>
      <c r="X112">
        <f>K112*IFERROR(VLOOKUP(A112,[1]Tørstofindhold!A$2:B$24,2,FALSE),0)</f>
        <v>0</v>
      </c>
      <c r="Y112" s="170">
        <f t="shared" si="23"/>
        <v>0</v>
      </c>
      <c r="Z112">
        <f t="shared" si="18"/>
        <v>0</v>
      </c>
      <c r="AA112">
        <f t="shared" si="19"/>
        <v>0</v>
      </c>
    </row>
    <row r="113" spans="1:27" x14ac:dyDescent="0.25">
      <c r="A113" s="171" t="str">
        <f t="shared" si="24"/>
        <v>Græs</v>
      </c>
      <c r="B113" s="171" t="str">
        <f t="shared" si="25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16"/>
        <v>0</v>
      </c>
      <c r="E113" s="171">
        <f t="shared" si="26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26114077.403632663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2097784.2500767186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forbrug'!J$3,'Forbrug af biomasse'!$B$2:$B$425,$F113)</f>
        <v>0</v>
      </c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6058655.6146041919</v>
      </c>
      <c r="O113" s="179">
        <f t="shared" si="20"/>
        <v>17957637.538951755</v>
      </c>
      <c r="P113" s="94">
        <f t="shared" si="17"/>
        <v>17957637.538951755</v>
      </c>
      <c r="Q113" s="180">
        <f t="shared" si="21"/>
        <v>0</v>
      </c>
      <c r="R113">
        <f>IFERROR(VLOOKUP(A113,[1]Energiindhold!$A$2:$C$11,3,FALSE),IFERROR(VLOOKUP(A113,[1]Biogasudbytte!$A$2:$B$18,2,FALSE)*[1]Energiindhold!$C$10,0))*P113</f>
        <v>33.03980836697886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33.03980836697886</v>
      </c>
      <c r="T113">
        <f>IFERROR(VLOOKUP(A113,[1]Biogasudbytte!$A$2:$B$18,2,FALSE)*[1]Energiindhold!$C$10,0)*K113*IFERROR(VLOOKUP(A113,Biogasanlæg!$F$3:$G$8,2,FALSE),1)</f>
        <v>0</v>
      </c>
      <c r="U113" s="170">
        <f t="shared" si="22"/>
        <v>33.03980836697886</v>
      </c>
      <c r="V113" s="169">
        <f>P113*IFERROR(VLOOKUP(A113,[1]Tørstofindhold!A$2:B$24,2,FALSE),0)</f>
        <v>5028138.5109064914</v>
      </c>
      <c r="W113">
        <f>IF(E113=År1,Q113,SUM(P113,Q113))*IFERROR(VLOOKUP(A113,[1]Tørstofindhold!A$2:B$24,2,FALSE),0)</f>
        <v>5028138.5109064914</v>
      </c>
      <c r="X113">
        <f>K113*IFERROR(VLOOKUP(A113,[1]Tørstofindhold!A$2:B$24,2,FALSE),0)</f>
        <v>0</v>
      </c>
      <c r="Y113" s="170">
        <f t="shared" si="23"/>
        <v>5028138.5109064914</v>
      </c>
      <c r="Z113">
        <f t="shared" si="18"/>
        <v>0</v>
      </c>
      <c r="AA113">
        <f t="shared" si="19"/>
        <v>1</v>
      </c>
    </row>
    <row r="114" spans="1:27" x14ac:dyDescent="0.25">
      <c r="A114" s="171" t="str">
        <f t="shared" si="24"/>
        <v>Græsprotein</v>
      </c>
      <c r="B114" s="171" t="str">
        <f t="shared" si="25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16"/>
        <v>0</v>
      </c>
      <c r="E114" s="171">
        <f t="shared" si="26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1012833.8916346655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1012833.8916346655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forbrug'!J$3,'Forbrug af biomasse'!$B$2:$B$425,$F114)</f>
        <v>0</v>
      </c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0"/>
        <v>0</v>
      </c>
      <c r="P114" s="94">
        <f t="shared" si="17"/>
        <v>0</v>
      </c>
      <c r="Q114" s="180">
        <f t="shared" si="21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2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3"/>
        <v>0</v>
      </c>
      <c r="Z114">
        <f t="shared" si="18"/>
        <v>0</v>
      </c>
      <c r="AA114">
        <f t="shared" si="19"/>
        <v>0</v>
      </c>
    </row>
    <row r="115" spans="1:27" x14ac:dyDescent="0.25">
      <c r="A115" s="171" t="str">
        <f t="shared" si="24"/>
        <v>Grøntsager</v>
      </c>
      <c r="B115" s="171" t="str">
        <f t="shared" si="25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16"/>
        <v>1</v>
      </c>
      <c r="E115" s="171">
        <f t="shared" si="26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1519931.6771751184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forbrug'!J$3,'Forbrug af biomasse'!$B$2:$B$425,$F115)</f>
        <v>280672.65868343826</v>
      </c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0"/>
        <v>1239259.01849168</v>
      </c>
      <c r="P115" s="94">
        <f t="shared" si="17"/>
        <v>0</v>
      </c>
      <c r="Q115" s="180">
        <f t="shared" si="21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2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3"/>
        <v>0</v>
      </c>
      <c r="Z115">
        <f t="shared" si="18"/>
        <v>0</v>
      </c>
      <c r="AA115">
        <f t="shared" si="19"/>
        <v>1</v>
      </c>
    </row>
    <row r="116" spans="1:27" x14ac:dyDescent="0.25">
      <c r="A116" s="171" t="str">
        <f t="shared" si="24"/>
        <v>Halm</v>
      </c>
      <c r="B116" s="171" t="str">
        <f t="shared" si="25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16"/>
        <v>0</v>
      </c>
      <c r="E116" s="171">
        <f t="shared" si="26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775980.95642974949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81557.737283545939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70290.546378545216</v>
      </c>
      <c r="J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forbrug'!J$3,'Forbrug af biomasse'!$B$2:$B$425,$F116)</f>
        <v>0</v>
      </c>
      <c r="K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0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624132.67276765837</v>
      </c>
      <c r="N116" s="94">
        <f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si="20"/>
        <v>0</v>
      </c>
      <c r="P116" s="94">
        <f t="shared" si="17"/>
        <v>0</v>
      </c>
      <c r="Q116" s="180">
        <f t="shared" si="21"/>
        <v>624132.67276765837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6.4509144356528374</v>
      </c>
      <c r="T116">
        <f>IFERROR(VLOOKUP(A116,[1]Biogasudbytte!$A$2:$B$18,2,FALSE)*[1]Energiindhold!$C$10,0)*K116*IFERROR(VLOOKUP(A116,Biogasanlæg!$F$3:$G$8,2,FALSE),1)</f>
        <v>0</v>
      </c>
      <c r="U116" s="170">
        <f t="shared" si="22"/>
        <v>6.4509144356528374</v>
      </c>
      <c r="V116" s="169">
        <f>P116*IFERROR(VLOOKUP(A116,[1]Tørstofindhold!A$2:B$24,2,FALSE),0)</f>
        <v>0</v>
      </c>
      <c r="W116">
        <f>IF(E116=År1,Q116,SUM(P116,Q116))*IFERROR(VLOOKUP(A116,[1]Tørstofindhold!A$2:B$24,2,FALSE),0)</f>
        <v>530512.77185250958</v>
      </c>
      <c r="X116">
        <f>K116*IFERROR(VLOOKUP(A116,[1]Tørstofindhold!A$2:B$24,2,FALSE),0)</f>
        <v>0</v>
      </c>
      <c r="Y116" s="170">
        <f t="shared" si="23"/>
        <v>530512.77185250958</v>
      </c>
      <c r="Z116">
        <f t="shared" si="18"/>
        <v>0</v>
      </c>
      <c r="AA116">
        <f t="shared" si="19"/>
        <v>0</v>
      </c>
    </row>
    <row r="117" spans="1:27" x14ac:dyDescent="0.25">
      <c r="A117" s="171" t="str">
        <f t="shared" si="24"/>
        <v>Have/parkaffald</v>
      </c>
      <c r="B117" s="171" t="str">
        <f t="shared" si="25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27">D69</f>
        <v>0</v>
      </c>
      <c r="E117" s="171">
        <f t="shared" si="26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forbrug'!J$3,'Forbrug af biomasse'!$B$2:$B$425,$F117)</f>
        <v>0</v>
      </c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0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524881.97503939818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0"/>
        <v>0</v>
      </c>
      <c r="P117" s="94">
        <f t="shared" si="17"/>
        <v>0</v>
      </c>
      <c r="Q117" s="180">
        <f t="shared" si="21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9.3703087657301456</v>
      </c>
      <c r="T117">
        <f>IFERROR(VLOOKUP(A117,[1]Biogasudbytte!$A$2:$B$18,2,FALSE)*[1]Energiindhold!$C$10,0)*K117*IFERROR(VLOOKUP(A117,Biogasanlæg!$F$3:$G$8,2,FALSE),1)</f>
        <v>0</v>
      </c>
      <c r="U117" s="170">
        <f t="shared" si="22"/>
        <v>9.3703087657301456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0</v>
      </c>
      <c r="Y117" s="170">
        <f t="shared" si="23"/>
        <v>157464.59251181944</v>
      </c>
      <c r="Z117">
        <f t="shared" si="18"/>
        <v>0</v>
      </c>
      <c r="AA117">
        <f t="shared" si="19"/>
        <v>0</v>
      </c>
    </row>
    <row r="118" spans="1:27" x14ac:dyDescent="0.25">
      <c r="A118" s="171" t="str">
        <f t="shared" si="24"/>
        <v>Import af foder</v>
      </c>
      <c r="B118" s="171" t="str">
        <f t="shared" si="25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27"/>
        <v>1</v>
      </c>
      <c r="E118" s="171">
        <f t="shared" si="26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0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forbrug'!J$3,'Forbrug af biomasse'!$B$2:$B$425,$F118)</f>
        <v>0</v>
      </c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0"/>
        <v>0</v>
      </c>
      <c r="P118" s="94">
        <f t="shared" si="17"/>
        <v>0</v>
      </c>
      <c r="Q118" s="180">
        <f t="shared" si="21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2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3"/>
        <v>0</v>
      </c>
      <c r="Z118">
        <f t="shared" si="18"/>
        <v>0</v>
      </c>
      <c r="AA118">
        <f t="shared" si="19"/>
        <v>0</v>
      </c>
    </row>
    <row r="119" spans="1:27" x14ac:dyDescent="0.25">
      <c r="A119" s="171" t="str">
        <f t="shared" si="24"/>
        <v>Industriaffald</v>
      </c>
      <c r="B119" s="171" t="str">
        <f t="shared" si="25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27"/>
        <v>0</v>
      </c>
      <c r="E119" s="171">
        <f t="shared" si="26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217306.9698136746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forbrug'!J$3,'Forbrug af biomasse'!$B$2:$B$425,$F119)</f>
        <v>0</v>
      </c>
      <c r="K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0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si="20"/>
        <v>217306.9698136746</v>
      </c>
      <c r="P119" s="94">
        <f t="shared" si="17"/>
        <v>217306.9698136746</v>
      </c>
      <c r="Q119" s="180">
        <f t="shared" si="21"/>
        <v>0</v>
      </c>
      <c r="R119">
        <f>IFERROR(VLOOKUP(A119,[1]Energiindhold!$A$2:$C$11,3,FALSE),IFERROR(VLOOKUP(A119,[1]Biogasudbytte!$A$2:$B$18,2,FALSE)*[1]Energiindhold!$C$10,0))*P119</f>
        <v>0.94161935010872788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0.94161935010872788</v>
      </c>
      <c r="T119">
        <f>IFERROR(VLOOKUP(A119,[1]Biogasudbytte!$A$2:$B$18,2,FALSE)*[1]Energiindhold!$C$10,0)*K119*IFERROR(VLOOKUP(A119,Biogasanlæg!$F$3:$G$8,2,FALSE),1)</f>
        <v>0</v>
      </c>
      <c r="U119" s="170">
        <f t="shared" si="22"/>
        <v>0.94161935010872788</v>
      </c>
      <c r="V119" s="169">
        <f>P119*IFERROR(VLOOKUP(A119,[1]Tørstofindhold!A$2:B$24,2,FALSE),0)</f>
        <v>91268.927321743322</v>
      </c>
      <c r="W119">
        <f>IF(E119=År1,Q119,SUM(P119,Q119))*IFERROR(VLOOKUP(A119,[1]Tørstofindhold!A$2:B$24,2,FALSE),0)</f>
        <v>91268.927321743322</v>
      </c>
      <c r="X119">
        <f>K119*IFERROR(VLOOKUP(A119,[1]Tørstofindhold!A$2:B$24,2,FALSE),0)</f>
        <v>0</v>
      </c>
      <c r="Y119" s="170">
        <f t="shared" si="23"/>
        <v>91268.927321743322</v>
      </c>
      <c r="Z119">
        <f t="shared" si="18"/>
        <v>0</v>
      </c>
      <c r="AA119">
        <f t="shared" si="19"/>
        <v>1</v>
      </c>
    </row>
    <row r="120" spans="1:27" x14ac:dyDescent="0.25">
      <c r="A120" s="171" t="str">
        <f t="shared" si="24"/>
        <v>Juletræer</v>
      </c>
      <c r="B120" s="171" t="str">
        <f t="shared" si="25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27"/>
        <v>0</v>
      </c>
      <c r="E120" s="171">
        <f t="shared" si="26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386762.96576702269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forbrug'!J$3,'Forbrug af biomasse'!$B$2:$B$425,$F120)</f>
        <v>0</v>
      </c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0"/>
        <v>386762.96576702269</v>
      </c>
      <c r="P120" s="94">
        <f t="shared" si="17"/>
        <v>0</v>
      </c>
      <c r="Q120" s="180">
        <f t="shared" si="21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2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3"/>
        <v>0</v>
      </c>
      <c r="Z120">
        <f t="shared" si="18"/>
        <v>0</v>
      </c>
      <c r="AA120">
        <f t="shared" si="19"/>
        <v>1</v>
      </c>
    </row>
    <row r="121" spans="1:27" x14ac:dyDescent="0.25">
      <c r="A121" s="171" t="str">
        <f t="shared" si="24"/>
        <v>Kartofler</v>
      </c>
      <c r="B121" s="171" t="str">
        <f t="shared" si="25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27"/>
        <v>1</v>
      </c>
      <c r="E121" s="171">
        <f t="shared" si="26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948178.75571234117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forbrug'!J$3,'Forbrug af biomasse'!$B$2:$B$425,$F121)</f>
        <v>128347.79869443661</v>
      </c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0"/>
        <v>819830.95701790461</v>
      </c>
      <c r="P121" s="94">
        <f t="shared" si="17"/>
        <v>0</v>
      </c>
      <c r="Q121" s="180">
        <f t="shared" si="21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2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3"/>
        <v>0</v>
      </c>
      <c r="Z121">
        <f t="shared" si="18"/>
        <v>0</v>
      </c>
      <c r="AA121">
        <f t="shared" si="19"/>
        <v>1</v>
      </c>
    </row>
    <row r="122" spans="1:27" x14ac:dyDescent="0.25">
      <c r="A122" s="171" t="str">
        <f t="shared" si="24"/>
        <v>Korn</v>
      </c>
      <c r="B122" s="171" t="str">
        <f t="shared" si="25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27"/>
        <v>1</v>
      </c>
      <c r="E122" s="171">
        <f t="shared" si="26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420045.64366621693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0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forbrug'!J$3,'Forbrug af biomasse'!$B$2:$B$425,$F122)</f>
        <v>307470.55071854044</v>
      </c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0"/>
        <v>112575.09294767649</v>
      </c>
      <c r="P122" s="94">
        <f t="shared" si="17"/>
        <v>0</v>
      </c>
      <c r="Q122" s="180">
        <f t="shared" si="21"/>
        <v>0</v>
      </c>
      <c r="R122">
        <f>IFERROR(VLOOKUP(A122,[1]Energiindhold!$A$2:$C$11,3,FALSE),IFERROR(VLOOKUP(A122,[1]Biogasudbytte!$A$2:$B$18,2,FALSE)*[1]Energiindhold!$C$10,0))*P122</f>
        <v>0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0</v>
      </c>
      <c r="T122">
        <f>IFERROR(VLOOKUP(A122,[1]Biogasudbytte!$A$2:$B$18,2,FALSE)*[1]Energiindhold!$C$10,0)*K122*IFERROR(VLOOKUP(A122,Biogasanlæg!$F$3:$G$8,2,FALSE),1)</f>
        <v>0</v>
      </c>
      <c r="U122" s="170">
        <f t="shared" si="22"/>
        <v>0</v>
      </c>
      <c r="V122" s="169">
        <f>P122*IFERROR(VLOOKUP(A122,[1]Tørstofindhold!A$2:B$24,2,FALSE),0)</f>
        <v>0</v>
      </c>
      <c r="W122">
        <f>IF(E122=År1,Q122,SUM(P122,Q122))*IFERROR(VLOOKUP(A122,[1]Tørstofindhold!A$2:B$24,2,FALSE),0)</f>
        <v>0</v>
      </c>
      <c r="X122">
        <f>K122*IFERROR(VLOOKUP(A122,[1]Tørstofindhold!A$2:B$24,2,FALSE),0)</f>
        <v>0</v>
      </c>
      <c r="Y122" s="170">
        <f t="shared" si="23"/>
        <v>0</v>
      </c>
      <c r="Z122">
        <f t="shared" si="18"/>
        <v>1</v>
      </c>
      <c r="AA122">
        <f t="shared" si="19"/>
        <v>0</v>
      </c>
    </row>
    <row r="123" spans="1:27" x14ac:dyDescent="0.25">
      <c r="A123" s="171" t="str">
        <f t="shared" si="24"/>
        <v>Kunstgødning</v>
      </c>
      <c r="B123" s="171" t="str">
        <f t="shared" si="25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27"/>
        <v>0</v>
      </c>
      <c r="E123" s="171">
        <f t="shared" si="26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forbrug'!J$3,'Forbrug af biomasse'!$B$2:$B$425,$F123)</f>
        <v>0</v>
      </c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 t="e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#DIV/0!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 t="e">
        <f t="shared" ca="1" si="20"/>
        <v>#DIV/0!</v>
      </c>
      <c r="P123" s="94">
        <f t="shared" si="17"/>
        <v>0</v>
      </c>
      <c r="Q123" s="180">
        <f t="shared" si="21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2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3"/>
        <v>0</v>
      </c>
      <c r="Z123" t="e">
        <f t="shared" ca="1" si="18"/>
        <v>#DIV/0!</v>
      </c>
      <c r="AA123" t="e">
        <f t="shared" ca="1" si="19"/>
        <v>#DIV/0!</v>
      </c>
    </row>
    <row r="124" spans="1:27" x14ac:dyDescent="0.25">
      <c r="A124" s="171" t="str">
        <f t="shared" si="24"/>
        <v>Kvæggylle</v>
      </c>
      <c r="B124" s="171" t="str">
        <f t="shared" si="25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27"/>
        <v>0</v>
      </c>
      <c r="E124" s="171">
        <f t="shared" si="26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687448.22418311588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forbrug'!J$3,'Forbrug af biomasse'!$B$2:$B$425,$F124)</f>
        <v>0</v>
      </c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618703.40176480426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68744.822418311567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0"/>
        <v>0</v>
      </c>
      <c r="P124" s="94">
        <f t="shared" si="17"/>
        <v>0</v>
      </c>
      <c r="Q124" s="180">
        <f t="shared" si="21"/>
        <v>618703.40176480426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0.3131814749393263</v>
      </c>
      <c r="T124">
        <f>IFERROR(VLOOKUP(A124,[1]Biogasudbytte!$A$2:$B$18,2,FALSE)*[1]Energiindhold!$C$10,0)*K124*IFERROR(VLOOKUP(A124,Biogasanlæg!$F$3:$G$8,2,FALSE),1)</f>
        <v>0.3131814749393263</v>
      </c>
      <c r="U124" s="170">
        <f t="shared" si="22"/>
        <v>0</v>
      </c>
      <c r="V124" s="169">
        <f>P124*IFERROR(VLOOKUP(A124,[1]Tørstofindhold!A$2:B$24,2,FALSE),0)</f>
        <v>0</v>
      </c>
      <c r="W124">
        <f>IF(E124=År1,Q124,SUM(P124,Q124))*IFERROR(VLOOKUP(A124,[1]Tørstofindhold!A$2:B$24,2,FALSE),0)</f>
        <v>47021.458534125122</v>
      </c>
      <c r="X124">
        <f>K124*IFERROR(VLOOKUP(A124,[1]Tørstofindhold!A$2:B$24,2,FALSE),0)</f>
        <v>47021.458534125122</v>
      </c>
      <c r="Y124" s="170">
        <f t="shared" si="23"/>
        <v>0</v>
      </c>
      <c r="Z124">
        <f t="shared" si="18"/>
        <v>0</v>
      </c>
      <c r="AA124">
        <f t="shared" si="19"/>
        <v>0</v>
      </c>
    </row>
    <row r="125" spans="1:27" x14ac:dyDescent="0.25">
      <c r="A125" s="171" t="str">
        <f t="shared" si="24"/>
        <v>Mælk til foder</v>
      </c>
      <c r="B125" s="171" t="str">
        <f t="shared" si="25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27"/>
        <v>0</v>
      </c>
      <c r="E125" s="171">
        <f t="shared" si="26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0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0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forbrug'!J$3,'Forbrug af biomasse'!$B$2:$B$425,$F125)</f>
        <v>0</v>
      </c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0"/>
        <v>0</v>
      </c>
      <c r="P125" s="94">
        <f t="shared" si="17"/>
        <v>0</v>
      </c>
      <c r="Q125" s="180">
        <f t="shared" si="21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2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3"/>
        <v>0</v>
      </c>
      <c r="Z125">
        <f t="shared" si="18"/>
        <v>0</v>
      </c>
      <c r="AA125">
        <f t="shared" si="19"/>
        <v>0</v>
      </c>
    </row>
    <row r="126" spans="1:27" x14ac:dyDescent="0.25">
      <c r="A126" s="171" t="str">
        <f t="shared" si="24"/>
        <v>Majs</v>
      </c>
      <c r="B126" s="171" t="str">
        <f t="shared" si="25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27"/>
        <v>1</v>
      </c>
      <c r="E126" s="171">
        <f t="shared" si="26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0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0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forbrug'!J$3,'Forbrug af biomasse'!$B$2:$B$425,$F126)</f>
        <v>0</v>
      </c>
      <c r="K126" s="94" t="e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#DIV/0!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 t="e">
        <f t="shared" si="20"/>
        <v>#DIV/0!</v>
      </c>
      <c r="P126" s="94" t="e">
        <f t="shared" si="17"/>
        <v>#DIV/0!</v>
      </c>
      <c r="Q126" s="180" t="e">
        <f t="shared" si="21"/>
        <v>#DIV/0!</v>
      </c>
      <c r="R126" t="e">
        <f>IFERROR(VLOOKUP(A126,[1]Energiindhold!$A$2:$C$11,3,FALSE),IFERROR(VLOOKUP(A126,[1]Biogasudbytte!$A$2:$B$18,2,FALSE)*[1]Energiindhold!$C$10,0))*P126</f>
        <v>#DIV/0!</v>
      </c>
      <c r="S126" t="e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#DIV/0!</v>
      </c>
      <c r="T126" t="e">
        <f>IFERROR(VLOOKUP(A126,[1]Biogasudbytte!$A$2:$B$18,2,FALSE)*[1]Energiindhold!$C$10,0)*K126*IFERROR(VLOOKUP(A126,Biogasanlæg!$F$3:$G$8,2,FALSE),1)</f>
        <v>#DIV/0!</v>
      </c>
      <c r="U126" s="170" t="e">
        <f t="shared" si="22"/>
        <v>#DIV/0!</v>
      </c>
      <c r="V126" s="169" t="e">
        <f>P126*IFERROR(VLOOKUP(A126,[1]Tørstofindhold!A$2:B$24,2,FALSE),0)</f>
        <v>#DIV/0!</v>
      </c>
      <c r="W126" t="e">
        <f>IF(E126=År1,Q126,SUM(P126,Q126))*IFERROR(VLOOKUP(A126,[1]Tørstofindhold!A$2:B$24,2,FALSE),0)</f>
        <v>#DIV/0!</v>
      </c>
      <c r="X126" t="e">
        <f>K126*IFERROR(VLOOKUP(A126,[1]Tørstofindhold!A$2:B$24,2,FALSE),0)</f>
        <v>#DIV/0!</v>
      </c>
      <c r="Y126" s="170" t="e">
        <f t="shared" si="23"/>
        <v>#DIV/0!</v>
      </c>
      <c r="Z126" t="e">
        <f t="shared" si="18"/>
        <v>#DIV/0!</v>
      </c>
      <c r="AA126" t="e">
        <f t="shared" si="19"/>
        <v>#DIV/0!</v>
      </c>
    </row>
    <row r="127" spans="1:27" x14ac:dyDescent="0.25">
      <c r="A127" s="171" t="str">
        <f t="shared" si="24"/>
        <v>Mejeriprodukter</v>
      </c>
      <c r="B127" s="171" t="str">
        <f t="shared" si="25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27"/>
        <v>1</v>
      </c>
      <c r="E127" s="171">
        <f t="shared" si="26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0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forbrug'!J$3,'Forbrug af biomasse'!$B$2:$B$425,$F127)</f>
        <v>490824.54885344987</v>
      </c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0"/>
        <v>-490824.54885344987</v>
      </c>
      <c r="P127" s="94">
        <f t="shared" si="17"/>
        <v>0</v>
      </c>
      <c r="Q127" s="180">
        <f t="shared" si="21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2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3"/>
        <v>0</v>
      </c>
      <c r="Z127">
        <f t="shared" si="18"/>
        <v>1</v>
      </c>
      <c r="AA127">
        <f t="shared" si="19"/>
        <v>0</v>
      </c>
    </row>
    <row r="128" spans="1:27" x14ac:dyDescent="0.25">
      <c r="A128" s="171" t="str">
        <f t="shared" si="24"/>
        <v>Muslinger</v>
      </c>
      <c r="B128" s="171" t="str">
        <f t="shared" si="25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27"/>
        <v>1</v>
      </c>
      <c r="E128" s="171">
        <f t="shared" si="26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forbrug'!J$3,'Forbrug af biomasse'!$B$2:$B$425,$F128)</f>
        <v>0</v>
      </c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0"/>
        <v>878.90231344976178</v>
      </c>
      <c r="P128" s="94">
        <f t="shared" si="17"/>
        <v>878.90231344976178</v>
      </c>
      <c r="Q128" s="180">
        <f t="shared" si="21"/>
        <v>0</v>
      </c>
      <c r="R128">
        <f>IFERROR(VLOOKUP(A128,[1]Energiindhold!$A$2:$C$11,3,FALSE),IFERROR(VLOOKUP(A128,[1]Biogasudbytte!$A$2:$B$18,2,FALSE)*[1]Energiindhold!$C$10,0))*P128</f>
        <v>7.8881482632116122E-4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2"/>
        <v>7.8881482632116122E-4</v>
      </c>
      <c r="V128" s="169">
        <f>P128*IFERROR(VLOOKUP(A128,[1]Tørstofindhold!A$2:B$24,2,FALSE),0)</f>
        <v>131.83534701746427</v>
      </c>
      <c r="W128">
        <f>IF(E128=År1,Q128,SUM(P128,Q128))*IFERROR(VLOOKUP(A128,[1]Tørstofindhold!A$2:B$24,2,FALSE),0)</f>
        <v>131.83534701746427</v>
      </c>
      <c r="X128">
        <f>K128*IFERROR(VLOOKUP(A128,[1]Tørstofindhold!A$2:B$24,2,FALSE),0)</f>
        <v>0</v>
      </c>
      <c r="Y128" s="170">
        <f t="shared" si="23"/>
        <v>131.83534701746427</v>
      </c>
      <c r="Z128">
        <f t="shared" si="18"/>
        <v>0</v>
      </c>
      <c r="AA128">
        <f t="shared" si="19"/>
        <v>1</v>
      </c>
    </row>
    <row r="129" spans="1:27" x14ac:dyDescent="0.25">
      <c r="A129" s="171" t="str">
        <f t="shared" si="24"/>
        <v>Oksekød</v>
      </c>
      <c r="B129" s="171" t="str">
        <f t="shared" si="25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27"/>
        <v>1</v>
      </c>
      <c r="E129" s="171">
        <f t="shared" si="26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3915.1017916004403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forbrug'!J$3,'Forbrug af biomasse'!$B$2:$B$425,$F129)</f>
        <v>62368.567673274578</v>
      </c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0"/>
        <v>-58453.465881674136</v>
      </c>
      <c r="P129" s="94">
        <f t="shared" si="17"/>
        <v>0</v>
      </c>
      <c r="Q129" s="180">
        <f t="shared" si="21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2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3"/>
        <v>0</v>
      </c>
      <c r="Z129">
        <f t="shared" si="18"/>
        <v>1</v>
      </c>
      <c r="AA129">
        <f t="shared" si="19"/>
        <v>0</v>
      </c>
    </row>
    <row r="130" spans="1:27" x14ac:dyDescent="0.25">
      <c r="A130" s="171" t="str">
        <f t="shared" si="24"/>
        <v>Øvrige</v>
      </c>
      <c r="B130" s="171" t="str">
        <f t="shared" si="25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27"/>
        <v>1</v>
      </c>
      <c r="E130" s="171">
        <f t="shared" si="26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0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forbrug'!J$3,'Forbrug af biomasse'!$B$2:$B$425,$F130)</f>
        <v>0</v>
      </c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0"/>
        <v>0</v>
      </c>
      <c r="P130" s="94">
        <f t="shared" si="17"/>
        <v>0</v>
      </c>
      <c r="Q130" s="180">
        <f t="shared" si="21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2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3"/>
        <v>0</v>
      </c>
      <c r="Z130">
        <f t="shared" si="18"/>
        <v>0</v>
      </c>
      <c r="AA130">
        <f t="shared" si="19"/>
        <v>0</v>
      </c>
    </row>
    <row r="131" spans="1:27" x14ac:dyDescent="0.25">
      <c r="A131" s="171" t="str">
        <f t="shared" si="24"/>
        <v>Pil &amp; poppel</v>
      </c>
      <c r="B131" s="171" t="str">
        <f t="shared" si="25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27"/>
        <v>0</v>
      </c>
      <c r="E131" s="171">
        <f t="shared" si="26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1315903.5397993135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forbrug'!J$3,'Forbrug af biomasse'!$B$2:$B$425,$F131)</f>
        <v>0</v>
      </c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1315903.5397993135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0"/>
        <v>0</v>
      </c>
      <c r="P131" s="94">
        <f t="shared" si="17"/>
        <v>0</v>
      </c>
      <c r="Q131" s="180">
        <f t="shared" si="21"/>
        <v>1315903.5397993135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24.212625132307366</v>
      </c>
      <c r="T131">
        <f>IFERROR(VLOOKUP(A131,[1]Biogasudbytte!$A$2:$B$18,2,FALSE)*[1]Energiindhold!$C$10,0)*K131*IFERROR(VLOOKUP(A131,Biogasanlæg!$F$3:$G$8,2,FALSE),1)</f>
        <v>0</v>
      </c>
      <c r="U131" s="170">
        <f t="shared" si="22"/>
        <v>24.212625132307366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546099.96901671519</v>
      </c>
      <c r="X131">
        <f>K131*IFERROR(VLOOKUP(A131,[1]Tørstofindhold!A$2:B$24,2,FALSE),0)</f>
        <v>0</v>
      </c>
      <c r="Y131" s="170">
        <f t="shared" si="23"/>
        <v>546099.96901671519</v>
      </c>
      <c r="Z131">
        <f t="shared" si="18"/>
        <v>0</v>
      </c>
      <c r="AA131">
        <f t="shared" si="19"/>
        <v>0</v>
      </c>
    </row>
    <row r="132" spans="1:27" x14ac:dyDescent="0.25">
      <c r="A132" s="171" t="str">
        <f>A84</f>
        <v>Pyrolysegas</v>
      </c>
      <c r="B132" s="171" t="str">
        <f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27"/>
        <v>0</v>
      </c>
      <c r="E132" s="171">
        <f t="shared" si="26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forbrug'!J$3,'Forbrug af biomasse'!$B$2:$B$425,$F132)</f>
        <v>0</v>
      </c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>G132-SUM(H132:N132)</f>
        <v>0</v>
      </c>
      <c r="P132" s="94">
        <f t="shared" ref="P132:P195" si="28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>SUM(K132,M132)</f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>S132-T132</f>
        <v>0</v>
      </c>
      <c r="V132" s="169">
        <f>P132*IFERROR(VLOOKUP(A132,[1]Tørstofindhold!A$2:B$24,2,FALSE),0)</f>
        <v>0</v>
      </c>
      <c r="W132">
        <f>IF(E132=År1,Q132,SUM(P132,Q132))*IFERROR(VLOOKUP(A132,[1]Tørstofindhold!A$2:B$24,2,FALSE),0)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>W132-X132</f>
        <v>0</v>
      </c>
      <c r="Z132">
        <f t="shared" ref="Z132:Z195" si="29">IF(SUMIFS($O$4:$O$291,$A$4:$A$291,A132,$E$4:$E$291,E132)&lt;0,1,0)</f>
        <v>0</v>
      </c>
      <c r="AA132">
        <f t="shared" ref="AA132:AA195" si="30">IF(SUMIFS($O$4:$O$291,$A$4:$A$291,A132,$E$4:$E$291,E132)&gt;0,1,0)</f>
        <v>0</v>
      </c>
    </row>
    <row r="133" spans="1:27" x14ac:dyDescent="0.25">
      <c r="A133" s="171" t="str">
        <f>A85</f>
        <v>Pyrolyseolie</v>
      </c>
      <c r="B133" s="171" t="str">
        <f>IF(B85&lt;&gt;"",B85,"")</f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27"/>
        <v>0</v>
      </c>
      <c r="E133" s="171">
        <f t="shared" si="26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forbrug'!J$3,'Forbrug af biomasse'!$B$2:$B$425,$F133)</f>
        <v>0</v>
      </c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>G133-SUM(H133:N133)</f>
        <v>0</v>
      </c>
      <c r="P133" s="94">
        <f t="shared" si="28"/>
        <v>0</v>
      </c>
      <c r="Q133" s="180">
        <f>SUM(K133,M133)</f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>S133-T133</f>
        <v>0</v>
      </c>
      <c r="V133" s="169">
        <f>P133*IFERROR(VLOOKUP(A133,[1]Tørstofindhold!A$2:B$24,2,FALSE),0)</f>
        <v>0</v>
      </c>
      <c r="W133">
        <f>IF(E133=År1,Q133,SUM(P133,Q133))*IFERROR(VLOOKUP(A133,[1]Tørstofindhold!A$2:B$24,2,FALSE),0)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>W133-X133</f>
        <v>0</v>
      </c>
      <c r="Z133">
        <f t="shared" si="29"/>
        <v>0</v>
      </c>
      <c r="AA133">
        <f t="shared" si="30"/>
        <v>0</v>
      </c>
    </row>
    <row r="134" spans="1:27" x14ac:dyDescent="0.25">
      <c r="A134" s="171" t="str">
        <f t="shared" ref="A134:A147" si="31">A86</f>
        <v>Råmælk</v>
      </c>
      <c r="B134" s="171" t="str">
        <f t="shared" ref="B134:B147" si="32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27"/>
        <v>0</v>
      </c>
      <c r="E134" s="171">
        <f t="shared" si="26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0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forbrug'!J$3,'Forbrug af biomasse'!$B$2:$B$425,$F134)</f>
        <v>0</v>
      </c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0"/>
        <v>0</v>
      </c>
      <c r="P134" s="94">
        <f t="shared" si="28"/>
        <v>0</v>
      </c>
      <c r="Q134" s="180">
        <f t="shared" si="21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2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3"/>
        <v>0</v>
      </c>
      <c r="Z134">
        <f t="shared" si="29"/>
        <v>0</v>
      </c>
      <c r="AA134">
        <f t="shared" si="30"/>
        <v>0</v>
      </c>
    </row>
    <row r="135" spans="1:27" x14ac:dyDescent="0.25">
      <c r="A135" s="171" t="str">
        <f t="shared" si="31"/>
        <v>Raps</v>
      </c>
      <c r="B135" s="171" t="str">
        <f t="shared" si="32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27"/>
        <v>0</v>
      </c>
      <c r="E135" s="171">
        <f t="shared" si="26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649292.34846099082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forbrug'!J$3,'Forbrug af biomasse'!$B$2:$B$425,$F135)</f>
        <v>0</v>
      </c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649292.34846099082</v>
      </c>
      <c r="O135" s="179">
        <f t="shared" si="20"/>
        <v>0</v>
      </c>
      <c r="P135" s="94">
        <f t="shared" si="28"/>
        <v>0</v>
      </c>
      <c r="Q135" s="180">
        <f t="shared" si="21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2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3"/>
        <v>0</v>
      </c>
      <c r="Z135">
        <f t="shared" si="29"/>
        <v>0</v>
      </c>
      <c r="AA135">
        <f t="shared" si="30"/>
        <v>0</v>
      </c>
    </row>
    <row r="136" spans="1:27" x14ac:dyDescent="0.25">
      <c r="A136" s="171" t="str">
        <f t="shared" si="31"/>
        <v>Rapskage</v>
      </c>
      <c r="B136" s="171" t="str">
        <f t="shared" si="32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27"/>
        <v>0</v>
      </c>
      <c r="E136" s="171">
        <f t="shared" si="26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324646.17423049541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38751.234035816837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forbrug'!J$3,'Forbrug af biomasse'!$B$2:$B$425,$F136)</f>
        <v>0</v>
      </c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0"/>
        <v>285894.94019467855</v>
      </c>
      <c r="P136" s="94">
        <f t="shared" si="28"/>
        <v>0</v>
      </c>
      <c r="Q136" s="180">
        <f t="shared" si="21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2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3"/>
        <v>0</v>
      </c>
      <c r="Z136">
        <f t="shared" si="29"/>
        <v>0</v>
      </c>
      <c r="AA136">
        <f t="shared" si="30"/>
        <v>1</v>
      </c>
    </row>
    <row r="137" spans="1:27" x14ac:dyDescent="0.25">
      <c r="A137" s="171" t="str">
        <f t="shared" si="31"/>
        <v>Rapsolie</v>
      </c>
      <c r="B137" s="171" t="str">
        <f t="shared" si="32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27"/>
        <v>1</v>
      </c>
      <c r="E137" s="171">
        <f t="shared" si="26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207773.55150751706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forbrug'!J$3,'Forbrug af biomasse'!$B$2:$B$425,$F137)</f>
        <v>0</v>
      </c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207773.55150751706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0"/>
        <v>0</v>
      </c>
      <c r="P137" s="94">
        <f t="shared" si="28"/>
        <v>0</v>
      </c>
      <c r="Q137" s="180">
        <f t="shared" si="21"/>
        <v>207773.55150751706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7.2720743027630963</v>
      </c>
      <c r="T137">
        <f>IFERROR(VLOOKUP(A137,[1]Biogasudbytte!$A$2:$B$18,2,FALSE)*[1]Energiindhold!$C$10,0)*K137*IFERROR(VLOOKUP(A137,Biogasanlæg!$F$3:$G$8,2,FALSE),1)</f>
        <v>0</v>
      </c>
      <c r="U137" s="170">
        <f t="shared" si="22"/>
        <v>7.2720743027630963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3"/>
        <v>0</v>
      </c>
      <c r="Z137">
        <f t="shared" si="29"/>
        <v>0</v>
      </c>
      <c r="AA137">
        <f t="shared" si="30"/>
        <v>0</v>
      </c>
    </row>
    <row r="138" spans="1:27" x14ac:dyDescent="0.25">
      <c r="A138" s="171" t="str">
        <f t="shared" si="31"/>
        <v>Roer</v>
      </c>
      <c r="B138" s="171" t="str">
        <f t="shared" si="32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27"/>
        <v>1</v>
      </c>
      <c r="E138" s="171">
        <f t="shared" si="26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1115629.1792631589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88740.110439454962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forbrug'!J$3,'Forbrug af biomasse'!$B$2:$B$425,$F138)</f>
        <v>0</v>
      </c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0"/>
        <v>1026889.068823704</v>
      </c>
      <c r="P138" s="94">
        <f t="shared" si="28"/>
        <v>1026889.068823704</v>
      </c>
      <c r="Q138" s="180">
        <f t="shared" si="21"/>
        <v>0</v>
      </c>
      <c r="R138">
        <f>IFERROR(VLOOKUP(A138,[1]Energiindhold!$A$2:$C$11,3,FALSE),IFERROR(VLOOKUP(A138,[1]Biogasudbytte!$A$2:$B$18,2,FALSE)*[1]Energiindhold!$C$10,0))*P138</f>
        <v>2.7870180083502856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2.7870180083502856</v>
      </c>
      <c r="T138">
        <f>IFERROR(VLOOKUP(A138,[1]Biogasudbytte!$A$2:$B$18,2,FALSE)*[1]Energiindhold!$C$10,0)*K138*IFERROR(VLOOKUP(A138,Biogasanlæg!$F$3:$G$8,2,FALSE),1)</f>
        <v>0</v>
      </c>
      <c r="U138" s="170">
        <f t="shared" si="22"/>
        <v>2.7870180083502856</v>
      </c>
      <c r="V138" s="169">
        <f>P138*IFERROR(VLOOKUP(A138,[1]Tørstofindhold!A$2:B$24,2,FALSE),0)</f>
        <v>205377.81376474083</v>
      </c>
      <c r="W138">
        <f>IF(E138=År1,Q138,SUM(P138,Q138))*IFERROR(VLOOKUP(A138,[1]Tørstofindhold!A$2:B$24,2,FALSE),0)</f>
        <v>205377.81376474083</v>
      </c>
      <c r="X138">
        <f>K138*IFERROR(VLOOKUP(A138,[1]Tørstofindhold!A$2:B$24,2,FALSE),0)</f>
        <v>0</v>
      </c>
      <c r="Y138" s="170">
        <f t="shared" si="23"/>
        <v>205377.81376474083</v>
      </c>
      <c r="Z138">
        <f t="shared" si="29"/>
        <v>0</v>
      </c>
      <c r="AA138">
        <f t="shared" si="30"/>
        <v>1</v>
      </c>
    </row>
    <row r="139" spans="1:27" x14ac:dyDescent="0.25">
      <c r="A139" s="171" t="str">
        <f t="shared" si="31"/>
        <v>Slagteriaffald til andet</v>
      </c>
      <c r="B139" s="171" t="str">
        <f t="shared" si="32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27"/>
        <v>0</v>
      </c>
      <c r="E139" s="171">
        <f t="shared" si="26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6885.6435501498472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forbrug'!J$3,'Forbrug af biomasse'!$B$2:$B$425,$F139)</f>
        <v>0</v>
      </c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0"/>
        <v>6885.6435501498472</v>
      </c>
      <c r="P139" s="94">
        <f t="shared" si="28"/>
        <v>0</v>
      </c>
      <c r="Q139" s="180">
        <f t="shared" si="21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2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3"/>
        <v>0</v>
      </c>
      <c r="Z139">
        <f t="shared" si="29"/>
        <v>0</v>
      </c>
      <c r="AA139">
        <f t="shared" si="30"/>
        <v>1</v>
      </c>
    </row>
    <row r="140" spans="1:27" x14ac:dyDescent="0.25">
      <c r="A140" s="171" t="str">
        <f t="shared" si="31"/>
        <v>Slagteriaffald til foder</v>
      </c>
      <c r="B140" s="171" t="str">
        <f t="shared" si="32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27"/>
        <v>0</v>
      </c>
      <c r="E140" s="171">
        <f t="shared" si="26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4618.1462568237339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4158.2160376315423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forbrug'!J$3,'Forbrug af biomasse'!$B$2:$B$425,$F140)</f>
        <v>0</v>
      </c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0"/>
        <v>459.93021919219154</v>
      </c>
      <c r="P140" s="94">
        <f t="shared" si="28"/>
        <v>0</v>
      </c>
      <c r="Q140" s="180">
        <f t="shared" si="21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2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3"/>
        <v>0</v>
      </c>
      <c r="Z140">
        <f t="shared" si="29"/>
        <v>0</v>
      </c>
      <c r="AA140">
        <f t="shared" si="30"/>
        <v>1</v>
      </c>
    </row>
    <row r="141" spans="1:27" x14ac:dyDescent="0.25">
      <c r="A141" s="171" t="str">
        <f t="shared" si="31"/>
        <v>Spildevandsslam</v>
      </c>
      <c r="B141" s="171" t="str">
        <f t="shared" si="32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27"/>
        <v>0</v>
      </c>
      <c r="E141" s="171">
        <f t="shared" si="26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4002333.5486616795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forbrug'!J$3,'Forbrug af biomasse'!$B$2:$B$425,$F141)</f>
        <v>0</v>
      </c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1517880.3720548805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0"/>
        <v>2484453.176606799</v>
      </c>
      <c r="P141" s="94">
        <f t="shared" si="28"/>
        <v>2484453.176606799</v>
      </c>
      <c r="Q141" s="180">
        <f t="shared" si="21"/>
        <v>1517880.3720548805</v>
      </c>
      <c r="R141">
        <f>IFERROR(VLOOKUP(A141,[1]Energiindhold!$A$2:$C$11,3,FALSE),IFERROR(VLOOKUP(A141,[1]Biogasudbytte!$A$2:$B$18,2,FALSE)*[1]Energiindhold!$C$10,0))*P141</f>
        <v>1.2397669796585589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1.9972044641176647</v>
      </c>
      <c r="T141">
        <f>IFERROR(VLOOKUP(A141,[1]Biogasudbytte!$A$2:$B$18,2,FALSE)*[1]Energiindhold!$C$10,0)*K141*IFERROR(VLOOKUP(A141,Biogasanlæg!$F$3:$G$8,2,FALSE),1)</f>
        <v>0.75743748445910597</v>
      </c>
      <c r="U141" s="170">
        <f t="shared" si="22"/>
        <v>1.2397669796585586</v>
      </c>
      <c r="V141" s="169">
        <f>P141*IFERROR(VLOOKUP(A141,[1]Tørstofindhold!A$2:B$24,2,FALSE),0)</f>
        <v>149067.19059640795</v>
      </c>
      <c r="W141">
        <f>IF(E141=År1,Q141,SUM(P141,Q141))*IFERROR(VLOOKUP(A141,[1]Tørstofindhold!A$2:B$24,2,FALSE),0)</f>
        <v>240140.01291970076</v>
      </c>
      <c r="X141">
        <f>K141*IFERROR(VLOOKUP(A141,[1]Tørstofindhold!A$2:B$24,2,FALSE),0)</f>
        <v>91072.822323292829</v>
      </c>
      <c r="Y141" s="170">
        <f t="shared" si="23"/>
        <v>149067.19059640792</v>
      </c>
      <c r="Z141">
        <f t="shared" si="29"/>
        <v>0</v>
      </c>
      <c r="AA141">
        <f t="shared" si="30"/>
        <v>1</v>
      </c>
    </row>
    <row r="142" spans="1:27" x14ac:dyDescent="0.25">
      <c r="A142" s="171" t="str">
        <f t="shared" si="31"/>
        <v>Svinegylle</v>
      </c>
      <c r="B142" s="171" t="str">
        <f t="shared" si="32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27"/>
        <v>0</v>
      </c>
      <c r="E142" s="171">
        <f t="shared" si="26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0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forbrug'!J$3,'Forbrug af biomasse'!$B$2:$B$425,$F142)</f>
        <v>0</v>
      </c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0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0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0"/>
        <v>0</v>
      </c>
      <c r="P142" s="94">
        <f t="shared" si="28"/>
        <v>0</v>
      </c>
      <c r="Q142" s="180">
        <f t="shared" si="21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22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23"/>
        <v>0</v>
      </c>
      <c r="Z142">
        <f t="shared" si="29"/>
        <v>0</v>
      </c>
      <c r="AA142">
        <f t="shared" si="30"/>
        <v>0</v>
      </c>
    </row>
    <row r="143" spans="1:27" x14ac:dyDescent="0.25">
      <c r="A143" s="171" t="str">
        <f t="shared" si="31"/>
        <v>Svinekød</v>
      </c>
      <c r="B143" s="171" t="str">
        <f t="shared" si="32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27"/>
        <v>1</v>
      </c>
      <c r="E143" s="171">
        <f t="shared" si="26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48971.913359549246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forbrug'!J$3,'Forbrug af biomasse'!$B$2:$B$425,$F143)</f>
        <v>126627.09194270898</v>
      </c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0"/>
        <v>-77655.178583159737</v>
      </c>
      <c r="P143" s="94">
        <f t="shared" si="28"/>
        <v>0</v>
      </c>
      <c r="Q143" s="180">
        <f t="shared" si="21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2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3"/>
        <v>0</v>
      </c>
      <c r="Z143">
        <f t="shared" si="29"/>
        <v>1</v>
      </c>
      <c r="AA143">
        <f t="shared" si="30"/>
        <v>0</v>
      </c>
    </row>
    <row r="144" spans="1:27" x14ac:dyDescent="0.25">
      <c r="A144" s="171" t="str">
        <f t="shared" si="31"/>
        <v>Tang</v>
      </c>
      <c r="B144" s="171" t="str">
        <f t="shared" si="32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27"/>
        <v>1</v>
      </c>
      <c r="E144" s="171">
        <f t="shared" si="26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382.5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forbrug'!J$3,'Forbrug af biomasse'!$B$2:$B$425,$F144)</f>
        <v>0</v>
      </c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0"/>
        <v>382.5</v>
      </c>
      <c r="P144" s="94">
        <f t="shared" si="28"/>
        <v>382.5</v>
      </c>
      <c r="Q144" s="180">
        <f t="shared" si="21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22"/>
        <v>3.4329375000000003E-4</v>
      </c>
      <c r="V144" s="169">
        <f>P144*IFERROR(VLOOKUP(A144,[1]Tørstofindhold!A$2:B$24,2,FALSE),0)</f>
        <v>57.375</v>
      </c>
      <c r="W144">
        <f>IF(E144=År1,Q144,SUM(P144,Q144))*IFERROR(VLOOKUP(A144,[1]Tørstofindhold!A$2:B$24,2,FALSE),0)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23"/>
        <v>57.375</v>
      </c>
      <c r="Z144">
        <f t="shared" si="29"/>
        <v>0</v>
      </c>
      <c r="AA144">
        <f t="shared" si="30"/>
        <v>1</v>
      </c>
    </row>
    <row r="145" spans="1:27" x14ac:dyDescent="0.25">
      <c r="A145" s="171" t="str">
        <f t="shared" si="31"/>
        <v>Total til biogas</v>
      </c>
      <c r="B145" s="171" t="str">
        <f t="shared" si="32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27"/>
        <v>0</v>
      </c>
      <c r="E145" s="171">
        <f t="shared" si="26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forbrug'!J$3,'Forbrug af biomasse'!$B$2:$B$425,$F145)</f>
        <v>0</v>
      </c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0"/>
        <v>0</v>
      </c>
      <c r="P145" s="94">
        <f t="shared" si="28"/>
        <v>0</v>
      </c>
      <c r="Q145" s="180">
        <f t="shared" si="21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2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3"/>
        <v>0</v>
      </c>
      <c r="Z145">
        <f t="shared" si="29"/>
        <v>0</v>
      </c>
      <c r="AA145">
        <f t="shared" si="30"/>
        <v>0</v>
      </c>
    </row>
    <row r="146" spans="1:27" x14ac:dyDescent="0.25">
      <c r="A146" s="171" t="str">
        <f t="shared" si="31"/>
        <v>Træ til energi</v>
      </c>
      <c r="B146" s="171" t="str">
        <f t="shared" si="32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27"/>
        <v>0</v>
      </c>
      <c r="E146" s="171">
        <f t="shared" si="26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2312878.2492368715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forbrug'!J$3,'Forbrug af biomasse'!$B$2:$B$425,$F146)</f>
        <v>0</v>
      </c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2312878.2492368715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0"/>
        <v>0</v>
      </c>
      <c r="P146" s="94">
        <f t="shared" ca="1" si="28"/>
        <v>0</v>
      </c>
      <c r="Q146" s="180">
        <f t="shared" ca="1" si="21"/>
        <v>2312878.2492368715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33.521860264419189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2"/>
        <v>33.521860264419189</v>
      </c>
      <c r="V146" s="169">
        <f ca="1">P146*IFERROR(VLOOKUP(A146,[1]Tørstofindhold!A$2:B$24,2,FALSE),0)</f>
        <v>0</v>
      </c>
      <c r="W146">
        <f ca="1">IF(E146=År1,Q146,SUM(P146,Q146))*IFERROR(VLOOKUP(A146,[1]Tørstofindhold!A$2:B$24,2,FALSE),0)</f>
        <v>1143911.034101736</v>
      </c>
      <c r="X146">
        <f>K146*IFERROR(VLOOKUP(A146,[1]Tørstofindhold!A$2:B$24,2,FALSE),0)</f>
        <v>0</v>
      </c>
      <c r="Y146" s="170">
        <f t="shared" ca="1" si="23"/>
        <v>1143911.034101736</v>
      </c>
      <c r="Z146">
        <f t="shared" ca="1" si="29"/>
        <v>0</v>
      </c>
      <c r="AA146">
        <f t="shared" ca="1" si="30"/>
        <v>0</v>
      </c>
    </row>
    <row r="147" spans="1:27" x14ac:dyDescent="0.25">
      <c r="A147" s="171" t="str">
        <f t="shared" si="31"/>
        <v>Træmaterialer</v>
      </c>
      <c r="B147" s="171" t="str">
        <f t="shared" si="32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27"/>
        <v>0</v>
      </c>
      <c r="E147" s="171">
        <f t="shared" si="26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676235.95848651009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forbrug'!J$3,'Forbrug af biomasse'!$B$2:$B$425,$F147)</f>
        <v>0</v>
      </c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676235.95848651009</v>
      </c>
      <c r="O147" s="179">
        <f t="shared" ca="1" si="20"/>
        <v>0</v>
      </c>
      <c r="P147" s="94">
        <f t="shared" si="28"/>
        <v>0</v>
      </c>
      <c r="Q147" s="180">
        <f t="shared" si="21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2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3"/>
        <v>0</v>
      </c>
      <c r="Z147">
        <f t="shared" ca="1" si="29"/>
        <v>0</v>
      </c>
      <c r="AA147">
        <f t="shared" ca="1" si="30"/>
        <v>0</v>
      </c>
    </row>
    <row r="148" spans="1:27" x14ac:dyDescent="0.25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27"/>
        <v>1</v>
      </c>
      <c r="E148" s="171">
        <f t="shared" ref="E148:E195" si="33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forbrug'!J$3,'Forbrug af biomasse'!$B$2:$B$425,$F148)</f>
        <v>26880.542267330831</v>
      </c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0"/>
        <v>-8430.5352358472264</v>
      </c>
      <c r="P148" s="94">
        <f t="shared" si="28"/>
        <v>0</v>
      </c>
      <c r="Q148" s="180">
        <f t="shared" si="21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2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3"/>
        <v>0</v>
      </c>
      <c r="Z148">
        <f t="shared" si="29"/>
        <v>0</v>
      </c>
      <c r="AA148">
        <f t="shared" si="30"/>
        <v>1</v>
      </c>
    </row>
    <row r="149" spans="1:27" x14ac:dyDescent="0.25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27"/>
        <v>1</v>
      </c>
      <c r="E149" s="171">
        <f t="shared" si="33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forbrug'!J$3,'Forbrug af biomasse'!$B$2:$B$425,$F149)</f>
        <v>0</v>
      </c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si="20"/>
        <v>19055.87878491775</v>
      </c>
      <c r="P149" s="94">
        <f t="shared" si="28"/>
        <v>0</v>
      </c>
      <c r="Q149" s="180">
        <f t="shared" si="21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2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3"/>
        <v>0</v>
      </c>
      <c r="Z149">
        <f t="shared" si="29"/>
        <v>0</v>
      </c>
      <c r="AA149">
        <f t="shared" si="30"/>
        <v>1</v>
      </c>
    </row>
    <row r="150" spans="1:27" x14ac:dyDescent="0.25">
      <c r="A150" s="171" t="s">
        <v>102</v>
      </c>
      <c r="B150" s="171" t="s">
        <v>230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27"/>
        <v>0</v>
      </c>
      <c r="E150" s="171">
        <f t="shared" si="33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forbrug'!J$3,'Forbrug af biomasse'!$B$2:$B$425,$F150)</f>
        <v>0</v>
      </c>
      <c r="K150" s="94">
        <f ca="1"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335590.35573220561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0"/>
        <v>-170507.33327986751</v>
      </c>
      <c r="P150" s="94">
        <f t="shared" ca="1" si="28"/>
        <v>0</v>
      </c>
      <c r="Q150" s="180">
        <f t="shared" ca="1" si="21"/>
        <v>335590.35573220561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1.1433261388476088</v>
      </c>
      <c r="T150">
        <f ca="1">IFERROR(VLOOKUP(A150,[1]Biogasudbytte!$A$2:$B$18,2,FALSE)*[1]Energiindhold!$C$10,0)*K150*IFERROR(VLOOKUP(A150,Biogasanlæg!$F$3:$G$8,2,FALSE),1)</f>
        <v>1.1433261388476088</v>
      </c>
      <c r="U150" s="170">
        <f t="shared" ca="1" si="22"/>
        <v>0</v>
      </c>
      <c r="V150" s="169">
        <f ca="1">P150*IFERROR(VLOOKUP(A150,[1]Tørstofindhold!A$2:B$24,2,FALSE),0)</f>
        <v>0</v>
      </c>
      <c r="W150">
        <f ca="1">IF(E150=År1,Q150,SUM(P150,Q150))*IFERROR(VLOOKUP(A150,[1]Tørstofindhold!A$2:B$24,2,FALSE),0)</f>
        <v>93965.299605017586</v>
      </c>
      <c r="X150">
        <f ca="1">K150*IFERROR(VLOOKUP(A150,[1]Tørstofindhold!A$2:B$24,2,FALSE),0)</f>
        <v>93965.299605017586</v>
      </c>
      <c r="Y150" s="170">
        <f t="shared" ca="1" si="23"/>
        <v>0</v>
      </c>
      <c r="Z150">
        <f t="shared" ca="1" si="29"/>
        <v>1</v>
      </c>
      <c r="AA150">
        <f t="shared" ca="1" si="30"/>
        <v>0</v>
      </c>
    </row>
    <row r="151" spans="1:27" x14ac:dyDescent="0.25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27"/>
        <v>0</v>
      </c>
      <c r="E151" s="171">
        <f t="shared" si="33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forbrug'!J$3,'Forbrug af biomasse'!$B$2:$B$425,$F151)</f>
        <v>0</v>
      </c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34">G151-SUM(H151:N151)</f>
        <v>0</v>
      </c>
      <c r="P151" s="94">
        <f t="shared" ca="1" si="28"/>
        <v>0</v>
      </c>
      <c r="Q151" s="180">
        <f t="shared" ref="Q151:Q216" ca="1" si="35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36">S151-T151</f>
        <v>0</v>
      </c>
      <c r="V151" s="169">
        <f ca="1">P151*IFERROR(VLOOKUP(A151,[1]Tørstofindhold!A$2:B$24,2,FALSE),0)</f>
        <v>0</v>
      </c>
      <c r="W151">
        <f ca="1"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ca="1" si="37">W151-X151</f>
        <v>0</v>
      </c>
      <c r="Z151">
        <f t="shared" ca="1" si="29"/>
        <v>0</v>
      </c>
      <c r="AA151">
        <f t="shared" ca="1" si="30"/>
        <v>0</v>
      </c>
    </row>
    <row r="152" spans="1:27" x14ac:dyDescent="0.25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27"/>
        <v>0</v>
      </c>
      <c r="E152" s="171">
        <f t="shared" si="33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forbrug'!J$3,'Forbrug af biomasse'!$B$2:$B$425,$F152)</f>
        <v>0</v>
      </c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34"/>
        <v>661211.27137287101</v>
      </c>
      <c r="P152" s="94">
        <f t="shared" si="28"/>
        <v>0</v>
      </c>
      <c r="Q152" s="180">
        <f t="shared" si="35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36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37"/>
        <v>0</v>
      </c>
      <c r="Z152">
        <f t="shared" ca="1" si="29"/>
        <v>0</v>
      </c>
      <c r="AA152">
        <f t="shared" ca="1" si="30"/>
        <v>1</v>
      </c>
    </row>
    <row r="153" spans="1:27" x14ac:dyDescent="0.25">
      <c r="A153" s="171" t="s">
        <v>208</v>
      </c>
      <c r="B153" s="171" t="s">
        <v>230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27"/>
        <v>0</v>
      </c>
      <c r="E153" s="171">
        <f t="shared" si="33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forbrug'!J$3,'Forbrug af biomasse'!$B$2:$B$425,$F153)</f>
        <v>0</v>
      </c>
      <c r="K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0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si="34"/>
        <v>0</v>
      </c>
      <c r="P153" s="94">
        <f t="shared" si="28"/>
        <v>0</v>
      </c>
      <c r="Q153" s="180">
        <f t="shared" si="35"/>
        <v>0</v>
      </c>
      <c r="R153">
        <f>IFERROR(VLOOKUP(A153,[1]Energiindhold!$A$2:$C$11,3,FALSE),IFERROR(VLOOKUP(A153,[1]Biogasudbytte!$A$2:$B$18,2,FALSE)*[1]Energiindhold!$C$10,0))*P153</f>
        <v>0</v>
      </c>
      <c r="S153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>IFERROR(VLOOKUP(A153,[1]Biogasudbytte!$A$2:$B$18,2,FALSE)*[1]Energiindhold!$C$10,0)*K153*IFERROR(VLOOKUP(A153,Biogasanlæg!$F$3:$G$8,2,FALSE),1)</f>
        <v>0</v>
      </c>
      <c r="U153" s="170">
        <f t="shared" si="36"/>
        <v>0</v>
      </c>
      <c r="V153" s="169">
        <f>P153*IFERROR(VLOOKUP(A153,[1]Tørstofindhold!A$2:B$24,2,FALSE),0)</f>
        <v>0</v>
      </c>
      <c r="W153">
        <f>IF(E153=År1,Q153,SUM(P153,Q153))*IFERROR(VLOOKUP(A153,[1]Tørstofindhold!A$2:B$24,2,FALSE),0)</f>
        <v>0</v>
      </c>
      <c r="X153">
        <f>K153*IFERROR(VLOOKUP(A153,[1]Tørstofindhold!A$2:B$24,2,FALSE),0)</f>
        <v>0</v>
      </c>
      <c r="Y153" s="170">
        <f t="shared" si="37"/>
        <v>0</v>
      </c>
      <c r="Z153">
        <f t="shared" si="29"/>
        <v>0</v>
      </c>
      <c r="AA153">
        <f t="shared" si="30"/>
        <v>0</v>
      </c>
    </row>
    <row r="154" spans="1:27" x14ac:dyDescent="0.25">
      <c r="A154" t="s">
        <v>101</v>
      </c>
      <c r="B154" s="171" t="s">
        <v>222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27"/>
        <v>0</v>
      </c>
      <c r="E154" s="171">
        <f t="shared" si="33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forbrug'!J$3,'Forbrug af biomasse'!$B$2:$B$425,$F154)</f>
        <v>0</v>
      </c>
      <c r="K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85892.328449707566</v>
      </c>
      <c r="L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si="34"/>
        <v>153410.57659836096</v>
      </c>
      <c r="P154" s="94">
        <f t="shared" si="28"/>
        <v>153410.57659836096</v>
      </c>
      <c r="Q154" s="180">
        <f t="shared" si="35"/>
        <v>85892.328449707566</v>
      </c>
      <c r="R154">
        <f>IFERROR(VLOOKUP(A154,[1]Energiindhold!$A$2:$C$11,3,FALSE),IFERROR(VLOOKUP(A154,[1]Biogasudbytte!$A$2:$B$18,2,FALSE)*[1]Energiindhold!$C$10,0))*P154</f>
        <v>0.33044638199286952</v>
      </c>
      <c r="S154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0.18501207548067011</v>
      </c>
      <c r="T154">
        <f>IFERROR(VLOOKUP(A154,[1]Biogasudbytte!$A$2:$B$18,2,FALSE)*[1]Energiindhold!$C$10,0)*K154*IFERROR(VLOOKUP(A154,Biogasanlæg!$F$3:$G$8,2,FALSE),1)</f>
        <v>0.18501207548067011</v>
      </c>
      <c r="U154" s="170">
        <f t="shared" si="36"/>
        <v>0</v>
      </c>
      <c r="V154" s="169">
        <f>P154*IFERROR(VLOOKUP(A154,[1]Tørstofindhold!A$2:B$24,2,FALSE),0)</f>
        <v>46023.172979508287</v>
      </c>
      <c r="W154">
        <f>IF(E154=År1,Q154,SUM(P154,Q154))*IFERROR(VLOOKUP(A154,[1]Tørstofindhold!A$2:B$24,2,FALSE),0)</f>
        <v>25767.69853491227</v>
      </c>
      <c r="X154">
        <f>K154*IFERROR(VLOOKUP(A154,[1]Tørstofindhold!A$2:B$24,2,FALSE),0)</f>
        <v>25767.69853491227</v>
      </c>
      <c r="Y154" s="170">
        <f t="shared" si="37"/>
        <v>0</v>
      </c>
      <c r="Z154">
        <f t="shared" si="29"/>
        <v>0</v>
      </c>
      <c r="AA154">
        <f t="shared" si="30"/>
        <v>1</v>
      </c>
    </row>
    <row r="155" spans="1:27" x14ac:dyDescent="0.25">
      <c r="A155" t="s">
        <v>204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27"/>
        <v>0</v>
      </c>
      <c r="E155" s="171">
        <f t="shared" si="33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forbrug'!J$3,'Forbrug af biomasse'!$B$2:$B$425,$F155)</f>
        <v>0</v>
      </c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si="34"/>
        <v>0</v>
      </c>
      <c r="P155" s="94">
        <f t="shared" si="28"/>
        <v>0</v>
      </c>
      <c r="Q155" s="180">
        <f t="shared" si="35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36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37"/>
        <v>0</v>
      </c>
      <c r="Z155">
        <f t="shared" si="29"/>
        <v>0</v>
      </c>
      <c r="AA155">
        <f t="shared" si="30"/>
        <v>0</v>
      </c>
    </row>
    <row r="156" spans="1:27" x14ac:dyDescent="0.25">
      <c r="A156" t="s">
        <v>137</v>
      </c>
      <c r="B156" s="171" t="s">
        <v>222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27"/>
        <v>0</v>
      </c>
      <c r="E156" s="171">
        <f t="shared" si="33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forbrug'!J$3,'Forbrug af biomasse'!$B$2:$B$425,$F156)</f>
        <v>0</v>
      </c>
      <c r="K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337.693821952441</v>
      </c>
      <c r="L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si="34"/>
        <v>0</v>
      </c>
      <c r="P156" s="94">
        <f t="shared" si="28"/>
        <v>0</v>
      </c>
      <c r="Q156" s="180">
        <f t="shared" si="35"/>
        <v>337.693821952441</v>
      </c>
      <c r="R156">
        <f>IFERROR(VLOOKUP(A156,[1]Energiindhold!$A$2:$C$11,3,FALSE),IFERROR(VLOOKUP(A156,[1]Biogasudbytte!$A$2:$B$18,2,FALSE)*[1]Energiindhold!$C$10,0))*P156</f>
        <v>0</v>
      </c>
      <c r="S156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1.5881402752601349E-4</v>
      </c>
      <c r="T156">
        <f>IFERROR(VLOOKUP(A156,[1]Biogasudbytte!$A$2:$B$18,2,FALSE)*[1]Energiindhold!$C$10,0)*K156*IFERROR(VLOOKUP(A156,Biogasanlæg!$F$3:$G$8,2,FALSE),1)</f>
        <v>1.5881402752601349E-4</v>
      </c>
      <c r="U156" s="170">
        <f t="shared" si="36"/>
        <v>0</v>
      </c>
      <c r="V156" s="169">
        <f>P156*IFERROR(VLOOKUP(A156,[1]Tørstofindhold!A$2:B$24,2,FALSE),0)</f>
        <v>0</v>
      </c>
      <c r="W156">
        <f>IF(E156=År1,Q156,SUM(P156,Q156))*IFERROR(VLOOKUP(A156,[1]Tørstofindhold!A$2:B$24,2,FALSE),0)</f>
        <v>21.274710783003783</v>
      </c>
      <c r="X156">
        <f>K156*IFERROR(VLOOKUP(A156,[1]Tørstofindhold!A$2:B$24,2,FALSE),0)</f>
        <v>21.274710783003783</v>
      </c>
      <c r="Y156" s="170">
        <f t="shared" si="37"/>
        <v>0</v>
      </c>
      <c r="Z156">
        <f t="shared" si="29"/>
        <v>0</v>
      </c>
      <c r="AA156">
        <f t="shared" si="30"/>
        <v>0</v>
      </c>
    </row>
    <row r="157" spans="1:27" x14ac:dyDescent="0.25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27"/>
        <v>1</v>
      </c>
      <c r="E157" s="171">
        <f t="shared" si="33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forbrug'!J$3,'Forbrug af biomasse'!$B$2:$B$425,$F157)</f>
        <v>29120.587456275069</v>
      </c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34"/>
        <v>-13151.581373695415</v>
      </c>
      <c r="P157" s="94">
        <f t="shared" si="28"/>
        <v>0</v>
      </c>
      <c r="Q157" s="180">
        <f t="shared" si="35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36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37"/>
        <v>0</v>
      </c>
      <c r="Z157">
        <f t="shared" si="29"/>
        <v>0</v>
      </c>
      <c r="AA157">
        <f t="shared" si="30"/>
        <v>1</v>
      </c>
    </row>
    <row r="158" spans="1:27" x14ac:dyDescent="0.25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27"/>
        <v>0</v>
      </c>
      <c r="E158" s="171">
        <f t="shared" si="33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forbrug'!J$3,'Forbrug af biomasse'!$B$2:$B$425,$F158)</f>
        <v>0</v>
      </c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34"/>
        <v>620445.82725004398</v>
      </c>
      <c r="P158" s="94">
        <f t="shared" si="28"/>
        <v>0</v>
      </c>
      <c r="Q158" s="180">
        <f t="shared" si="35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36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37"/>
        <v>0</v>
      </c>
      <c r="Z158">
        <f t="shared" si="29"/>
        <v>0</v>
      </c>
      <c r="AA158">
        <f t="shared" si="30"/>
        <v>1</v>
      </c>
    </row>
    <row r="159" spans="1:27" x14ac:dyDescent="0.25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27"/>
        <v>1</v>
      </c>
      <c r="E159" s="171">
        <f t="shared" si="33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forbrug'!J$3,'Forbrug af biomasse'!$B$2:$B$425,$F159)</f>
        <v>212804.29294970242</v>
      </c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34"/>
        <v>-197024.06677216437</v>
      </c>
      <c r="P159" s="94">
        <f t="shared" si="28"/>
        <v>0</v>
      </c>
      <c r="Q159" s="180">
        <f t="shared" si="35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36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37"/>
        <v>0</v>
      </c>
      <c r="Z159">
        <f t="shared" si="29"/>
        <v>1</v>
      </c>
      <c r="AA159">
        <f t="shared" si="30"/>
        <v>0</v>
      </c>
    </row>
    <row r="160" spans="1:27" x14ac:dyDescent="0.25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27"/>
        <v>0</v>
      </c>
      <c r="E160" s="171">
        <f t="shared" si="33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forbrug'!J$3,'Forbrug af biomasse'!$B$2:$B$425,$F160)</f>
        <v>0</v>
      </c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34"/>
        <v>-28548.400000000001</v>
      </c>
      <c r="P160" s="94">
        <f t="shared" si="28"/>
        <v>0</v>
      </c>
      <c r="Q160" s="180">
        <f t="shared" si="35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36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37"/>
        <v>0</v>
      </c>
      <c r="Z160">
        <f t="shared" si="29"/>
        <v>1</v>
      </c>
      <c r="AA160">
        <f t="shared" si="30"/>
        <v>0</v>
      </c>
    </row>
    <row r="161" spans="1:27" x14ac:dyDescent="0.25">
      <c r="A161" s="171" t="s">
        <v>51</v>
      </c>
      <c r="B161" s="171" t="s">
        <v>224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27"/>
        <v>0</v>
      </c>
      <c r="E161" s="171">
        <f t="shared" si="33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forbrug'!J$3,'Forbrug af biomasse'!$B$2:$B$425,$F161)</f>
        <v>0</v>
      </c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si="34"/>
        <v>636502.29333281773</v>
      </c>
      <c r="P161" s="94">
        <f t="shared" si="28"/>
        <v>636502.29333281773</v>
      </c>
      <c r="Q161" s="180">
        <f t="shared" si="35"/>
        <v>10277.831749012612</v>
      </c>
      <c r="R161">
        <f>IFERROR(VLOOKUP(A161,[1]Energiindhold!$A$2:$C$11,3,FALSE),IFERROR(VLOOKUP(A161,[1]Biogasudbytte!$A$2:$B$18,2,FALSE)*[1]Energiindhold!$C$10,0))*P161</f>
        <v>1.1710846569457181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36"/>
        <v>0</v>
      </c>
      <c r="V161" s="169">
        <f>P161*IFERROR(VLOOKUP(A161,[1]Tørstofindhold!A$2:B$24,2,FALSE),0)</f>
        <v>178220.64213318899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37"/>
        <v>0</v>
      </c>
      <c r="Z161">
        <f t="shared" si="29"/>
        <v>0</v>
      </c>
      <c r="AA161">
        <f t="shared" si="30"/>
        <v>1</v>
      </c>
    </row>
    <row r="162" spans="1:27" x14ac:dyDescent="0.25">
      <c r="A162" s="171" t="s">
        <v>203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27"/>
        <v>0</v>
      </c>
      <c r="E162" s="171">
        <f t="shared" si="33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forbrug'!J$3,'Forbrug af biomasse'!$B$2:$B$425,$F162)</f>
        <v>0</v>
      </c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si="34"/>
        <v>0</v>
      </c>
      <c r="P162" s="94">
        <f t="shared" si="28"/>
        <v>0</v>
      </c>
      <c r="Q162" s="180">
        <f t="shared" si="35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36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37"/>
        <v>0</v>
      </c>
      <c r="Z162">
        <f t="shared" si="29"/>
        <v>0</v>
      </c>
      <c r="AA162">
        <f t="shared" si="30"/>
        <v>0</v>
      </c>
    </row>
    <row r="163" spans="1:27" x14ac:dyDescent="0.25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27"/>
        <v>1</v>
      </c>
      <c r="E163" s="171">
        <f t="shared" si="33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forbrug'!J$3,'Forbrug af biomasse'!$B$2:$B$425,$F163)</f>
        <v>222884.49629995148</v>
      </c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34"/>
        <v>-127585.02725608747</v>
      </c>
      <c r="P163" s="94">
        <f t="shared" si="28"/>
        <v>0</v>
      </c>
      <c r="Q163" s="180">
        <f t="shared" si="35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36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37"/>
        <v>0</v>
      </c>
      <c r="Z163">
        <f t="shared" si="29"/>
        <v>1</v>
      </c>
      <c r="AA163">
        <f t="shared" si="30"/>
        <v>0</v>
      </c>
    </row>
    <row r="164" spans="1:27" x14ac:dyDescent="0.25">
      <c r="A164" s="171" t="s">
        <v>67</v>
      </c>
      <c r="B164" s="171" t="s">
        <v>227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27"/>
        <v>0</v>
      </c>
      <c r="E164" s="171">
        <f t="shared" si="33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forbrug'!J$3,'Forbrug af biomasse'!$B$2:$B$425,$F164)</f>
        <v>0</v>
      </c>
      <c r="K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22739.095393183845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si="34"/>
        <v>0</v>
      </c>
      <c r="P164" s="94">
        <f t="shared" si="28"/>
        <v>0</v>
      </c>
      <c r="Q164" s="180">
        <f t="shared" si="35"/>
        <v>755394.68360216683</v>
      </c>
      <c r="R164">
        <f>IFERROR(VLOOKUP(A164,[1]Energiindhold!$A$2:$C$11,3,FALSE),IFERROR(VLOOKUP(A164,[1]Biogasudbytte!$A$2:$B$18,2,FALSE)*[1]Energiindhold!$C$10,0))*P164</f>
        <v>0</v>
      </c>
      <c r="S164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7.7036894370658402</v>
      </c>
      <c r="T164">
        <f>IFERROR(VLOOKUP(A164,[1]Biogasudbytte!$A$2:$B$18,2,FALSE)*[1]Energiindhold!$C$10,0)*K164*IFERROR(VLOOKUP(A164,Biogasanlæg!$F$3:$G$8,2,FALSE),1)</f>
        <v>0.1311031640532172</v>
      </c>
      <c r="U164" s="170">
        <f t="shared" si="36"/>
        <v>7.5725862730126234</v>
      </c>
      <c r="V164" s="169">
        <f>P164*IFERROR(VLOOKUP(A164,[1]Tørstofindhold!A$2:B$24,2,FALSE),0)</f>
        <v>0</v>
      </c>
      <c r="W164">
        <f>IF(E164=År1,Q164,SUM(P164,Q164))*IFERROR(VLOOKUP(A164,[1]Tørstofindhold!A$2:B$24,2,FALSE),0)</f>
        <v>642085.48106184183</v>
      </c>
      <c r="X164">
        <f>K164*IFERROR(VLOOKUP(A164,[1]Tørstofindhold!A$2:B$24,2,FALSE),0)</f>
        <v>19328.231084206269</v>
      </c>
      <c r="Y164" s="170">
        <f t="shared" si="37"/>
        <v>622757.24997763557</v>
      </c>
      <c r="Z164">
        <f t="shared" si="29"/>
        <v>0</v>
      </c>
      <c r="AA164">
        <f t="shared" si="30"/>
        <v>0</v>
      </c>
    </row>
    <row r="165" spans="1:27" x14ac:dyDescent="0.25">
      <c r="A165" s="171" t="s">
        <v>162</v>
      </c>
      <c r="B165" s="171" t="s">
        <v>230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27"/>
        <v>0</v>
      </c>
      <c r="E165" s="171">
        <f t="shared" si="33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forbrug'!J$3,'Forbrug af biomasse'!$B$2:$B$425,$F165)</f>
        <v>0</v>
      </c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34"/>
        <v>0</v>
      </c>
      <c r="P165" s="94">
        <f t="shared" si="28"/>
        <v>0</v>
      </c>
      <c r="Q165" s="180">
        <f t="shared" si="35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36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37"/>
        <v>135693.18364487163</v>
      </c>
      <c r="Z165">
        <f t="shared" si="29"/>
        <v>0</v>
      </c>
      <c r="AA165">
        <f t="shared" si="30"/>
        <v>0</v>
      </c>
    </row>
    <row r="166" spans="1:27" x14ac:dyDescent="0.25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27"/>
        <v>1</v>
      </c>
      <c r="E166" s="171">
        <f t="shared" si="33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forbrug'!J$3,'Forbrug af biomasse'!$B$2:$B$425,$F166)</f>
        <v>0</v>
      </c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si="34"/>
        <v>-592646.72642582108</v>
      </c>
      <c r="P166" s="94">
        <f t="shared" si="28"/>
        <v>0</v>
      </c>
      <c r="Q166" s="180">
        <f t="shared" si="35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36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37"/>
        <v>0</v>
      </c>
      <c r="Z166">
        <f t="shared" si="29"/>
        <v>1</v>
      </c>
      <c r="AA166">
        <f t="shared" si="30"/>
        <v>0</v>
      </c>
    </row>
    <row r="167" spans="1:27" x14ac:dyDescent="0.25">
      <c r="A167" s="171" t="s">
        <v>103</v>
      </c>
      <c r="B167" s="171" t="s">
        <v>230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27"/>
        <v>0</v>
      </c>
      <c r="E167" s="171">
        <f t="shared" si="33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forbrug'!J$3,'Forbrug af biomasse'!$B$2:$B$425,$F167)</f>
        <v>0</v>
      </c>
      <c r="K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279550.24796430691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si="34"/>
        <v>-79270.498677373223</v>
      </c>
      <c r="P167" s="94">
        <f t="shared" si="28"/>
        <v>0</v>
      </c>
      <c r="Q167" s="180">
        <f t="shared" si="35"/>
        <v>279550.24796430691</v>
      </c>
      <c r="R167">
        <f>IFERROR(VLOOKUP(A167,[1]Energiindhold!$A$2:$C$11,3,FALSE),IFERROR(VLOOKUP(A167,[1]Biogasudbytte!$A$2:$B$18,2,FALSE)*[1]Energiindhold!$C$10,0))*P167</f>
        <v>0</v>
      </c>
      <c r="S167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1.0296284310673407</v>
      </c>
      <c r="T167">
        <f>IFERROR(VLOOKUP(A167,[1]Biogasudbytte!$A$2:$B$18,2,FALSE)*[1]Energiindhold!$C$10,0)*K167*IFERROR(VLOOKUP(A167,Biogasanlæg!$F$3:$G$8,2,FALSE),1)</f>
        <v>1.0296284310673407</v>
      </c>
      <c r="U167" s="170">
        <f t="shared" si="36"/>
        <v>0</v>
      </c>
      <c r="V167" s="169">
        <f>P167*IFERROR(VLOOKUP(A167,[1]Tørstofindhold!A$2:B$24,2,FALSE),0)</f>
        <v>0</v>
      </c>
      <c r="W167">
        <f>IF(E167=År1,Q167,SUM(P167,Q167))*IFERROR(VLOOKUP(A167,[1]Tørstofindhold!A$2:B$24,2,FALSE),0)</f>
        <v>117411.1041450089</v>
      </c>
      <c r="X167">
        <f>K167*IFERROR(VLOOKUP(A167,[1]Tørstofindhold!A$2:B$24,2,FALSE),0)</f>
        <v>117411.1041450089</v>
      </c>
      <c r="Y167" s="170">
        <f t="shared" si="37"/>
        <v>0</v>
      </c>
      <c r="Z167">
        <f t="shared" si="29"/>
        <v>1</v>
      </c>
      <c r="AA167">
        <f t="shared" si="30"/>
        <v>0</v>
      </c>
    </row>
    <row r="168" spans="1:27" x14ac:dyDescent="0.25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27"/>
        <v>0</v>
      </c>
      <c r="E168" s="171">
        <f t="shared" si="33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forbrug'!J$3,'Forbrug af biomasse'!$B$2:$B$425,$F168)</f>
        <v>0</v>
      </c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34"/>
        <v>145627.35347864506</v>
      </c>
      <c r="P168" s="94">
        <f t="shared" si="28"/>
        <v>0</v>
      </c>
      <c r="Q168" s="180">
        <f t="shared" si="35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36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37"/>
        <v>0</v>
      </c>
      <c r="Z168">
        <f t="shared" si="29"/>
        <v>0</v>
      </c>
      <c r="AA168">
        <f t="shared" si="30"/>
        <v>1</v>
      </c>
    </row>
    <row r="169" spans="1:27" x14ac:dyDescent="0.25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27"/>
        <v>1</v>
      </c>
      <c r="E169" s="171">
        <f t="shared" si="33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forbrug'!J$3,'Forbrug af biomasse'!$B$2:$B$425,$F169)</f>
        <v>101922.05609696274</v>
      </c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si="34"/>
        <v>14617.738147146345</v>
      </c>
      <c r="P169" s="94">
        <f t="shared" si="28"/>
        <v>0</v>
      </c>
      <c r="Q169" s="180">
        <f t="shared" si="35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36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37"/>
        <v>0</v>
      </c>
      <c r="Z169">
        <f t="shared" si="29"/>
        <v>0</v>
      </c>
      <c r="AA169">
        <f t="shared" si="30"/>
        <v>1</v>
      </c>
    </row>
    <row r="170" spans="1:27" x14ac:dyDescent="0.25">
      <c r="A170" s="171" t="s">
        <v>48</v>
      </c>
      <c r="B170" s="171" t="s">
        <v>227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27"/>
        <v>1</v>
      </c>
      <c r="E170" s="171">
        <f t="shared" si="33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forbrug'!J$3,'Forbrug af biomasse'!$B$2:$B$425,$F170)</f>
        <v>244164.92559492172</v>
      </c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si="34"/>
        <v>1301921.4452316216</v>
      </c>
      <c r="P170" s="94">
        <f t="shared" si="28"/>
        <v>1301921.4452316216</v>
      </c>
      <c r="Q170" s="180">
        <f t="shared" si="35"/>
        <v>942.6064741945944</v>
      </c>
      <c r="R170">
        <f>IFERROR(VLOOKUP(A170,[1]Energiindhold!$A$2:$C$11,3,FALSE),IFERROR(VLOOKUP(A170,[1]Biogasudbytte!$A$2:$B$18,2,FALSE)*[1]Energiindhold!$C$10,0))*P170</f>
        <v>4.4588986809159721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36"/>
        <v>0</v>
      </c>
      <c r="V170" s="169">
        <f>P170*IFERROR(VLOOKUP(A170,[1]Tørstofindhold!A$2:B$24,2,FALSE),0)</f>
        <v>403595.64802180271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37"/>
        <v>0</v>
      </c>
      <c r="Z170">
        <f t="shared" si="29"/>
        <v>0</v>
      </c>
      <c r="AA170">
        <f t="shared" si="30"/>
        <v>1</v>
      </c>
    </row>
    <row r="171" spans="1:27" x14ac:dyDescent="0.25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27"/>
        <v>0</v>
      </c>
      <c r="E171" s="171">
        <f t="shared" si="33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forbrug'!J$3,'Forbrug af biomasse'!$B$2:$B$425,$F171)</f>
        <v>0</v>
      </c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34"/>
        <v>-374820.3560243976</v>
      </c>
      <c r="P171" s="94">
        <f t="shared" si="28"/>
        <v>0</v>
      </c>
      <c r="Q171" s="180">
        <f t="shared" si="35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36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37"/>
        <v>0</v>
      </c>
      <c r="Z171">
        <f t="shared" ca="1" si="29"/>
        <v>1</v>
      </c>
      <c r="AA171">
        <f t="shared" ca="1" si="30"/>
        <v>0</v>
      </c>
    </row>
    <row r="172" spans="1:27" x14ac:dyDescent="0.25">
      <c r="A172" s="171" t="s">
        <v>136</v>
      </c>
      <c r="B172" s="171" t="s">
        <v>222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27"/>
        <v>0</v>
      </c>
      <c r="E172" s="171">
        <f t="shared" si="33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forbrug'!J$3,'Forbrug af biomasse'!$B$2:$B$425,$F172)</f>
        <v>0</v>
      </c>
      <c r="K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286645.05985025823</v>
      </c>
      <c r="L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si="34"/>
        <v>0</v>
      </c>
      <c r="P172" s="94">
        <f t="shared" si="28"/>
        <v>0</v>
      </c>
      <c r="Q172" s="180">
        <f t="shared" si="35"/>
        <v>286645.05985025823</v>
      </c>
      <c r="R172">
        <f>IFERROR(VLOOKUP(A172,[1]Energiindhold!$A$2:$C$11,3,FALSE),IFERROR(VLOOKUP(A172,[1]Biogasudbytte!$A$2:$B$18,2,FALSE)*[1]Energiindhold!$C$10,0))*P172</f>
        <v>0</v>
      </c>
      <c r="S172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0.14509686284560222</v>
      </c>
      <c r="T172">
        <f>IFERROR(VLOOKUP(A172,[1]Biogasudbytte!$A$2:$B$18,2,FALSE)*[1]Energiindhold!$C$10,0)*K172*IFERROR(VLOOKUP(A172,Biogasanlæg!$F$3:$G$8,2,FALSE),1)</f>
        <v>0.14509686284560222</v>
      </c>
      <c r="U172" s="170">
        <f t="shared" si="36"/>
        <v>0</v>
      </c>
      <c r="V172" s="169">
        <f>P172*IFERROR(VLOOKUP(A172,[1]Tørstofindhold!A$2:B$24,2,FALSE),0)</f>
        <v>0</v>
      </c>
      <c r="W172">
        <f>IF(E172=År1,Q172,SUM(P172,Q172))*IFERROR(VLOOKUP(A172,[1]Tørstofindhold!A$2:B$24,2,FALSE),0)</f>
        <v>21785.024548619625</v>
      </c>
      <c r="X172">
        <f>K172*IFERROR(VLOOKUP(A172,[1]Tørstofindhold!A$2:B$24,2,FALSE),0)</f>
        <v>21785.024548619625</v>
      </c>
      <c r="Y172" s="170">
        <f t="shared" si="37"/>
        <v>0</v>
      </c>
      <c r="Z172">
        <f t="shared" si="29"/>
        <v>0</v>
      </c>
      <c r="AA172">
        <f t="shared" si="30"/>
        <v>0</v>
      </c>
    </row>
    <row r="173" spans="1:27" x14ac:dyDescent="0.25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27"/>
        <v>0</v>
      </c>
      <c r="E173" s="171">
        <f t="shared" si="33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forbrug'!J$3,'Forbrug af biomasse'!$B$2:$B$425,$F173)</f>
        <v>0</v>
      </c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si="34"/>
        <v>-70551.412916692323</v>
      </c>
      <c r="P173" s="94">
        <f t="shared" si="28"/>
        <v>0</v>
      </c>
      <c r="Q173" s="180">
        <f t="shared" si="35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36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37"/>
        <v>0</v>
      </c>
      <c r="Z173">
        <f t="shared" si="29"/>
        <v>0</v>
      </c>
      <c r="AA173">
        <f t="shared" si="30"/>
        <v>1</v>
      </c>
    </row>
    <row r="174" spans="1:27" x14ac:dyDescent="0.25">
      <c r="A174" t="s">
        <v>53</v>
      </c>
      <c r="B174" s="171" t="s">
        <v>224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27"/>
        <v>1</v>
      </c>
      <c r="E174" s="171">
        <f t="shared" si="33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forbrug'!J$3,'Forbrug af biomasse'!$B$2:$B$425,$F174)</f>
        <v>0</v>
      </c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si="34"/>
        <v>-344258.58126598754</v>
      </c>
      <c r="P174" s="94">
        <f t="shared" si="28"/>
        <v>0</v>
      </c>
      <c r="Q174" s="180">
        <f t="shared" si="35"/>
        <v>15151.053724986185</v>
      </c>
      <c r="R174">
        <f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36"/>
        <v>0</v>
      </c>
      <c r="V174" s="169">
        <f>P174*IFERROR(VLOOKUP(A174,[1]Tørstofindhold!A$2:B$24,2,FALSE),0)</f>
        <v>0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37"/>
        <v>0</v>
      </c>
      <c r="Z174">
        <f t="shared" si="29"/>
        <v>0</v>
      </c>
      <c r="AA174">
        <f t="shared" si="30"/>
        <v>1</v>
      </c>
    </row>
    <row r="175" spans="1:27" x14ac:dyDescent="0.25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27"/>
        <v>1</v>
      </c>
      <c r="E175" s="171">
        <f t="shared" si="33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forbrug'!J$3,'Forbrug af biomasse'!$B$2:$B$425,$F175)</f>
        <v>389767.86287629709</v>
      </c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34"/>
        <v>-166933.87454175885</v>
      </c>
      <c r="P175" s="94">
        <f t="shared" si="28"/>
        <v>0</v>
      </c>
      <c r="Q175" s="180">
        <f t="shared" si="35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36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37"/>
        <v>0</v>
      </c>
      <c r="Z175">
        <f t="shared" si="29"/>
        <v>0</v>
      </c>
      <c r="AA175">
        <f t="shared" si="30"/>
        <v>1</v>
      </c>
    </row>
    <row r="176" spans="1:27" x14ac:dyDescent="0.25">
      <c r="A176" s="171" t="s">
        <v>106</v>
      </c>
      <c r="B176" s="171" t="s">
        <v>226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27"/>
        <v>1</v>
      </c>
      <c r="E176" s="171">
        <f t="shared" si="33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forbrug'!J$3,'Forbrug af biomasse'!$B$2:$B$425,$F176)</f>
        <v>0</v>
      </c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si="34"/>
        <v>1.1976865502381491</v>
      </c>
      <c r="P176" s="94">
        <f t="shared" si="28"/>
        <v>1.1976865502381491</v>
      </c>
      <c r="Q176" s="180">
        <f t="shared" si="35"/>
        <v>0</v>
      </c>
      <c r="R176">
        <f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36"/>
        <v>0</v>
      </c>
      <c r="V176" s="169">
        <f>P176*IFERROR(VLOOKUP(A176,[1]Tørstofindhold!A$2:B$24,2,FALSE),0)</f>
        <v>0.17965298253572234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37"/>
        <v>0</v>
      </c>
      <c r="Z176">
        <f t="shared" si="29"/>
        <v>0</v>
      </c>
      <c r="AA176">
        <f t="shared" si="30"/>
        <v>1</v>
      </c>
    </row>
    <row r="177" spans="1:27" x14ac:dyDescent="0.25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27"/>
        <v>1</v>
      </c>
      <c r="E177" s="171">
        <f t="shared" si="33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forbrug'!J$3,'Forbrug af biomasse'!$B$2:$B$425,$F177)</f>
        <v>49527.399127557059</v>
      </c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34"/>
        <v>-41950.335705993944</v>
      </c>
      <c r="P177" s="94">
        <f t="shared" si="28"/>
        <v>0</v>
      </c>
      <c r="Q177" s="180">
        <f t="shared" si="35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36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37"/>
        <v>0</v>
      </c>
      <c r="Z177">
        <f t="shared" si="29"/>
        <v>0</v>
      </c>
      <c r="AA177">
        <f t="shared" si="30"/>
        <v>1</v>
      </c>
    </row>
    <row r="178" spans="1:27" x14ac:dyDescent="0.25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27"/>
        <v>1</v>
      </c>
      <c r="E178" s="171">
        <f t="shared" si="33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forbrug'!J$3,'Forbrug af biomasse'!$B$2:$B$425,$F178)</f>
        <v>0</v>
      </c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34"/>
        <v>395448.91426064254</v>
      </c>
      <c r="P178" s="94">
        <f t="shared" si="28"/>
        <v>0</v>
      </c>
      <c r="Q178" s="180">
        <f t="shared" si="35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36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37"/>
        <v>0</v>
      </c>
      <c r="Z178">
        <f t="shared" si="29"/>
        <v>0</v>
      </c>
      <c r="AA178">
        <f t="shared" si="30"/>
        <v>1</v>
      </c>
    </row>
    <row r="179" spans="1:27" x14ac:dyDescent="0.25">
      <c r="A179" s="171" t="s">
        <v>95</v>
      </c>
      <c r="B179" s="171" t="s">
        <v>225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27"/>
        <v>0</v>
      </c>
      <c r="E179" s="171">
        <f t="shared" si="33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forbrug'!J$3,'Forbrug af biomasse'!$B$2:$B$425,$F179)</f>
        <v>0</v>
      </c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34"/>
        <v>0</v>
      </c>
      <c r="P179" s="94">
        <f t="shared" si="28"/>
        <v>0</v>
      </c>
      <c r="Q179" s="180">
        <f t="shared" si="35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36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37"/>
        <v>16127.04781897025</v>
      </c>
      <c r="Z179">
        <f t="shared" si="29"/>
        <v>0</v>
      </c>
      <c r="AA179">
        <f t="shared" si="30"/>
        <v>0</v>
      </c>
    </row>
    <row r="180" spans="1:27" x14ac:dyDescent="0.25">
      <c r="A180" s="171" t="s">
        <v>306</v>
      </c>
      <c r="B180" s="171" t="s">
        <v>312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27"/>
        <v>0</v>
      </c>
      <c r="E180" s="171">
        <f t="shared" si="33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forbrug'!J$3,'Forbrug af biomasse'!$B$2:$B$425,$F180)</f>
        <v>0</v>
      </c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>G180-SUM(H180:N180)</f>
        <v>0</v>
      </c>
      <c r="P180" s="94">
        <f t="shared" si="28"/>
        <v>0</v>
      </c>
      <c r="Q180" s="180">
        <f>SUM(K180,M180)</f>
        <v>0</v>
      </c>
      <c r="R180">
        <f>IFERROR(VLOOKUP(A180,[1]Energiindhold!$A$2:$C$11,3,FALSE),IFERROR(VLOOKUP(A180,[1]Biogasudbytte!$A$2:$B$18,2,FALSE)*[1]Energiindhold!$C$10,0))*P180</f>
        <v>0</v>
      </c>
      <c r="S180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>S180-T180</f>
        <v>0</v>
      </c>
      <c r="V180" s="169">
        <f>P180*IFERROR(VLOOKUP(A180,[1]Tørstofindhold!A$2:B$24,2,FALSE),0)</f>
        <v>0</v>
      </c>
      <c r="W180">
        <f>IF(E180=År1,Q180,SUM(P180,Q180))*IFERROR(VLOOKUP(A180,[1]Tørstofindhold!A$2:B$24,2,FALSE),0)</f>
        <v>0</v>
      </c>
      <c r="X180">
        <f>K180*IFERROR(VLOOKUP(A180,[1]Tørstofindhold!A$2:B$24,2,FALSE),0)</f>
        <v>0</v>
      </c>
      <c r="Y180" s="170">
        <f>W180-X180</f>
        <v>0</v>
      </c>
      <c r="Z180">
        <f t="shared" si="29"/>
        <v>0</v>
      </c>
      <c r="AA180">
        <f t="shared" si="30"/>
        <v>0</v>
      </c>
    </row>
    <row r="181" spans="1:27" x14ac:dyDescent="0.25">
      <c r="A181" s="171" t="s">
        <v>307</v>
      </c>
      <c r="B181" s="171" t="s">
        <v>312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38">D133</f>
        <v>0</v>
      </c>
      <c r="E181" s="171">
        <f t="shared" si="33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forbrug'!J$3,'Forbrug af biomasse'!$B$2:$B$425,$F181)</f>
        <v>0</v>
      </c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>G181-SUM(H181:N181)</f>
        <v>0</v>
      </c>
      <c r="P181" s="94">
        <f t="shared" si="28"/>
        <v>0</v>
      </c>
      <c r="Q181" s="180">
        <f>SUM(K181,M181)</f>
        <v>0</v>
      </c>
      <c r="R181">
        <f>IFERROR(VLOOKUP(A181,[1]Energiindhold!$A$2:$C$11,3,FALSE),IFERROR(VLOOKUP(A181,[1]Biogasudbytte!$A$2:$B$18,2,FALSE)*[1]Energiindhold!$C$10,0))*P181</f>
        <v>0</v>
      </c>
      <c r="S181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>S181-T181</f>
        <v>0</v>
      </c>
      <c r="V181" s="169">
        <f>P181*IFERROR(VLOOKUP(A181,[1]Tørstofindhold!A$2:B$24,2,FALSE),0)</f>
        <v>0</v>
      </c>
      <c r="W181">
        <f>IF(E181=År1,Q181,SUM(P181,Q181))*IFERROR(VLOOKUP(A181,[1]Tørstofindhold!A$2:B$24,2,FALSE),0)</f>
        <v>0</v>
      </c>
      <c r="X181">
        <f>K181*IFERROR(VLOOKUP(A181,[1]Tørstofindhold!A$2:B$24,2,FALSE),0)</f>
        <v>0</v>
      </c>
      <c r="Y181" s="170">
        <f>W181-X181</f>
        <v>0</v>
      </c>
      <c r="Z181">
        <f t="shared" si="29"/>
        <v>0</v>
      </c>
      <c r="AA181">
        <f t="shared" si="30"/>
        <v>0</v>
      </c>
    </row>
    <row r="182" spans="1:27" x14ac:dyDescent="0.25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38"/>
        <v>0</v>
      </c>
      <c r="E182" s="171">
        <f t="shared" si="33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forbrug'!J$3,'Forbrug af biomasse'!$B$2:$B$425,$F182)</f>
        <v>0</v>
      </c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34"/>
        <v>346998.01962126989</v>
      </c>
      <c r="P182" s="94">
        <f t="shared" si="28"/>
        <v>0</v>
      </c>
      <c r="Q182" s="180">
        <f t="shared" si="35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36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37"/>
        <v>0</v>
      </c>
      <c r="Z182">
        <f t="shared" si="29"/>
        <v>0</v>
      </c>
      <c r="AA182">
        <f t="shared" si="30"/>
        <v>1</v>
      </c>
    </row>
    <row r="183" spans="1:27" x14ac:dyDescent="0.25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38"/>
        <v>0</v>
      </c>
      <c r="E183" s="171">
        <f t="shared" si="33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forbrug'!J$3,'Forbrug af biomasse'!$B$2:$B$425,$F183)</f>
        <v>0</v>
      </c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34"/>
        <v>0</v>
      </c>
      <c r="P183" s="94">
        <f t="shared" si="28"/>
        <v>0</v>
      </c>
      <c r="Q183" s="180">
        <f t="shared" si="35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36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37"/>
        <v>0</v>
      </c>
      <c r="Z183">
        <f t="shared" si="29"/>
        <v>0</v>
      </c>
      <c r="AA183">
        <f t="shared" si="30"/>
        <v>0</v>
      </c>
    </row>
    <row r="184" spans="1:27" x14ac:dyDescent="0.25">
      <c r="A184" t="s">
        <v>238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38"/>
        <v>0</v>
      </c>
      <c r="E184" s="171">
        <f t="shared" si="33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forbrug'!J$3,'Forbrug af biomasse'!$B$2:$B$425,$F184)</f>
        <v>0</v>
      </c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si="34"/>
        <v>70002.843567045958</v>
      </c>
      <c r="P184" s="94">
        <f t="shared" si="28"/>
        <v>0</v>
      </c>
      <c r="Q184" s="180">
        <f t="shared" si="35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36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37"/>
        <v>0</v>
      </c>
      <c r="Z184">
        <f t="shared" si="29"/>
        <v>0</v>
      </c>
      <c r="AA184">
        <f t="shared" si="30"/>
        <v>1</v>
      </c>
    </row>
    <row r="185" spans="1:27" x14ac:dyDescent="0.25">
      <c r="A185" t="s">
        <v>231</v>
      </c>
      <c r="B185" s="171" t="s">
        <v>231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38"/>
        <v>1</v>
      </c>
      <c r="E185" s="171">
        <f t="shared" si="33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forbrug'!J$3,'Forbrug af biomasse'!$B$2:$B$425,$F185)</f>
        <v>0</v>
      </c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34"/>
        <v>0</v>
      </c>
      <c r="P185" s="94">
        <f t="shared" si="28"/>
        <v>0</v>
      </c>
      <c r="Q185" s="180">
        <f t="shared" si="35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36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37"/>
        <v>0</v>
      </c>
      <c r="Z185">
        <f t="shared" si="29"/>
        <v>0</v>
      </c>
      <c r="AA185">
        <f t="shared" si="30"/>
        <v>0</v>
      </c>
    </row>
    <row r="186" spans="1:27" x14ac:dyDescent="0.25">
      <c r="A186" t="s">
        <v>52</v>
      </c>
      <c r="B186" s="171" t="s">
        <v>224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38"/>
        <v>1</v>
      </c>
      <c r="E186" s="171">
        <f t="shared" si="33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forbrug'!J$3,'Forbrug af biomasse'!$B$2:$B$425,$F186)</f>
        <v>0</v>
      </c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si="34"/>
        <v>2105567.5565972263</v>
      </c>
      <c r="P186" s="94">
        <f t="shared" si="28"/>
        <v>1637775.5474174484</v>
      </c>
      <c r="Q186" s="180">
        <f t="shared" si="35"/>
        <v>24503.032029712213</v>
      </c>
      <c r="R186">
        <f>IFERROR(VLOOKUP(A186,[1]Energiindhold!$A$2:$C$11,3,FALSE),IFERROR(VLOOKUP(A186,[1]Biogasudbytte!$A$2:$B$18,2,FALSE)*[1]Energiindhold!$C$10,0))*P186</f>
        <v>4.4449883467128517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36"/>
        <v>0</v>
      </c>
      <c r="V186" s="169">
        <f>P186*IFERROR(VLOOKUP(A186,[1]Tørstofindhold!A$2:B$24,2,FALSE),0)</f>
        <v>327555.10948348971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37"/>
        <v>0</v>
      </c>
      <c r="Z186">
        <f t="shared" si="29"/>
        <v>0</v>
      </c>
      <c r="AA186">
        <f t="shared" si="30"/>
        <v>1</v>
      </c>
    </row>
    <row r="187" spans="1:27" x14ac:dyDescent="0.25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38"/>
        <v>0</v>
      </c>
      <c r="E187" s="171">
        <f t="shared" si="33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forbrug'!J$3,'Forbrug af biomasse'!$B$2:$B$425,$F187)</f>
        <v>0</v>
      </c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34"/>
        <v>23179.475218292017</v>
      </c>
      <c r="P187" s="94">
        <f t="shared" si="28"/>
        <v>0</v>
      </c>
      <c r="Q187" s="180">
        <f t="shared" si="35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36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37"/>
        <v>0</v>
      </c>
      <c r="Z187">
        <f t="shared" si="29"/>
        <v>0</v>
      </c>
      <c r="AA187">
        <f t="shared" si="30"/>
        <v>1</v>
      </c>
    </row>
    <row r="188" spans="1:27" x14ac:dyDescent="0.25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38"/>
        <v>0</v>
      </c>
      <c r="E188" s="171">
        <f t="shared" si="33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forbrug'!J$3,'Forbrug af biomasse'!$B$2:$B$425,$F188)</f>
        <v>0</v>
      </c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si="34"/>
        <v>14085.970705770382</v>
      </c>
      <c r="P188" s="94">
        <f t="shared" si="28"/>
        <v>0</v>
      </c>
      <c r="Q188" s="180">
        <f t="shared" si="35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36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37"/>
        <v>0</v>
      </c>
      <c r="Z188">
        <f t="shared" si="29"/>
        <v>0</v>
      </c>
      <c r="AA188">
        <f t="shared" si="30"/>
        <v>1</v>
      </c>
    </row>
    <row r="189" spans="1:27" x14ac:dyDescent="0.25">
      <c r="A189" s="171" t="s">
        <v>140</v>
      </c>
      <c r="B189" s="171" t="s">
        <v>230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38"/>
        <v>0</v>
      </c>
      <c r="E189" s="171">
        <f t="shared" si="33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forbrug'!J$3,'Forbrug af biomasse'!$B$2:$B$425,$F189)</f>
        <v>0</v>
      </c>
      <c r="K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1208651.4125341829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si="34"/>
        <v>1978309.9489030582</v>
      </c>
      <c r="P189" s="94">
        <f t="shared" si="28"/>
        <v>1978309.9489030582</v>
      </c>
      <c r="Q189" s="180">
        <f t="shared" si="35"/>
        <v>1208651.4125341829</v>
      </c>
      <c r="R189">
        <f>IFERROR(VLOOKUP(A189,[1]Energiindhold!$A$2:$C$11,3,FALSE),IFERROR(VLOOKUP(A189,[1]Biogasudbytte!$A$2:$B$18,2,FALSE)*[1]Energiindhold!$C$10,0))*P189</f>
        <v>0.98719644760211522</v>
      </c>
      <c r="S189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0.60312914136868268</v>
      </c>
      <c r="T189">
        <f>IFERROR(VLOOKUP(A189,[1]Biogasudbytte!$A$2:$B$18,2,FALSE)*[1]Energiindhold!$C$10,0)*K189*IFERROR(VLOOKUP(A189,Biogasanlæg!$F$3:$G$8,2,FALSE),1)</f>
        <v>0.60312914136868268</v>
      </c>
      <c r="U189" s="170">
        <f t="shared" si="36"/>
        <v>0</v>
      </c>
      <c r="V189" s="169">
        <f>P189*IFERROR(VLOOKUP(A189,[1]Tørstofindhold!A$2:B$24,2,FALSE),0)</f>
        <v>118698.59693418349</v>
      </c>
      <c r="W189">
        <f>IF(E189=År1,Q189,SUM(P189,Q189))*IFERROR(VLOOKUP(A189,[1]Tørstofindhold!A$2:B$24,2,FALSE),0)</f>
        <v>72519.084752050971</v>
      </c>
      <c r="X189">
        <f>K189*IFERROR(VLOOKUP(A189,[1]Tørstofindhold!A$2:B$24,2,FALSE),0)</f>
        <v>72519.084752050971</v>
      </c>
      <c r="Y189" s="170">
        <f t="shared" si="37"/>
        <v>0</v>
      </c>
      <c r="Z189">
        <f t="shared" si="29"/>
        <v>0</v>
      </c>
      <c r="AA189">
        <f t="shared" si="30"/>
        <v>1</v>
      </c>
    </row>
    <row r="190" spans="1:27" x14ac:dyDescent="0.25">
      <c r="A190" s="171" t="s">
        <v>135</v>
      </c>
      <c r="B190" s="171" t="s">
        <v>222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38"/>
        <v>0</v>
      </c>
      <c r="E190" s="171">
        <f t="shared" si="33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forbrug'!J$3,'Forbrug af biomasse'!$B$2:$B$425,$F190)</f>
        <v>0</v>
      </c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34"/>
        <v>0</v>
      </c>
      <c r="P190" s="94">
        <f t="shared" si="28"/>
        <v>0</v>
      </c>
      <c r="Q190" s="180">
        <f t="shared" si="35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36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37"/>
        <v>0</v>
      </c>
      <c r="Z190">
        <f t="shared" si="29"/>
        <v>0</v>
      </c>
      <c r="AA190">
        <f t="shared" si="30"/>
        <v>0</v>
      </c>
    </row>
    <row r="191" spans="1:27" x14ac:dyDescent="0.25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38"/>
        <v>1</v>
      </c>
      <c r="E191" s="171">
        <f t="shared" si="33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forbrug'!J$3,'Forbrug af biomasse'!$B$2:$B$425,$F191)</f>
        <v>100555.62853170674</v>
      </c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34"/>
        <v>106195.08352871139</v>
      </c>
      <c r="P191" s="94">
        <f t="shared" si="28"/>
        <v>0</v>
      </c>
      <c r="Q191" s="180">
        <f t="shared" si="35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36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37"/>
        <v>0</v>
      </c>
      <c r="Z191">
        <f t="shared" si="29"/>
        <v>0</v>
      </c>
      <c r="AA191">
        <f t="shared" si="30"/>
        <v>1</v>
      </c>
    </row>
    <row r="192" spans="1:27" x14ac:dyDescent="0.25">
      <c r="A192" s="171" t="s">
        <v>99</v>
      </c>
      <c r="B192" s="171" t="s">
        <v>226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38"/>
        <v>1</v>
      </c>
      <c r="E192" s="171">
        <f t="shared" si="33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forbrug'!J$3,'Forbrug af biomasse'!$B$2:$B$425,$F192)</f>
        <v>0</v>
      </c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si="34"/>
        <v>0</v>
      </c>
      <c r="P192" s="94">
        <f t="shared" si="28"/>
        <v>0</v>
      </c>
      <c r="Q192" s="180">
        <f t="shared" si="35"/>
        <v>0</v>
      </c>
      <c r="R192">
        <f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36"/>
        <v>0</v>
      </c>
      <c r="V192" s="169">
        <f>P192*IFERROR(VLOOKUP(A192,[1]Tørstofindhold!A$2:B$24,2,FALSE),0)</f>
        <v>0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37"/>
        <v>0</v>
      </c>
      <c r="Z192">
        <f t="shared" si="29"/>
        <v>0</v>
      </c>
      <c r="AA192">
        <f t="shared" si="30"/>
        <v>1</v>
      </c>
    </row>
    <row r="193" spans="1:27" x14ac:dyDescent="0.25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38"/>
        <v>0</v>
      </c>
      <c r="E193" s="171">
        <f t="shared" si="33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forbrug'!J$3,'Forbrug af biomasse'!$B$2:$B$425,$F193)</f>
        <v>0</v>
      </c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34"/>
        <v>0</v>
      </c>
      <c r="P193" s="94">
        <f t="shared" si="28"/>
        <v>0</v>
      </c>
      <c r="Q193" s="180">
        <f t="shared" si="35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36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37"/>
        <v>0</v>
      </c>
      <c r="Z193">
        <f t="shared" si="29"/>
        <v>0</v>
      </c>
      <c r="AA193">
        <f t="shared" si="30"/>
        <v>0</v>
      </c>
    </row>
    <row r="194" spans="1:27" x14ac:dyDescent="0.25">
      <c r="A194" s="171" t="s">
        <v>119</v>
      </c>
      <c r="B194" s="171" t="s">
        <v>225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38"/>
        <v>0</v>
      </c>
      <c r="E194" s="171">
        <f t="shared" si="33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forbrug'!J$3,'Forbrug af biomasse'!$B$2:$B$425,$F194)</f>
        <v>0</v>
      </c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34"/>
        <v>0</v>
      </c>
      <c r="P194" s="94">
        <f t="shared" ca="1" si="28"/>
        <v>0</v>
      </c>
      <c r="Q194" s="180">
        <f t="shared" ca="1" si="35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36"/>
        <v>9.8790337317585379</v>
      </c>
      <c r="V194" s="169">
        <f ca="1">P194*IFERROR(VLOOKUP(A194,[1]Tørstofindhold!A$2:B$24,2,FALSE),0)</f>
        <v>0</v>
      </c>
      <c r="W194">
        <f ca="1">IF(E194=År1,Q194,SUM(P194,Q194))*IFERROR(VLOOKUP(A194,[1]Tørstofindhold!A$2:B$24,2,FALSE),0)</f>
        <v>337115.41074636247</v>
      </c>
      <c r="X194">
        <f>K194*IFERROR(VLOOKUP(A194,[1]Tørstofindhold!A$2:B$24,2,FALSE),0)</f>
        <v>0</v>
      </c>
      <c r="Y194" s="170">
        <f t="shared" ca="1" si="37"/>
        <v>337115.41074636247</v>
      </c>
      <c r="Z194">
        <f t="shared" ca="1" si="29"/>
        <v>0</v>
      </c>
      <c r="AA194">
        <f t="shared" ca="1" si="30"/>
        <v>0</v>
      </c>
    </row>
    <row r="195" spans="1:27" x14ac:dyDescent="0.25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38"/>
        <v>0</v>
      </c>
      <c r="E195" s="171">
        <f t="shared" si="33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forbrug'!J$3,'Forbrug af biomasse'!$B$2:$B$425,$F195)</f>
        <v>0</v>
      </c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34"/>
        <v>0</v>
      </c>
      <c r="P195" s="94">
        <f t="shared" si="28"/>
        <v>0</v>
      </c>
      <c r="Q195" s="180">
        <f t="shared" si="35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36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37"/>
        <v>0</v>
      </c>
      <c r="Z195">
        <f t="shared" ca="1" si="29"/>
        <v>0</v>
      </c>
      <c r="AA195">
        <f t="shared" ca="1" si="30"/>
        <v>0</v>
      </c>
    </row>
    <row r="196" spans="1:27" x14ac:dyDescent="0.25">
      <c r="A196" s="171" t="str">
        <f t="shared" ref="A196:A227" si="39">A148</f>
        <v>Æg</v>
      </c>
      <c r="B196" s="171" t="str">
        <f t="shared" ref="B196:B227" si="40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38"/>
        <v>1</v>
      </c>
      <c r="E196" s="171">
        <f t="shared" ref="E196:E243" si="41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14322.21600404952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forbrug'!J$3,'Forbrug af biomasse'!$B$2:$B$425,$F196)</f>
        <v>28209.340124628539</v>
      </c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34"/>
        <v>-13887.124120579019</v>
      </c>
      <c r="P196" s="94">
        <f t="shared" ref="P196:P259" si="42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35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36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37"/>
        <v>0</v>
      </c>
      <c r="Z196">
        <f t="shared" ref="Z196:Z259" si="43">IF(SUMIFS($O$4:$O$291,$A$4:$A$291,A196,$E$4:$E$291,E196)&lt;0,1,0)</f>
        <v>0</v>
      </c>
      <c r="AA196">
        <f t="shared" ref="AA196:AA259" si="44">IF(SUMIFS($O$4:$O$291,$A$4:$A$291,A196,$E$4:$E$291,E196)&gt;0,1,0)</f>
        <v>1</v>
      </c>
    </row>
    <row r="197" spans="1:27" x14ac:dyDescent="0.25">
      <c r="A197" s="171" t="str">
        <f t="shared" si="39"/>
        <v>Bælgsæd</v>
      </c>
      <c r="B197" s="171" t="str">
        <f t="shared" si="40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38"/>
        <v>1</v>
      </c>
      <c r="E197" s="171">
        <f t="shared" si="41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224496.54397532428</v>
      </c>
      <c r="H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35580.456032910348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forbrug'!J$3,'Forbrug af biomasse'!$B$2:$B$425,$F197)</f>
        <v>0</v>
      </c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si="34"/>
        <v>188916.08794241393</v>
      </c>
      <c r="P197" s="94">
        <f t="shared" si="42"/>
        <v>0</v>
      </c>
      <c r="Q197" s="180">
        <f t="shared" si="35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36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37"/>
        <v>0</v>
      </c>
      <c r="Z197">
        <f t="shared" si="43"/>
        <v>0</v>
      </c>
      <c r="AA197">
        <f t="shared" si="44"/>
        <v>1</v>
      </c>
    </row>
    <row r="198" spans="1:27" x14ac:dyDescent="0.25">
      <c r="A198" s="171" t="str">
        <f t="shared" si="39"/>
        <v>Bioaffald</v>
      </c>
      <c r="B198" s="171" t="str">
        <f t="shared" si="40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38"/>
        <v>0</v>
      </c>
      <c r="E198" s="171">
        <f t="shared" si="41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forbrug'!J$3,'Forbrug af biomasse'!$B$2:$B$425,$F198)</f>
        <v>0</v>
      </c>
      <c r="K198" s="94">
        <f ca="1"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0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34"/>
        <v>0</v>
      </c>
      <c r="P198" s="94">
        <f t="shared" ca="1" si="42"/>
        <v>0</v>
      </c>
      <c r="Q198" s="180">
        <f t="shared" ca="1" si="35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 ca="1">IFERROR(VLOOKUP(A198,[1]Biogasudbytte!$A$2:$B$18,2,FALSE)*[1]Energiindhold!$C$10,0)*K198*IFERROR(VLOOKUP(A198,Biogasanlæg!$F$3:$G$8,2,FALSE),1)</f>
        <v>0</v>
      </c>
      <c r="U198" s="170">
        <f t="shared" ca="1" si="36"/>
        <v>3.0154675860307889</v>
      </c>
      <c r="V198" s="169">
        <f ca="1">P198*IFERROR(VLOOKUP(A198,[1]Tørstofindhold!A$2:B$24,2,FALSE),0)</f>
        <v>0</v>
      </c>
      <c r="W198">
        <f ca="1">IF(E198=År1,Q198,SUM(P198,Q198))*IFERROR(VLOOKUP(A198,[1]Tørstofindhold!A$2:B$24,2,FALSE),0)</f>
        <v>47295.568812341364</v>
      </c>
      <c r="X198">
        <f ca="1">K198*IFERROR(VLOOKUP(A198,[1]Tørstofindhold!A$2:B$24,2,FALSE),0)</f>
        <v>0</v>
      </c>
      <c r="Y198" s="170">
        <f t="shared" ca="1" si="37"/>
        <v>47295.568812341364</v>
      </c>
      <c r="Z198">
        <f t="shared" ca="1" si="43"/>
        <v>0</v>
      </c>
      <c r="AA198">
        <f t="shared" ca="1" si="44"/>
        <v>0</v>
      </c>
    </row>
    <row r="199" spans="1:27" x14ac:dyDescent="0.25">
      <c r="A199" s="171" t="str">
        <f t="shared" si="39"/>
        <v>Biogas</v>
      </c>
      <c r="B199" s="171" t="str">
        <f t="shared" si="40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38"/>
        <v>0</v>
      </c>
      <c r="E199" s="171">
        <f t="shared" si="41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59355543.043848336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forbrug'!J$3,'Forbrug af biomasse'!$B$2:$B$425,$F199)</f>
        <v>0</v>
      </c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59355543.043848336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34"/>
        <v>0</v>
      </c>
      <c r="P199" s="94">
        <f t="shared" ca="1" si="42"/>
        <v>0</v>
      </c>
      <c r="Q199" s="180">
        <f t="shared" ca="1" si="35"/>
        <v>59355543.043848336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36"/>
        <v>0</v>
      </c>
      <c r="V199" s="169">
        <f ca="1">P199*IFERROR(VLOOKUP(A199,[1]Tørstofindhold!A$2:B$24,2,FALSE),0)</f>
        <v>0</v>
      </c>
      <c r="W199">
        <f ca="1"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ca="1" si="37"/>
        <v>0</v>
      </c>
      <c r="Z199">
        <f t="shared" ca="1" si="43"/>
        <v>0</v>
      </c>
      <c r="AA199">
        <f t="shared" ca="1" si="44"/>
        <v>0</v>
      </c>
    </row>
    <row r="200" spans="1:27" x14ac:dyDescent="0.25">
      <c r="A200" s="171" t="str">
        <f t="shared" si="39"/>
        <v>Biogasgylle</v>
      </c>
      <c r="B200" s="171" t="str">
        <f t="shared" si="40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38"/>
        <v>0</v>
      </c>
      <c r="E200" s="171">
        <f t="shared" si="41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3437586.4612868829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forbrug'!J$3,'Forbrug af biomasse'!$B$2:$B$425,$F200)</f>
        <v>0</v>
      </c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2955271.7916417704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34"/>
        <v>482314.66964511247</v>
      </c>
      <c r="P200" s="94">
        <f t="shared" si="42"/>
        <v>0</v>
      </c>
      <c r="Q200" s="180">
        <f t="shared" si="35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36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37"/>
        <v>0</v>
      </c>
      <c r="Z200">
        <f t="shared" ca="1" si="43"/>
        <v>0</v>
      </c>
      <c r="AA200">
        <f t="shared" ca="1" si="44"/>
        <v>1</v>
      </c>
    </row>
    <row r="201" spans="1:27" x14ac:dyDescent="0.25">
      <c r="A201" s="171" t="str">
        <f t="shared" si="39"/>
        <v>Brun saft</v>
      </c>
      <c r="B201" s="171" t="str">
        <f t="shared" si="40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38"/>
        <v>0</v>
      </c>
      <c r="E201" s="171">
        <f t="shared" si="41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846465.45891391754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forbrug'!J$3,'Forbrug af biomasse'!$B$2:$B$425,$F201)</f>
        <v>0</v>
      </c>
      <c r="K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634849.09418543812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si="34"/>
        <v>211616.36472847941</v>
      </c>
      <c r="P201" s="94">
        <f t="shared" si="42"/>
        <v>211616.36472847941</v>
      </c>
      <c r="Q201" s="180">
        <f t="shared" si="35"/>
        <v>634849.09418543812</v>
      </c>
      <c r="R201">
        <f>IFERROR(VLOOKUP(A201,[1]Energiindhold!$A$2:$C$11,3,FALSE),IFERROR(VLOOKUP(A201,[1]Biogasudbytte!$A$2:$B$18,2,FALSE)*[1]Energiindhold!$C$10,0))*P201</f>
        <v>0.12020361347285069</v>
      </c>
      <c r="S201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0.4808144538914027</v>
      </c>
      <c r="T201">
        <f>IFERROR(VLOOKUP(A201,[1]Biogasudbytte!$A$2:$B$18,2,FALSE)*[1]Energiindhold!$C$10,0)*K201*IFERROR(VLOOKUP(A201,Biogasanlæg!$F$3:$G$8,2,FALSE),1)</f>
        <v>0.36061084041855201</v>
      </c>
      <c r="U201" s="170">
        <f t="shared" si="36"/>
        <v>0.12020361347285069</v>
      </c>
      <c r="V201" s="169">
        <f>P201*IFERROR(VLOOKUP(A201,[1]Tørstofindhold!A$2:B$24,2,FALSE),0)</f>
        <v>9049.4326185990121</v>
      </c>
      <c r="W201">
        <f>IF(E201=År1,Q201,SUM(P201,Q201))*IFERROR(VLOOKUP(A201,[1]Tørstofindhold!A$2:B$24,2,FALSE),0)</f>
        <v>36197.730474396041</v>
      </c>
      <c r="X201">
        <f>K201*IFERROR(VLOOKUP(A201,[1]Tørstofindhold!A$2:B$24,2,FALSE),0)</f>
        <v>27148.297855797027</v>
      </c>
      <c r="Y201" s="170">
        <f t="shared" si="37"/>
        <v>9049.4326185990139</v>
      </c>
      <c r="Z201">
        <f t="shared" si="43"/>
        <v>0</v>
      </c>
      <c r="AA201">
        <f t="shared" si="44"/>
        <v>1</v>
      </c>
    </row>
    <row r="202" spans="1:27" x14ac:dyDescent="0.25">
      <c r="A202" s="171" t="str">
        <f t="shared" si="39"/>
        <v>Dybstrøelse</v>
      </c>
      <c r="B202" s="171" t="str">
        <f t="shared" si="40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38"/>
        <v>0</v>
      </c>
      <c r="E202" s="171">
        <f t="shared" si="41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237805.24041385058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forbrug'!J$3,'Forbrug af biomasse'!$B$2:$B$425,$F202)</f>
        <v>0</v>
      </c>
      <c r="K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178353.93031038792</v>
      </c>
      <c r="L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22506.567396310857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si="34"/>
        <v>36944.742707151803</v>
      </c>
      <c r="P202" s="94">
        <f t="shared" si="42"/>
        <v>36944.742707151803</v>
      </c>
      <c r="Q202" s="180">
        <f t="shared" si="35"/>
        <v>178353.93031038792</v>
      </c>
      <c r="R202">
        <f>IFERROR(VLOOKUP(A202,[1]Energiindhold!$A$2:$C$11,3,FALSE),IFERROR(VLOOKUP(A202,[1]Biogasudbytte!$A$2:$B$18,2,FALSE)*[1]Energiindhold!$C$10,0))*P202</f>
        <v>7.9578975791204987E-2</v>
      </c>
      <c r="S202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0.46375334167978055</v>
      </c>
      <c r="T202">
        <f>IFERROR(VLOOKUP(A202,[1]Biogasudbytte!$A$2:$B$18,2,FALSE)*[1]Energiindhold!$C$10,0)*K202*IFERROR(VLOOKUP(A202,Biogasanlæg!$F$3:$G$8,2,FALSE),1)</f>
        <v>0.38417436588857556</v>
      </c>
      <c r="U202" s="170">
        <f t="shared" si="36"/>
        <v>7.9578975791204987E-2</v>
      </c>
      <c r="V202" s="169">
        <f>P202*IFERROR(VLOOKUP(A202,[1]Tørstofindhold!A$2:B$24,2,FALSE),0)</f>
        <v>11083.42281214554</v>
      </c>
      <c r="W202">
        <f>IF(E202=År1,Q202,SUM(P202,Q202))*IFERROR(VLOOKUP(A202,[1]Tørstofindhold!A$2:B$24,2,FALSE),0)</f>
        <v>64589.601905261916</v>
      </c>
      <c r="X202">
        <f>K202*IFERROR(VLOOKUP(A202,[1]Tørstofindhold!A$2:B$24,2,FALSE),0)</f>
        <v>53506.179093116378</v>
      </c>
      <c r="Y202" s="170">
        <f t="shared" si="37"/>
        <v>11083.422812145538</v>
      </c>
      <c r="Z202">
        <f t="shared" si="43"/>
        <v>0</v>
      </c>
      <c r="AA202">
        <f t="shared" si="44"/>
        <v>1</v>
      </c>
    </row>
    <row r="203" spans="1:27" x14ac:dyDescent="0.25">
      <c r="A203" s="171" t="str">
        <f t="shared" si="39"/>
        <v>Fiberfraktion</v>
      </c>
      <c r="B203" s="171" t="str">
        <f t="shared" si="40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38"/>
        <v>0</v>
      </c>
      <c r="E203" s="171">
        <f t="shared" si="41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596197.91369593481</v>
      </c>
      <c r="H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596035.73507669987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forbrug'!J$3,'Forbrug af biomasse'!$B$2:$B$425,$F203)</f>
        <v>0</v>
      </c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si="34"/>
        <v>162.17861923493911</v>
      </c>
      <c r="P203" s="94">
        <f t="shared" si="42"/>
        <v>0</v>
      </c>
      <c r="Q203" s="180">
        <f t="shared" si="35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36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37"/>
        <v>0</v>
      </c>
      <c r="Z203">
        <f t="shared" si="43"/>
        <v>0</v>
      </c>
      <c r="AA203">
        <f t="shared" si="44"/>
        <v>1</v>
      </c>
    </row>
    <row r="204" spans="1:27" x14ac:dyDescent="0.25">
      <c r="A204" s="171" t="str">
        <f t="shared" si="39"/>
        <v>Fjerkrægylle</v>
      </c>
      <c r="B204" s="171" t="str">
        <f t="shared" si="40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38"/>
        <v>0</v>
      </c>
      <c r="E204" s="171">
        <f t="shared" si="41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541.37976495307191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forbrug'!J$3,'Forbrug af biomasse'!$B$2:$B$425,$F204)</f>
        <v>0</v>
      </c>
      <c r="K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406.03482371480391</v>
      </c>
      <c r="L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135.34494123826798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si="34"/>
        <v>0</v>
      </c>
      <c r="P204" s="94">
        <f t="shared" si="42"/>
        <v>0</v>
      </c>
      <c r="Q204" s="180">
        <f t="shared" si="35"/>
        <v>406.03482371480391</v>
      </c>
      <c r="R204">
        <f>IFERROR(VLOOKUP(A204,[1]Energiindhold!$A$2:$C$11,3,FALSE),IFERROR(VLOOKUP(A204,[1]Biogasudbytte!$A$2:$B$18,2,FALSE)*[1]Energiindhold!$C$10,0))*P204</f>
        <v>0</v>
      </c>
      <c r="S204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1.9095411724483514E-4</v>
      </c>
      <c r="T204">
        <f>IFERROR(VLOOKUP(A204,[1]Biogasudbytte!$A$2:$B$18,2,FALSE)*[1]Energiindhold!$C$10,0)*K204*IFERROR(VLOOKUP(A204,Biogasanlæg!$F$3:$G$8,2,FALSE),1)</f>
        <v>1.9095411724483514E-4</v>
      </c>
      <c r="U204" s="170">
        <f t="shared" si="36"/>
        <v>0</v>
      </c>
      <c r="V204" s="169">
        <f>P204*IFERROR(VLOOKUP(A204,[1]Tørstofindhold!A$2:B$24,2,FALSE),0)</f>
        <v>0</v>
      </c>
      <c r="W204">
        <f>IF(E204=År1,Q204,SUM(P204,Q204))*IFERROR(VLOOKUP(A204,[1]Tørstofindhold!A$2:B$24,2,FALSE),0)</f>
        <v>25.580193894032647</v>
      </c>
      <c r="X204">
        <f>K204*IFERROR(VLOOKUP(A204,[1]Tørstofindhold!A$2:B$24,2,FALSE),0)</f>
        <v>25.580193894032647</v>
      </c>
      <c r="Y204" s="170">
        <f t="shared" si="37"/>
        <v>0</v>
      </c>
      <c r="Z204">
        <f t="shared" si="43"/>
        <v>0</v>
      </c>
      <c r="AA204">
        <f t="shared" si="44"/>
        <v>0</v>
      </c>
    </row>
    <row r="205" spans="1:27" x14ac:dyDescent="0.25">
      <c r="A205" s="171" t="str">
        <f t="shared" si="39"/>
        <v>Fjerkrækød</v>
      </c>
      <c r="B205" s="171" t="str">
        <f t="shared" si="40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38"/>
        <v>1</v>
      </c>
      <c r="E205" s="171">
        <f t="shared" si="41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12283.299585125167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forbrug'!J$3,'Forbrug af biomasse'!$B$2:$B$425,$F205)</f>
        <v>30560.118468347584</v>
      </c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34"/>
        <v>-18276.818883222419</v>
      </c>
      <c r="P205" s="94">
        <f t="shared" si="42"/>
        <v>0</v>
      </c>
      <c r="Q205" s="180">
        <f t="shared" si="35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36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37"/>
        <v>0</v>
      </c>
      <c r="Z205">
        <f t="shared" si="43"/>
        <v>0</v>
      </c>
      <c r="AA205">
        <f t="shared" si="44"/>
        <v>1</v>
      </c>
    </row>
    <row r="206" spans="1:27" x14ac:dyDescent="0.25">
      <c r="A206" s="171" t="str">
        <f t="shared" si="39"/>
        <v>Frø</v>
      </c>
      <c r="B206" s="171" t="str">
        <f t="shared" si="40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38"/>
        <v>0</v>
      </c>
      <c r="E206" s="171">
        <f t="shared" si="41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227702.74434968803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forbrug'!J$3,'Forbrug af biomasse'!$B$2:$B$425,$F206)</f>
        <v>0</v>
      </c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34"/>
        <v>227702.74434968803</v>
      </c>
      <c r="P206" s="94">
        <f t="shared" si="42"/>
        <v>0</v>
      </c>
      <c r="Q206" s="180">
        <f t="shared" si="35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36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37"/>
        <v>0</v>
      </c>
      <c r="Z206">
        <f t="shared" si="43"/>
        <v>0</v>
      </c>
      <c r="AA206">
        <f t="shared" si="44"/>
        <v>1</v>
      </c>
    </row>
    <row r="207" spans="1:27" x14ac:dyDescent="0.25">
      <c r="A207" s="171" t="str">
        <f t="shared" si="39"/>
        <v>Frugt</v>
      </c>
      <c r="B207" s="171" t="str">
        <f t="shared" si="40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38"/>
        <v>1</v>
      </c>
      <c r="E207" s="171">
        <f t="shared" si="41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230638.97041088896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forbrug'!J$3,'Forbrug af biomasse'!$B$2:$B$425,$F207)</f>
        <v>223323.94265330929</v>
      </c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34"/>
        <v>7315.0277575796645</v>
      </c>
      <c r="P207" s="94">
        <f t="shared" si="42"/>
        <v>0</v>
      </c>
      <c r="Q207" s="180">
        <f t="shared" si="35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36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37"/>
        <v>0</v>
      </c>
      <c r="Z207">
        <f t="shared" si="43"/>
        <v>0</v>
      </c>
      <c r="AA207">
        <f t="shared" si="44"/>
        <v>1</v>
      </c>
    </row>
    <row r="208" spans="1:27" x14ac:dyDescent="0.25">
      <c r="A208" s="171" t="str">
        <f t="shared" si="39"/>
        <v>Glycerin</v>
      </c>
      <c r="B208" s="171" t="str">
        <f t="shared" si="40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38"/>
        <v>0</v>
      </c>
      <c r="E208" s="171">
        <f t="shared" si="41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forbrug'!J$3,'Forbrug af biomasse'!$B$2:$B$425,$F208)</f>
        <v>0</v>
      </c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0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34"/>
        <v>0</v>
      </c>
      <c r="P208" s="94">
        <f t="shared" si="42"/>
        <v>0</v>
      </c>
      <c r="Q208" s="180">
        <f t="shared" si="35"/>
        <v>0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</v>
      </c>
      <c r="T208">
        <f>IFERROR(VLOOKUP(A208,[1]Biogasudbytte!$A$2:$B$18,2,FALSE)*[1]Energiindhold!$C$10,0)*K208*IFERROR(VLOOKUP(A208,Biogasanlæg!$F$3:$G$8,2,FALSE),1)</f>
        <v>0</v>
      </c>
      <c r="U208" s="170">
        <f t="shared" si="36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0</v>
      </c>
      <c r="X208">
        <f>K208*IFERROR(VLOOKUP(A208,[1]Tørstofindhold!A$2:B$24,2,FALSE),0)</f>
        <v>0</v>
      </c>
      <c r="Y208" s="170">
        <f t="shared" si="37"/>
        <v>0</v>
      </c>
      <c r="Z208">
        <f t="shared" si="43"/>
        <v>0</v>
      </c>
      <c r="AA208">
        <f t="shared" si="44"/>
        <v>0</v>
      </c>
    </row>
    <row r="209" spans="1:27" x14ac:dyDescent="0.25">
      <c r="A209" s="171" t="str">
        <f t="shared" si="39"/>
        <v>Græs</v>
      </c>
      <c r="B209" s="171" t="str">
        <f t="shared" si="40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38"/>
        <v>0</v>
      </c>
      <c r="E209" s="171">
        <f t="shared" si="41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5594360.665097801</v>
      </c>
      <c r="H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1270913.6517041866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forbrug'!J$3,'Forbrug af biomasse'!$B$2:$B$425,$F209)</f>
        <v>0</v>
      </c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>SUMIFS('Forbrug af biomasse'!E:E,'Forbrug af biomasse'!C:C,'Resultat-Produktion &amp; forbrug'!$A209,'Forbrug af biomasse'!D:D,'Resultat-Produktion &amp; forbrug'!$E209,'Forbrug af biomasse'!G:G,1,'Forbrug af biomasse'!B:B,$F209)</f>
        <v>1732245.2164050208</v>
      </c>
      <c r="O209" s="179">
        <f t="shared" si="34"/>
        <v>2591201.7969885934</v>
      </c>
      <c r="P209" s="94">
        <f t="shared" si="42"/>
        <v>0</v>
      </c>
      <c r="Q209" s="180">
        <f t="shared" si="35"/>
        <v>0</v>
      </c>
      <c r="R209">
        <f>IFERROR(VLOOKUP(A209,[1]Energiindhold!$A$2:$C$11,3,FALSE),IFERROR(VLOOKUP(A209,[1]Biogasudbytte!$A$2:$B$18,2,FALSE)*[1]Energiindhold!$C$10,0))*P209</f>
        <v>0</v>
      </c>
      <c r="S209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0</v>
      </c>
      <c r="T209">
        <f>IFERROR(VLOOKUP(A209,[1]Biogasudbytte!$A$2:$B$18,2,FALSE)*[1]Energiindhold!$C$10,0)*K209*IFERROR(VLOOKUP(A209,Biogasanlæg!$F$3:$G$8,2,FALSE),1)</f>
        <v>0</v>
      </c>
      <c r="U209" s="170">
        <f t="shared" si="36"/>
        <v>0</v>
      </c>
      <c r="V209" s="169">
        <f>P209*IFERROR(VLOOKUP(A209,[1]Tørstofindhold!A$2:B$24,2,FALSE),0)</f>
        <v>0</v>
      </c>
      <c r="W209">
        <f>IF(E209=År1,Q209,SUM(P209,Q209))*IFERROR(VLOOKUP(A209,[1]Tørstofindhold!A$2:B$24,2,FALSE),0)</f>
        <v>0</v>
      </c>
      <c r="X209">
        <f>K209*IFERROR(VLOOKUP(A209,[1]Tørstofindhold!A$2:B$24,2,FALSE),0)</f>
        <v>0</v>
      </c>
      <c r="Y209" s="170">
        <f t="shared" si="37"/>
        <v>0</v>
      </c>
      <c r="Z209">
        <f t="shared" si="43"/>
        <v>1</v>
      </c>
      <c r="AA209">
        <f t="shared" si="44"/>
        <v>0</v>
      </c>
    </row>
    <row r="210" spans="1:27" x14ac:dyDescent="0.25">
      <c r="A210" s="171" t="str">
        <f t="shared" si="39"/>
        <v>Græsprotein</v>
      </c>
      <c r="B210" s="171" t="str">
        <f t="shared" si="40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38"/>
        <v>0</v>
      </c>
      <c r="E210" s="171">
        <f t="shared" si="41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289581.84379516833</v>
      </c>
      <c r="H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289581.84379516833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forbrug'!J$3,'Forbrug af biomasse'!$B$2:$B$425,$F210)</f>
        <v>0</v>
      </c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si="34"/>
        <v>0</v>
      </c>
      <c r="P210" s="94">
        <f t="shared" si="42"/>
        <v>0</v>
      </c>
      <c r="Q210" s="180">
        <f t="shared" si="35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36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37"/>
        <v>0</v>
      </c>
      <c r="Z210">
        <f t="shared" si="43"/>
        <v>0</v>
      </c>
      <c r="AA210">
        <f t="shared" si="44"/>
        <v>0</v>
      </c>
    </row>
    <row r="211" spans="1:27" x14ac:dyDescent="0.25">
      <c r="A211" s="171" t="str">
        <f t="shared" si="39"/>
        <v>Grøntsager</v>
      </c>
      <c r="B211" s="171" t="str">
        <f t="shared" si="40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38"/>
        <v>1</v>
      </c>
      <c r="E211" s="171">
        <f t="shared" si="41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324551.69572937489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forbrug'!J$3,'Forbrug af biomasse'!$B$2:$B$425,$F211)</f>
        <v>233902.44520004498</v>
      </c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34"/>
        <v>90649.250529329904</v>
      </c>
      <c r="P211" s="94">
        <f t="shared" si="42"/>
        <v>0</v>
      </c>
      <c r="Q211" s="180">
        <f t="shared" si="35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36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37"/>
        <v>0</v>
      </c>
      <c r="Z211">
        <f t="shared" si="43"/>
        <v>0</v>
      </c>
      <c r="AA211">
        <f t="shared" si="44"/>
        <v>1</v>
      </c>
    </row>
    <row r="212" spans="1:27" x14ac:dyDescent="0.25">
      <c r="A212" s="171" t="str">
        <f t="shared" si="39"/>
        <v>Halm</v>
      </c>
      <c r="B212" s="171" t="str">
        <f t="shared" si="40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38"/>
        <v>0</v>
      </c>
      <c r="E212" s="171">
        <f t="shared" si="41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687307.8810744558</v>
      </c>
      <c r="H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65715.418897709809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70710.376470197152</v>
      </c>
      <c r="J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forbrug'!J$3,'Forbrug af biomasse'!$B$2:$B$425,$F212)</f>
        <v>0</v>
      </c>
      <c r="K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0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550882.085706549</v>
      </c>
      <c r="N212" s="94">
        <f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si="34"/>
        <v>0</v>
      </c>
      <c r="P212" s="94">
        <f t="shared" si="42"/>
        <v>0</v>
      </c>
      <c r="Q212" s="180">
        <f t="shared" si="35"/>
        <v>550882.085706549</v>
      </c>
      <c r="R212">
        <f>IFERROR(VLOOKUP(A212,[1]Energiindhold!$A$2:$C$11,3,FALSE),IFERROR(VLOOKUP(A212,[1]Biogasudbytte!$A$2:$B$18,2,FALSE)*[1]Energiindhold!$C$10,0))*P212</f>
        <v>0</v>
      </c>
      <c r="S212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5.6938105535613097</v>
      </c>
      <c r="T212">
        <f>IFERROR(VLOOKUP(A212,[1]Biogasudbytte!$A$2:$B$18,2,FALSE)*[1]Energiindhold!$C$10,0)*K212*IFERROR(VLOOKUP(A212,Biogasanlæg!$F$3:$G$8,2,FALSE),1)</f>
        <v>0</v>
      </c>
      <c r="U212" s="170">
        <f t="shared" si="36"/>
        <v>5.6938105535613097</v>
      </c>
      <c r="V212" s="169">
        <f>P212*IFERROR(VLOOKUP(A212,[1]Tørstofindhold!A$2:B$24,2,FALSE),0)</f>
        <v>0</v>
      </c>
      <c r="W212">
        <f>IF(E212=År1,Q212,SUM(P212,Q212))*IFERROR(VLOOKUP(A212,[1]Tørstofindhold!A$2:B$24,2,FALSE),0)</f>
        <v>468249.77285056666</v>
      </c>
      <c r="X212">
        <f>K212*IFERROR(VLOOKUP(A212,[1]Tørstofindhold!A$2:B$24,2,FALSE),0)</f>
        <v>0</v>
      </c>
      <c r="Y212" s="170">
        <f t="shared" si="37"/>
        <v>468249.77285056666</v>
      </c>
      <c r="Z212">
        <f t="shared" si="43"/>
        <v>0</v>
      </c>
      <c r="AA212">
        <f t="shared" si="44"/>
        <v>0</v>
      </c>
    </row>
    <row r="213" spans="1:27" x14ac:dyDescent="0.25">
      <c r="A213" s="171" t="str">
        <f t="shared" si="39"/>
        <v>Have/parkaffald</v>
      </c>
      <c r="B213" s="171" t="str">
        <f t="shared" si="40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38"/>
        <v>0</v>
      </c>
      <c r="E213" s="171">
        <f t="shared" si="41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forbrug'!J$3,'Forbrug af biomasse'!$B$2:$B$425,$F213)</f>
        <v>0</v>
      </c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0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456074.89013160887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34"/>
        <v>0</v>
      </c>
      <c r="P213" s="94">
        <f t="shared" si="42"/>
        <v>0</v>
      </c>
      <c r="Q213" s="180">
        <f t="shared" si="35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8.1419495125715642</v>
      </c>
      <c r="T213">
        <f>IFERROR(VLOOKUP(A213,[1]Biogasudbytte!$A$2:$B$18,2,FALSE)*[1]Energiindhold!$C$10,0)*K213*IFERROR(VLOOKUP(A213,Biogasanlæg!$F$3:$G$8,2,FALSE),1)</f>
        <v>0</v>
      </c>
      <c r="U213" s="170">
        <f t="shared" si="36"/>
        <v>8.1419495125715642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0</v>
      </c>
      <c r="Y213" s="170">
        <f t="shared" si="37"/>
        <v>136822.46703948267</v>
      </c>
      <c r="Z213">
        <f t="shared" si="43"/>
        <v>0</v>
      </c>
      <c r="AA213">
        <f t="shared" si="44"/>
        <v>0</v>
      </c>
    </row>
    <row r="214" spans="1:27" x14ac:dyDescent="0.25">
      <c r="A214" s="171" t="str">
        <f t="shared" si="39"/>
        <v>Import af foder</v>
      </c>
      <c r="B214" s="171" t="str">
        <f t="shared" si="40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38"/>
        <v>1</v>
      </c>
      <c r="E214" s="171">
        <f t="shared" si="41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264797.29963641899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forbrug'!J$3,'Forbrug af biomasse'!$B$2:$B$425,$F214)</f>
        <v>0</v>
      </c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si="34"/>
        <v>-264797.29963641899</v>
      </c>
      <c r="P214" s="94">
        <f t="shared" si="42"/>
        <v>0</v>
      </c>
      <c r="Q214" s="180">
        <f t="shared" si="35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36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37"/>
        <v>0</v>
      </c>
      <c r="Z214">
        <f t="shared" si="43"/>
        <v>1</v>
      </c>
      <c r="AA214">
        <f t="shared" si="44"/>
        <v>0</v>
      </c>
    </row>
    <row r="215" spans="1:27" x14ac:dyDescent="0.25">
      <c r="A215" s="171" t="str">
        <f t="shared" si="39"/>
        <v>Industriaffald</v>
      </c>
      <c r="B215" s="171" t="str">
        <f t="shared" si="40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38"/>
        <v>0</v>
      </c>
      <c r="E215" s="171">
        <f t="shared" si="41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191070.85109932383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forbrug'!J$3,'Forbrug af biomasse'!$B$2:$B$425,$F215)</f>
        <v>0</v>
      </c>
      <c r="K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0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si="34"/>
        <v>191070.85109932383</v>
      </c>
      <c r="P215" s="94">
        <f t="shared" si="42"/>
        <v>191070.85109932383</v>
      </c>
      <c r="Q215" s="180">
        <f t="shared" si="35"/>
        <v>0</v>
      </c>
      <c r="R215">
        <f>IFERROR(VLOOKUP(A215,[1]Energiindhold!$A$2:$C$11,3,FALSE),IFERROR(VLOOKUP(A215,[1]Biogasudbytte!$A$2:$B$18,2,FALSE)*[1]Energiindhold!$C$10,0))*P215</f>
        <v>0.82793483702401316</v>
      </c>
      <c r="S215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0.82793483702401316</v>
      </c>
      <c r="T215">
        <f>IFERROR(VLOOKUP(A215,[1]Biogasudbytte!$A$2:$B$18,2,FALSE)*[1]Energiindhold!$C$10,0)*K215*IFERROR(VLOOKUP(A215,Biogasanlæg!$F$3:$G$8,2,FALSE),1)</f>
        <v>0</v>
      </c>
      <c r="U215" s="170">
        <f t="shared" si="36"/>
        <v>0.82793483702401316</v>
      </c>
      <c r="V215" s="169">
        <f>P215*IFERROR(VLOOKUP(A215,[1]Tørstofindhold!A$2:B$24,2,FALSE),0)</f>
        <v>80249.757461715999</v>
      </c>
      <c r="W215">
        <f>IF(E215=År1,Q215,SUM(P215,Q215))*IFERROR(VLOOKUP(A215,[1]Tørstofindhold!A$2:B$24,2,FALSE),0)</f>
        <v>80249.757461715999</v>
      </c>
      <c r="X215">
        <f>K215*IFERROR(VLOOKUP(A215,[1]Tørstofindhold!A$2:B$24,2,FALSE),0)</f>
        <v>0</v>
      </c>
      <c r="Y215" s="170">
        <f t="shared" si="37"/>
        <v>80249.757461715999</v>
      </c>
      <c r="Z215">
        <f t="shared" si="43"/>
        <v>0</v>
      </c>
      <c r="AA215">
        <f t="shared" si="44"/>
        <v>1</v>
      </c>
    </row>
    <row r="216" spans="1:27" x14ac:dyDescent="0.25">
      <c r="A216" s="171" t="str">
        <f t="shared" si="39"/>
        <v>Juletræer</v>
      </c>
      <c r="B216" s="171" t="str">
        <f t="shared" si="40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38"/>
        <v>0</v>
      </c>
      <c r="E216" s="171">
        <f t="shared" si="41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205293.78890297885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forbrug'!J$3,'Forbrug af biomasse'!$B$2:$B$425,$F216)</f>
        <v>0</v>
      </c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34"/>
        <v>205293.78890297885</v>
      </c>
      <c r="P216" s="94">
        <f t="shared" si="42"/>
        <v>0</v>
      </c>
      <c r="Q216" s="180">
        <f t="shared" si="35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36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37"/>
        <v>0</v>
      </c>
      <c r="Z216">
        <f t="shared" si="43"/>
        <v>0</v>
      </c>
      <c r="AA216">
        <f t="shared" si="44"/>
        <v>1</v>
      </c>
    </row>
    <row r="217" spans="1:27" x14ac:dyDescent="0.25">
      <c r="A217" s="171" t="str">
        <f t="shared" si="39"/>
        <v>Kartofler</v>
      </c>
      <c r="B217" s="171" t="str">
        <f t="shared" si="40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38"/>
        <v>1</v>
      </c>
      <c r="E217" s="171">
        <f t="shared" si="41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499382.99632277054</v>
      </c>
      <c r="H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forbrug'!J$3,'Forbrug af biomasse'!$B$2:$B$425,$F217)</f>
        <v>106960.41463921656</v>
      </c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si="45">G217-SUM(H217:N217)</f>
        <v>392422.58168355399</v>
      </c>
      <c r="P217" s="94">
        <f t="shared" si="42"/>
        <v>0</v>
      </c>
      <c r="Q217" s="180">
        <f t="shared" ref="Q217:Q282" si="46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47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48">W217-X217</f>
        <v>0</v>
      </c>
      <c r="Z217">
        <f t="shared" si="43"/>
        <v>0</v>
      </c>
      <c r="AA217">
        <f t="shared" si="44"/>
        <v>1</v>
      </c>
    </row>
    <row r="218" spans="1:27" x14ac:dyDescent="0.25">
      <c r="A218" s="171" t="str">
        <f t="shared" si="39"/>
        <v>Korn</v>
      </c>
      <c r="B218" s="171" t="str">
        <f t="shared" si="40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38"/>
        <v>1</v>
      </c>
      <c r="E218" s="171">
        <f t="shared" si="41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1416204.9102783564</v>
      </c>
      <c r="H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322423.8733791869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forbrug'!J$3,'Forbrug af biomasse'!$B$2:$B$425,$F218)</f>
        <v>256234.83946537593</v>
      </c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>G218-SUM(H218:N218)</f>
        <v>837546.19743379357</v>
      </c>
      <c r="P218" s="94">
        <f t="shared" si="42"/>
        <v>837546.19743379357</v>
      </c>
      <c r="Q218" s="180">
        <f t="shared" si="46"/>
        <v>0</v>
      </c>
      <c r="R218">
        <f>IFERROR(VLOOKUP(A218,[1]Energiindhold!$A$2:$C$11,3,FALSE),IFERROR(VLOOKUP(A218,[1]Biogasudbytte!$A$2:$B$18,2,FALSE)*[1]Energiindhold!$C$10,0))*P218</f>
        <v>2.8684784697431027</v>
      </c>
      <c r="S218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2.8684784697431027</v>
      </c>
      <c r="T218">
        <f>IFERROR(VLOOKUP(A218,[1]Biogasudbytte!$A$2:$B$18,2,FALSE)*[1]Energiindhold!$C$10,0)*K218*IFERROR(VLOOKUP(A218,Biogasanlæg!$F$3:$G$8,2,FALSE),1)</f>
        <v>0</v>
      </c>
      <c r="U218" s="170">
        <f t="shared" si="47"/>
        <v>2.8684784697431027</v>
      </c>
      <c r="V218" s="169">
        <f>P218*IFERROR(VLOOKUP(A218,[1]Tørstofindhold!A$2:B$24,2,FALSE),0)</f>
        <v>259639.321204476</v>
      </c>
      <c r="W218">
        <f>IF(E218=År1,Q218,SUM(P218,Q218))*IFERROR(VLOOKUP(A218,[1]Tørstofindhold!A$2:B$24,2,FALSE),0)</f>
        <v>259639.321204476</v>
      </c>
      <c r="X218">
        <f>K218*IFERROR(VLOOKUP(A218,[1]Tørstofindhold!A$2:B$24,2,FALSE),0)</f>
        <v>0</v>
      </c>
      <c r="Y218" s="170">
        <f t="shared" si="48"/>
        <v>259639.321204476</v>
      </c>
      <c r="Z218">
        <f t="shared" si="43"/>
        <v>0</v>
      </c>
      <c r="AA218">
        <f t="shared" si="44"/>
        <v>1</v>
      </c>
    </row>
    <row r="219" spans="1:27" x14ac:dyDescent="0.25">
      <c r="A219" s="171" t="str">
        <f t="shared" si="39"/>
        <v>Kunstgødning</v>
      </c>
      <c r="B219" s="171" t="str">
        <f t="shared" si="40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38"/>
        <v>0</v>
      </c>
      <c r="E219" s="171">
        <f t="shared" si="41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forbrug'!J$3,'Forbrug af biomasse'!$B$2:$B$425,$F219)</f>
        <v>0</v>
      </c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469385.8379067207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45"/>
        <v>-469385.8379067207</v>
      </c>
      <c r="P219" s="94">
        <f t="shared" si="42"/>
        <v>0</v>
      </c>
      <c r="Q219" s="180">
        <f t="shared" si="46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47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48"/>
        <v>0</v>
      </c>
      <c r="Z219">
        <f t="shared" ca="1" si="43"/>
        <v>1</v>
      </c>
      <c r="AA219">
        <f t="shared" ca="1" si="44"/>
        <v>0</v>
      </c>
    </row>
    <row r="220" spans="1:27" x14ac:dyDescent="0.25">
      <c r="A220" s="171" t="str">
        <f t="shared" si="39"/>
        <v>Kvæggylle</v>
      </c>
      <c r="B220" s="171" t="str">
        <f t="shared" si="40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38"/>
        <v>0</v>
      </c>
      <c r="E220" s="171">
        <f t="shared" si="41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691481.64120288345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forbrug'!J$3,'Forbrug af biomasse'!$B$2:$B$425,$F220)</f>
        <v>0</v>
      </c>
      <c r="K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518611.23090216261</v>
      </c>
      <c r="L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172870.41030072086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si="45"/>
        <v>0</v>
      </c>
      <c r="P220" s="94">
        <f t="shared" si="42"/>
        <v>0</v>
      </c>
      <c r="Q220" s="180">
        <f t="shared" si="46"/>
        <v>518611.23090216261</v>
      </c>
      <c r="R220">
        <f>IFERROR(VLOOKUP(A220,[1]Energiindhold!$A$2:$C$11,3,FALSE),IFERROR(VLOOKUP(A220,[1]Biogasudbytte!$A$2:$B$18,2,FALSE)*[1]Energiindhold!$C$10,0))*P220</f>
        <v>0</v>
      </c>
      <c r="S220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0.26251581897036574</v>
      </c>
      <c r="T220">
        <f>IFERROR(VLOOKUP(A220,[1]Biogasudbytte!$A$2:$B$18,2,FALSE)*[1]Energiindhold!$C$10,0)*K220*IFERROR(VLOOKUP(A220,Biogasanlæg!$F$3:$G$8,2,FALSE),1)</f>
        <v>0.26251581897036574</v>
      </c>
      <c r="U220" s="170">
        <f t="shared" si="47"/>
        <v>0</v>
      </c>
      <c r="V220" s="169">
        <f>P220*IFERROR(VLOOKUP(A220,[1]Tørstofindhold!A$2:B$24,2,FALSE),0)</f>
        <v>0</v>
      </c>
      <c r="W220">
        <f>IF(E220=År1,Q220,SUM(P220,Q220))*IFERROR(VLOOKUP(A220,[1]Tørstofindhold!A$2:B$24,2,FALSE),0)</f>
        <v>39414.453548564357</v>
      </c>
      <c r="X220">
        <f>K220*IFERROR(VLOOKUP(A220,[1]Tørstofindhold!A$2:B$24,2,FALSE),0)</f>
        <v>39414.453548564357</v>
      </c>
      <c r="Y220" s="170">
        <f t="shared" si="48"/>
        <v>0</v>
      </c>
      <c r="Z220">
        <f t="shared" si="43"/>
        <v>0</v>
      </c>
      <c r="AA220">
        <f t="shared" si="44"/>
        <v>0</v>
      </c>
    </row>
    <row r="221" spans="1:27" x14ac:dyDescent="0.25">
      <c r="A221" s="171" t="str">
        <f t="shared" si="39"/>
        <v>Mælk til foder</v>
      </c>
      <c r="B221" s="171" t="str">
        <f t="shared" si="40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38"/>
        <v>0</v>
      </c>
      <c r="E221" s="171">
        <f t="shared" si="41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50222.397196773512</v>
      </c>
      <c r="H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83123.75342946584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forbrug'!J$3,'Forbrug af biomasse'!$B$2:$B$425,$F221)</f>
        <v>0</v>
      </c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si="45"/>
        <v>-32901.356232692327</v>
      </c>
      <c r="P221" s="94">
        <f t="shared" si="42"/>
        <v>0</v>
      </c>
      <c r="Q221" s="180">
        <f t="shared" si="46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47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48"/>
        <v>0</v>
      </c>
      <c r="Z221">
        <f t="shared" si="43"/>
        <v>1</v>
      </c>
      <c r="AA221">
        <f t="shared" si="44"/>
        <v>0</v>
      </c>
    </row>
    <row r="222" spans="1:27" x14ac:dyDescent="0.25">
      <c r="A222" s="171" t="str">
        <f t="shared" si="39"/>
        <v>Majs</v>
      </c>
      <c r="B222" s="171" t="str">
        <f t="shared" si="40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38"/>
        <v>1</v>
      </c>
      <c r="E222" s="171">
        <f t="shared" si="41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1156433.9505254913</v>
      </c>
      <c r="H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310240.24994508084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forbrug'!J$3,'Forbrug af biomasse'!$B$2:$B$425,$F222)</f>
        <v>0</v>
      </c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si="45"/>
        <v>846193.70058041043</v>
      </c>
      <c r="P222" s="94">
        <f t="shared" si="42"/>
        <v>846193.70058041043</v>
      </c>
      <c r="Q222" s="180">
        <f t="shared" si="46"/>
        <v>0</v>
      </c>
      <c r="R222">
        <f>IFERROR(VLOOKUP(A222,[1]Energiindhold!$A$2:$C$11,3,FALSE),IFERROR(VLOOKUP(A222,[1]Biogasudbytte!$A$2:$B$18,2,FALSE)*[1]Energiindhold!$C$10,0))*P222</f>
        <v>3.0378353850836737</v>
      </c>
      <c r="S222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3.0378353850836737</v>
      </c>
      <c r="T222">
        <f>IFERROR(VLOOKUP(A222,[1]Biogasudbytte!$A$2:$B$18,2,FALSE)*[1]Energiindhold!$C$10,0)*K222*IFERROR(VLOOKUP(A222,Biogasanlæg!$F$3:$G$8,2,FALSE),1)</f>
        <v>0</v>
      </c>
      <c r="U222" s="170">
        <f t="shared" si="47"/>
        <v>3.0378353850836737</v>
      </c>
      <c r="V222" s="169">
        <f>P222*IFERROR(VLOOKUP(A222,[1]Tørstofindhold!A$2:B$24,2,FALSE),0)</f>
        <v>253858.11017412311</v>
      </c>
      <c r="W222">
        <f>IF(E222=År1,Q222,SUM(P222,Q222))*IFERROR(VLOOKUP(A222,[1]Tørstofindhold!A$2:B$24,2,FALSE),0)</f>
        <v>253858.11017412311</v>
      </c>
      <c r="X222">
        <f>K222*IFERROR(VLOOKUP(A222,[1]Tørstofindhold!A$2:B$24,2,FALSE),0)</f>
        <v>0</v>
      </c>
      <c r="Y222" s="170">
        <f t="shared" si="48"/>
        <v>253858.11017412311</v>
      </c>
      <c r="Z222">
        <f t="shared" si="43"/>
        <v>0</v>
      </c>
      <c r="AA222">
        <f t="shared" si="44"/>
        <v>1</v>
      </c>
    </row>
    <row r="223" spans="1:27" x14ac:dyDescent="0.25">
      <c r="A223" s="171" t="str">
        <f t="shared" si="39"/>
        <v>Mejeriprodukter</v>
      </c>
      <c r="B223" s="171" t="str">
        <f t="shared" si="40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38"/>
        <v>1</v>
      </c>
      <c r="E223" s="171">
        <f t="shared" si="41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96903.161700864599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forbrug'!J$3,'Forbrug af biomasse'!$B$2:$B$425,$F223)</f>
        <v>409035.43180711387</v>
      </c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45"/>
        <v>-312132.27010624926</v>
      </c>
      <c r="P223" s="94">
        <f t="shared" si="42"/>
        <v>0</v>
      </c>
      <c r="Q223" s="180">
        <f t="shared" si="46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47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48"/>
        <v>0</v>
      </c>
      <c r="Z223">
        <f t="shared" si="43"/>
        <v>0</v>
      </c>
      <c r="AA223">
        <f t="shared" si="44"/>
        <v>1</v>
      </c>
    </row>
    <row r="224" spans="1:27" x14ac:dyDescent="0.25">
      <c r="A224" s="171" t="str">
        <f t="shared" si="39"/>
        <v>Muslinger</v>
      </c>
      <c r="B224" s="171" t="str">
        <f t="shared" si="40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38"/>
        <v>1</v>
      </c>
      <c r="E224" s="171">
        <f t="shared" si="41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forbrug'!J$3,'Forbrug af biomasse'!$B$2:$B$425,$F224)</f>
        <v>0</v>
      </c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si="45"/>
        <v>1.1976865502381491</v>
      </c>
      <c r="P224" s="94">
        <f t="shared" si="42"/>
        <v>1.1976865502381491</v>
      </c>
      <c r="Q224" s="180">
        <f t="shared" si="46"/>
        <v>0</v>
      </c>
      <c r="R224">
        <f>IFERROR(VLOOKUP(A224,[1]Energiindhold!$A$2:$C$11,3,FALSE),IFERROR(VLOOKUP(A224,[1]Biogasudbytte!$A$2:$B$18,2,FALSE)*[1]Energiindhold!$C$10,0))*P224</f>
        <v>1.0749236788387388E-6</v>
      </c>
      <c r="S224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si="47"/>
        <v>1.0749236788387388E-6</v>
      </c>
      <c r="V224" s="169">
        <f>P224*IFERROR(VLOOKUP(A224,[1]Tørstofindhold!A$2:B$24,2,FALSE),0)</f>
        <v>0.17965298253572234</v>
      </c>
      <c r="W224">
        <f>IF(E224=År1,Q224,SUM(P224,Q224))*IFERROR(VLOOKUP(A224,[1]Tørstofindhold!A$2:B$24,2,FALSE),0)</f>
        <v>0.17965298253572234</v>
      </c>
      <c r="X224">
        <f>K224*IFERROR(VLOOKUP(A224,[1]Tørstofindhold!A$2:B$24,2,FALSE),0)</f>
        <v>0</v>
      </c>
      <c r="Y224" s="170">
        <f t="shared" si="48"/>
        <v>0.17965298253572234</v>
      </c>
      <c r="Z224">
        <f t="shared" si="43"/>
        <v>0</v>
      </c>
      <c r="AA224">
        <f t="shared" si="44"/>
        <v>1</v>
      </c>
    </row>
    <row r="225" spans="1:27" x14ac:dyDescent="0.25">
      <c r="A225" s="171" t="str">
        <f t="shared" si="39"/>
        <v>Oksekød</v>
      </c>
      <c r="B225" s="171" t="str">
        <f t="shared" si="40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38"/>
        <v>1</v>
      </c>
      <c r="E225" s="171">
        <f t="shared" si="41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6251.0678007025454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forbrug'!J$3,'Forbrug af biomasse'!$B$2:$B$425,$F225)</f>
        <v>51975.70917962808</v>
      </c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45"/>
        <v>-45724.641378925531</v>
      </c>
      <c r="P225" s="94">
        <f t="shared" si="42"/>
        <v>0</v>
      </c>
      <c r="Q225" s="180">
        <f t="shared" si="46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47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48"/>
        <v>0</v>
      </c>
      <c r="Z225">
        <f t="shared" si="43"/>
        <v>1</v>
      </c>
      <c r="AA225">
        <f t="shared" si="44"/>
        <v>0</v>
      </c>
    </row>
    <row r="226" spans="1:27" x14ac:dyDescent="0.25">
      <c r="A226" s="171" t="str">
        <f t="shared" si="39"/>
        <v>Øvrige</v>
      </c>
      <c r="B226" s="171" t="str">
        <f t="shared" si="40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38"/>
        <v>1</v>
      </c>
      <c r="E226" s="171">
        <f t="shared" si="41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294500.89085380302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forbrug'!J$3,'Forbrug af biomasse'!$B$2:$B$425,$F226)</f>
        <v>0</v>
      </c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45"/>
        <v>294500.89085380302</v>
      </c>
      <c r="P226" s="94">
        <f t="shared" si="42"/>
        <v>0</v>
      </c>
      <c r="Q226" s="180">
        <f t="shared" si="46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47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48"/>
        <v>0</v>
      </c>
      <c r="Z226">
        <f t="shared" si="43"/>
        <v>0</v>
      </c>
      <c r="AA226">
        <f t="shared" si="44"/>
        <v>1</v>
      </c>
    </row>
    <row r="227" spans="1:27" x14ac:dyDescent="0.25">
      <c r="A227" s="171" t="str">
        <f t="shared" si="39"/>
        <v>Pil &amp; poppel</v>
      </c>
      <c r="B227" s="171" t="str">
        <f t="shared" si="40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38"/>
        <v>0</v>
      </c>
      <c r="E227" s="171">
        <f t="shared" si="41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272404.80098126631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forbrug'!J$3,'Forbrug af biomasse'!$B$2:$B$425,$F227)</f>
        <v>0</v>
      </c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272404.80098126631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45"/>
        <v>0</v>
      </c>
      <c r="P227" s="94">
        <f t="shared" si="42"/>
        <v>0</v>
      </c>
      <c r="Q227" s="180">
        <f t="shared" si="46"/>
        <v>272404.80098126631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5.0122483380552989</v>
      </c>
      <c r="T227">
        <f>IFERROR(VLOOKUP(A227,[1]Biogasudbytte!$A$2:$B$18,2,FALSE)*[1]Energiindhold!$C$10,0)*K227*IFERROR(VLOOKUP(A227,Biogasanlæg!$F$3:$G$8,2,FALSE),1)</f>
        <v>0</v>
      </c>
      <c r="U227" s="170">
        <f t="shared" si="47"/>
        <v>5.0122483380552989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113047.99240722552</v>
      </c>
      <c r="X227">
        <f>K227*IFERROR(VLOOKUP(A227,[1]Tørstofindhold!A$2:B$24,2,FALSE),0)</f>
        <v>0</v>
      </c>
      <c r="Y227" s="170">
        <f t="shared" si="48"/>
        <v>113047.99240722552</v>
      </c>
      <c r="Z227">
        <f t="shared" si="43"/>
        <v>0</v>
      </c>
      <c r="AA227">
        <f t="shared" si="44"/>
        <v>0</v>
      </c>
    </row>
    <row r="228" spans="1:27" x14ac:dyDescent="0.25">
      <c r="A228" s="171" t="str">
        <f>A180</f>
        <v>Pyrolysegas</v>
      </c>
      <c r="B228" s="171" t="str">
        <f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38"/>
        <v>0</v>
      </c>
      <c r="E228" s="171">
        <f t="shared" si="41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forbrug'!J$3,'Forbrug af biomasse'!$B$2:$B$425,$F228)</f>
        <v>0</v>
      </c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>G228-SUM(H228:N228)</f>
        <v>0</v>
      </c>
      <c r="P228" s="94">
        <f t="shared" si="42"/>
        <v>0</v>
      </c>
      <c r="Q228" s="180">
        <f>SUM(K228,M228)</f>
        <v>0</v>
      </c>
      <c r="R228">
        <f>IFERROR(VLOOKUP(A228,[1]Energiindhold!$A$2:$C$11,3,FALSE),IFERROR(VLOOKUP(A228,[1]Biogasudbytte!$A$2:$B$18,2,FALSE)*[1]Energiindhold!$C$10,0))*P228</f>
        <v>0</v>
      </c>
      <c r="S228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>S228-T228</f>
        <v>0</v>
      </c>
      <c r="V228" s="169">
        <f>P228*IFERROR(VLOOKUP(A228,[1]Tørstofindhold!A$2:B$24,2,FALSE),0)</f>
        <v>0</v>
      </c>
      <c r="W228">
        <f>IF(E228=År1,Q228,SUM(P228,Q228))*IFERROR(VLOOKUP(A228,[1]Tørstofindhold!A$2:B$24,2,FALSE),0)</f>
        <v>0</v>
      </c>
      <c r="X228">
        <f>K228*IFERROR(VLOOKUP(A228,[1]Tørstofindhold!A$2:B$24,2,FALSE),0)</f>
        <v>0</v>
      </c>
      <c r="Y228" s="170">
        <f>W228-X228</f>
        <v>0</v>
      </c>
      <c r="Z228">
        <f t="shared" si="43"/>
        <v>0</v>
      </c>
      <c r="AA228">
        <f t="shared" si="44"/>
        <v>0</v>
      </c>
    </row>
    <row r="229" spans="1:27" x14ac:dyDescent="0.25">
      <c r="A229" s="171" t="str">
        <f>A181</f>
        <v>Pyrolyseolie</v>
      </c>
      <c r="B229" s="171" t="str">
        <f>IF(B181&lt;&gt;"",B181,"")</f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38"/>
        <v>0</v>
      </c>
      <c r="E229" s="171">
        <f t="shared" si="41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forbrug'!J$3,'Forbrug af biomasse'!$B$2:$B$425,$F229)</f>
        <v>0</v>
      </c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>G229-SUM(H229:N229)</f>
        <v>0</v>
      </c>
      <c r="P229" s="94">
        <f t="shared" si="42"/>
        <v>0</v>
      </c>
      <c r="Q229" s="180">
        <f>SUM(K229,M229)</f>
        <v>0</v>
      </c>
      <c r="R229">
        <f>IFERROR(VLOOKUP(A229,[1]Energiindhold!$A$2:$C$11,3,FALSE),IFERROR(VLOOKUP(A229,[1]Biogasudbytte!$A$2:$B$18,2,FALSE)*[1]Energiindhold!$C$10,0))*P229</f>
        <v>0</v>
      </c>
      <c r="S229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>S229-T229</f>
        <v>0</v>
      </c>
      <c r="V229" s="169">
        <f>P229*IFERROR(VLOOKUP(A229,[1]Tørstofindhold!A$2:B$24,2,FALSE),0)</f>
        <v>0</v>
      </c>
      <c r="W229">
        <f>IF(E229=År1,Q229,SUM(P229,Q229))*IFERROR(VLOOKUP(A229,[1]Tørstofindhold!A$2:B$24,2,FALSE),0)</f>
        <v>0</v>
      </c>
      <c r="X229">
        <f>K229*IFERROR(VLOOKUP(A229,[1]Tørstofindhold!A$2:B$24,2,FALSE),0)</f>
        <v>0</v>
      </c>
      <c r="Y229" s="170">
        <f>W229-X229</f>
        <v>0</v>
      </c>
      <c r="Z229">
        <f t="shared" si="43"/>
        <v>0</v>
      </c>
      <c r="AA229">
        <f t="shared" si="44"/>
        <v>0</v>
      </c>
    </row>
    <row r="230" spans="1:27" x14ac:dyDescent="0.25">
      <c r="A230" s="171" t="str">
        <f t="shared" ref="A230:A275" si="49">A182</f>
        <v>Råmælk</v>
      </c>
      <c r="B230" s="171" t="str">
        <f t="shared" ref="B230:B275" si="5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38"/>
        <v>0</v>
      </c>
      <c r="E230" s="171">
        <f t="shared" si="41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150898.00912578267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forbrug'!J$3,'Forbrug af biomasse'!$B$2:$B$425,$F230)</f>
        <v>0</v>
      </c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45"/>
        <v>150898.00912578267</v>
      </c>
      <c r="P230" s="94">
        <f t="shared" si="42"/>
        <v>0</v>
      </c>
      <c r="Q230" s="180">
        <f t="shared" si="46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47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48"/>
        <v>0</v>
      </c>
      <c r="Z230">
        <f t="shared" si="43"/>
        <v>0</v>
      </c>
      <c r="AA230">
        <f t="shared" si="44"/>
        <v>1</v>
      </c>
    </row>
    <row r="231" spans="1:27" x14ac:dyDescent="0.25">
      <c r="A231" s="171" t="str">
        <f t="shared" si="49"/>
        <v>Raps</v>
      </c>
      <c r="B231" s="171" t="str">
        <f t="shared" si="5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38"/>
        <v>0</v>
      </c>
      <c r="E231" s="171">
        <f t="shared" si="41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225771.64512076203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forbrug'!J$3,'Forbrug af biomasse'!$B$2:$B$425,$F231)</f>
        <v>0</v>
      </c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225771.64512076203</v>
      </c>
      <c r="O231" s="179">
        <f t="shared" si="45"/>
        <v>0</v>
      </c>
      <c r="P231" s="94">
        <f t="shared" si="42"/>
        <v>0</v>
      </c>
      <c r="Q231" s="180">
        <f t="shared" si="46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47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48"/>
        <v>0</v>
      </c>
      <c r="Z231">
        <f t="shared" si="43"/>
        <v>0</v>
      </c>
      <c r="AA231">
        <f t="shared" si="44"/>
        <v>0</v>
      </c>
    </row>
    <row r="232" spans="1:27" x14ac:dyDescent="0.25">
      <c r="A232" s="171" t="str">
        <f t="shared" si="49"/>
        <v>Rapskage</v>
      </c>
      <c r="B232" s="171" t="str">
        <f t="shared" si="5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38"/>
        <v>0</v>
      </c>
      <c r="E232" s="171">
        <f t="shared" si="41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112885.82256038101</v>
      </c>
      <c r="H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22820.937006537704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forbrug'!J$3,'Forbrug af biomasse'!$B$2:$B$425,$F232)</f>
        <v>0</v>
      </c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si="45"/>
        <v>90064.885553843313</v>
      </c>
      <c r="P232" s="94">
        <f t="shared" si="42"/>
        <v>0</v>
      </c>
      <c r="Q232" s="180">
        <f t="shared" si="46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47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48"/>
        <v>0</v>
      </c>
      <c r="Z232">
        <f t="shared" si="43"/>
        <v>0</v>
      </c>
      <c r="AA232">
        <f t="shared" si="44"/>
        <v>1</v>
      </c>
    </row>
    <row r="233" spans="1:27" x14ac:dyDescent="0.25">
      <c r="A233" s="171" t="str">
        <f t="shared" si="49"/>
        <v>Rapsolie</v>
      </c>
      <c r="B233" s="171" t="str">
        <f t="shared" si="5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38"/>
        <v>1</v>
      </c>
      <c r="E233" s="171">
        <f t="shared" si="41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72246.926438643844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forbrug'!J$3,'Forbrug af biomasse'!$B$2:$B$425,$F233)</f>
        <v>0</v>
      </c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72246.926438643844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45"/>
        <v>0</v>
      </c>
      <c r="P233" s="94">
        <f t="shared" si="42"/>
        <v>0</v>
      </c>
      <c r="Q233" s="180">
        <f t="shared" si="46"/>
        <v>72246.926438643844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2.5286424253525341</v>
      </c>
      <c r="T233">
        <f>IFERROR(VLOOKUP(A233,[1]Biogasudbytte!$A$2:$B$18,2,FALSE)*[1]Energiindhold!$C$10,0)*K233*IFERROR(VLOOKUP(A233,Biogasanlæg!$F$3:$G$8,2,FALSE),1)</f>
        <v>0</v>
      </c>
      <c r="U233" s="170">
        <f t="shared" si="47"/>
        <v>2.5286424253525341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48"/>
        <v>0</v>
      </c>
      <c r="Z233">
        <f t="shared" si="43"/>
        <v>0</v>
      </c>
      <c r="AA233">
        <f t="shared" si="44"/>
        <v>0</v>
      </c>
    </row>
    <row r="234" spans="1:27" x14ac:dyDescent="0.25">
      <c r="A234" s="171" t="str">
        <f t="shared" si="49"/>
        <v>Roer</v>
      </c>
      <c r="B234" s="171" t="str">
        <f t="shared" si="5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38"/>
        <v>1</v>
      </c>
      <c r="E234" s="171">
        <f t="shared" si="41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594657.92108707852</v>
      </c>
      <c r="H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71502.640028910202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forbrug'!J$3,'Forbrug af biomasse'!$B$2:$B$425,$F234)</f>
        <v>0</v>
      </c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si="45"/>
        <v>523155.28105816833</v>
      </c>
      <c r="P234" s="94">
        <f t="shared" si="42"/>
        <v>523155.28105816833</v>
      </c>
      <c r="Q234" s="180">
        <f t="shared" si="46"/>
        <v>0</v>
      </c>
      <c r="R234">
        <f>IFERROR(VLOOKUP(A234,[1]Energiindhold!$A$2:$C$11,3,FALSE),IFERROR(VLOOKUP(A234,[1]Biogasudbytte!$A$2:$B$18,2,FALSE)*[1]Energiindhold!$C$10,0))*P234</f>
        <v>1.4198643590031113</v>
      </c>
      <c r="S234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1.4198643590031113</v>
      </c>
      <c r="T234">
        <f>IFERROR(VLOOKUP(A234,[1]Biogasudbytte!$A$2:$B$18,2,FALSE)*[1]Energiindhold!$C$10,0)*K234*IFERROR(VLOOKUP(A234,Biogasanlæg!$F$3:$G$8,2,FALSE),1)</f>
        <v>0</v>
      </c>
      <c r="U234" s="170">
        <f t="shared" si="47"/>
        <v>1.4198643590031113</v>
      </c>
      <c r="V234" s="169">
        <f>P234*IFERROR(VLOOKUP(A234,[1]Tørstofindhold!A$2:B$24,2,FALSE),0)</f>
        <v>104631.05621163367</v>
      </c>
      <c r="W234">
        <f>IF(E234=År1,Q234,SUM(P234,Q234))*IFERROR(VLOOKUP(A234,[1]Tørstofindhold!A$2:B$24,2,FALSE),0)</f>
        <v>104631.05621163367</v>
      </c>
      <c r="X234">
        <f>K234*IFERROR(VLOOKUP(A234,[1]Tørstofindhold!A$2:B$24,2,FALSE),0)</f>
        <v>0</v>
      </c>
      <c r="Y234" s="170">
        <f t="shared" si="48"/>
        <v>104631.05621163367</v>
      </c>
      <c r="Z234">
        <f t="shared" si="43"/>
        <v>0</v>
      </c>
      <c r="AA234">
        <f t="shared" si="44"/>
        <v>1</v>
      </c>
    </row>
    <row r="235" spans="1:27" x14ac:dyDescent="0.25">
      <c r="A235" s="171" t="str">
        <f t="shared" si="49"/>
        <v>Slagteriaffald til andet</v>
      </c>
      <c r="B235" s="171" t="str">
        <f t="shared" si="5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38"/>
        <v>0</v>
      </c>
      <c r="E235" s="171">
        <f t="shared" si="41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16250.349472544192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forbrug'!J$3,'Forbrug af biomasse'!$B$2:$B$425,$F235)</f>
        <v>0</v>
      </c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45"/>
        <v>16250.349472544192</v>
      </c>
      <c r="P235" s="94">
        <f t="shared" si="42"/>
        <v>0</v>
      </c>
      <c r="Q235" s="180">
        <f t="shared" si="46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47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48"/>
        <v>0</v>
      </c>
      <c r="Z235">
        <f t="shared" si="43"/>
        <v>0</v>
      </c>
      <c r="AA235">
        <f t="shared" si="44"/>
        <v>1</v>
      </c>
    </row>
    <row r="236" spans="1:27" x14ac:dyDescent="0.25">
      <c r="A236" s="171" t="str">
        <f t="shared" si="49"/>
        <v>Slagteriaffald til foder</v>
      </c>
      <c r="B236" s="171" t="str">
        <f t="shared" si="5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38"/>
        <v>0</v>
      </c>
      <c r="E236" s="171">
        <f t="shared" si="41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12700.787430000357</v>
      </c>
      <c r="H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3350.4964443791791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forbrug'!J$3,'Forbrug af biomasse'!$B$2:$B$425,$F236)</f>
        <v>0</v>
      </c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si="45"/>
        <v>9350.2909856211772</v>
      </c>
      <c r="P236" s="94">
        <f t="shared" si="42"/>
        <v>0</v>
      </c>
      <c r="Q236" s="180">
        <f t="shared" si="46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47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48"/>
        <v>0</v>
      </c>
      <c r="Z236">
        <f t="shared" si="43"/>
        <v>0</v>
      </c>
      <c r="AA236">
        <f t="shared" si="44"/>
        <v>1</v>
      </c>
    </row>
    <row r="237" spans="1:27" x14ac:dyDescent="0.25">
      <c r="A237" s="171" t="str">
        <f t="shared" si="49"/>
        <v>Spildevandsslam</v>
      </c>
      <c r="B237" s="171" t="str">
        <f t="shared" si="5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38"/>
        <v>0</v>
      </c>
      <c r="E237" s="171">
        <f t="shared" si="41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3339172.5135239428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forbrug'!J$3,'Forbrug af biomasse'!$B$2:$B$425,$F237)</f>
        <v>0</v>
      </c>
      <c r="K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1266377.3160230415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si="45"/>
        <v>2072795.1975009013</v>
      </c>
      <c r="P237" s="94">
        <f t="shared" si="42"/>
        <v>2072795.1975009013</v>
      </c>
      <c r="Q237" s="180">
        <f t="shared" si="46"/>
        <v>1266377.3160230415</v>
      </c>
      <c r="R237">
        <f>IFERROR(VLOOKUP(A237,[1]Energiindhold!$A$2:$C$11,3,FALSE),IFERROR(VLOOKUP(A237,[1]Biogasudbytte!$A$2:$B$18,2,FALSE)*[1]Energiindhold!$C$10,0))*P237</f>
        <v>1.0343455315049248</v>
      </c>
      <c r="S237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1.6662804759735828</v>
      </c>
      <c r="T237">
        <f>IFERROR(VLOOKUP(A237,[1]Biogasudbytte!$A$2:$B$18,2,FALSE)*[1]Energiindhold!$C$10,0)*K237*IFERROR(VLOOKUP(A237,Biogasanlæg!$F$3:$G$8,2,FALSE),1)</f>
        <v>0.63193494446865806</v>
      </c>
      <c r="U237" s="170">
        <f t="shared" si="47"/>
        <v>1.0343455315049246</v>
      </c>
      <c r="V237" s="169">
        <f>P237*IFERROR(VLOOKUP(A237,[1]Tørstofindhold!A$2:B$24,2,FALSE),0)</f>
        <v>124367.71185005407</v>
      </c>
      <c r="W237">
        <f>IF(E237=År1,Q237,SUM(P237,Q237))*IFERROR(VLOOKUP(A237,[1]Tørstofindhold!A$2:B$24,2,FALSE),0)</f>
        <v>200350.35081143657</v>
      </c>
      <c r="X237">
        <f>K237*IFERROR(VLOOKUP(A237,[1]Tørstofindhold!A$2:B$24,2,FALSE),0)</f>
        <v>75982.638961382487</v>
      </c>
      <c r="Y237" s="170">
        <f t="shared" si="48"/>
        <v>124367.71185005408</v>
      </c>
      <c r="Z237">
        <f t="shared" si="43"/>
        <v>0</v>
      </c>
      <c r="AA237">
        <f t="shared" si="44"/>
        <v>1</v>
      </c>
    </row>
    <row r="238" spans="1:27" x14ac:dyDescent="0.25">
      <c r="A238" s="171" t="str">
        <f t="shared" si="49"/>
        <v>Svinegylle</v>
      </c>
      <c r="B238" s="171" t="str">
        <f t="shared" si="5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38"/>
        <v>0</v>
      </c>
      <c r="E238" s="171">
        <f t="shared" si="41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1521006.1015498589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forbrug'!J$3,'Forbrug af biomasse'!$B$2:$B$425,$F238)</f>
        <v>0</v>
      </c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1140754.5761623941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380251.52538746473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45"/>
        <v>0</v>
      </c>
      <c r="P238" s="94">
        <f t="shared" si="42"/>
        <v>0</v>
      </c>
      <c r="Q238" s="180">
        <f t="shared" si="46"/>
        <v>1140754.5761623941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0.49143707141075949</v>
      </c>
      <c r="T238">
        <f>IFERROR(VLOOKUP(A238,[1]Biogasudbytte!$A$2:$B$18,2,FALSE)*[1]Energiindhold!$C$10,0)*K238*IFERROR(VLOOKUP(A238,Biogasanlæg!$F$3:$G$8,2,FALSE),1)</f>
        <v>0.49143707141075949</v>
      </c>
      <c r="U238" s="170">
        <f t="shared" si="47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57037.728808119711</v>
      </c>
      <c r="X238">
        <f>K238*IFERROR(VLOOKUP(A238,[1]Tørstofindhold!A$2:B$24,2,FALSE),0)</f>
        <v>57037.728808119711</v>
      </c>
      <c r="Y238" s="170">
        <f t="shared" si="48"/>
        <v>0</v>
      </c>
      <c r="Z238">
        <f t="shared" si="43"/>
        <v>0</v>
      </c>
      <c r="AA238">
        <f t="shared" si="44"/>
        <v>0</v>
      </c>
    </row>
    <row r="239" spans="1:27" x14ac:dyDescent="0.25">
      <c r="A239" s="171" t="str">
        <f t="shared" si="49"/>
        <v>Svinekød</v>
      </c>
      <c r="B239" s="171" t="str">
        <f t="shared" si="5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38"/>
        <v>1</v>
      </c>
      <c r="E239" s="171">
        <f t="shared" si="41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137924.05255645732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forbrug'!J$3,'Forbrug af biomasse'!$B$2:$B$425,$F239)</f>
        <v>105526.43984954793</v>
      </c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45"/>
        <v>32397.612706909393</v>
      </c>
      <c r="P239" s="94">
        <f t="shared" si="42"/>
        <v>0</v>
      </c>
      <c r="Q239" s="180">
        <f t="shared" si="46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47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48"/>
        <v>0</v>
      </c>
      <c r="Z239">
        <f t="shared" si="43"/>
        <v>0</v>
      </c>
      <c r="AA239">
        <f t="shared" si="44"/>
        <v>1</v>
      </c>
    </row>
    <row r="240" spans="1:27" x14ac:dyDescent="0.25">
      <c r="A240" s="171" t="str">
        <f t="shared" si="49"/>
        <v>Tang</v>
      </c>
      <c r="B240" s="171" t="str">
        <f t="shared" si="5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38"/>
        <v>1</v>
      </c>
      <c r="E240" s="171">
        <f t="shared" si="41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forbrug'!J$3,'Forbrug af biomasse'!$B$2:$B$425,$F240)</f>
        <v>0</v>
      </c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si="45"/>
        <v>0</v>
      </c>
      <c r="P240" s="94">
        <f t="shared" si="42"/>
        <v>0</v>
      </c>
      <c r="Q240" s="180">
        <f t="shared" si="46"/>
        <v>0</v>
      </c>
      <c r="R240">
        <f>IFERROR(VLOOKUP(A240,[1]Energiindhold!$A$2:$C$11,3,FALSE),IFERROR(VLOOKUP(A240,[1]Biogasudbytte!$A$2:$B$18,2,FALSE)*[1]Energiindhold!$C$10,0))*P240</f>
        <v>0</v>
      </c>
      <c r="S240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si="47"/>
        <v>0</v>
      </c>
      <c r="V240" s="169">
        <f>P240*IFERROR(VLOOKUP(A240,[1]Tørstofindhold!A$2:B$24,2,FALSE),0)</f>
        <v>0</v>
      </c>
      <c r="W240">
        <f>IF(E240=År1,Q240,SUM(P240,Q240))*IFERROR(VLOOKUP(A240,[1]Tørstofindhold!A$2:B$24,2,FALSE),0)</f>
        <v>0</v>
      </c>
      <c r="X240">
        <f>K240*IFERROR(VLOOKUP(A240,[1]Tørstofindhold!A$2:B$24,2,FALSE),0)</f>
        <v>0</v>
      </c>
      <c r="Y240" s="170">
        <f t="shared" si="48"/>
        <v>0</v>
      </c>
      <c r="Z240">
        <f t="shared" si="43"/>
        <v>0</v>
      </c>
      <c r="AA240">
        <f t="shared" si="44"/>
        <v>1</v>
      </c>
    </row>
    <row r="241" spans="1:27" x14ac:dyDescent="0.25">
      <c r="A241" s="171" t="str">
        <f t="shared" si="49"/>
        <v>Total til biogas</v>
      </c>
      <c r="B241" s="171" t="str">
        <f t="shared" si="5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38"/>
        <v>0</v>
      </c>
      <c r="E241" s="171">
        <f t="shared" si="41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forbrug'!J$3,'Forbrug af biomasse'!$B$2:$B$425,$F241)</f>
        <v>0</v>
      </c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45"/>
        <v>0</v>
      </c>
      <c r="P241" s="94">
        <f t="shared" si="42"/>
        <v>0</v>
      </c>
      <c r="Q241" s="180">
        <f t="shared" si="46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47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48"/>
        <v>0</v>
      </c>
      <c r="Z241">
        <f t="shared" si="43"/>
        <v>0</v>
      </c>
      <c r="AA241">
        <f t="shared" si="44"/>
        <v>0</v>
      </c>
    </row>
    <row r="242" spans="1:27" x14ac:dyDescent="0.25">
      <c r="A242" s="171" t="str">
        <f t="shared" si="49"/>
        <v>Træ til energi</v>
      </c>
      <c r="B242" s="171" t="str">
        <f t="shared" si="5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38"/>
        <v>0</v>
      </c>
      <c r="E242" s="171">
        <f t="shared" si="41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648970.86702196393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forbrug'!J$3,'Forbrug af biomasse'!$B$2:$B$425,$F242)</f>
        <v>0</v>
      </c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648970.86702196393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45"/>
        <v>0</v>
      </c>
      <c r="P242" s="94">
        <f t="shared" ca="1" si="42"/>
        <v>0</v>
      </c>
      <c r="Q242" s="180">
        <f t="shared" ca="1" si="46"/>
        <v>648970.86702196393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9.4059039757787311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47"/>
        <v>9.4059039757787311</v>
      </c>
      <c r="V242" s="169">
        <f ca="1">P242*IFERROR(VLOOKUP(A242,[1]Tørstofindhold!A$2:B$24,2,FALSE),0)</f>
        <v>0</v>
      </c>
      <c r="W242">
        <f ca="1">IF(E242=År1,Q242,SUM(P242,Q242))*IFERROR(VLOOKUP(A242,[1]Tørstofindhold!A$2:B$24,2,FALSE),0)</f>
        <v>320970.17464794632</v>
      </c>
      <c r="X242">
        <f>K242*IFERROR(VLOOKUP(A242,[1]Tørstofindhold!A$2:B$24,2,FALSE),0)</f>
        <v>0</v>
      </c>
      <c r="Y242" s="170">
        <f t="shared" ca="1" si="48"/>
        <v>320970.17464794632</v>
      </c>
      <c r="Z242">
        <f t="shared" ca="1" si="43"/>
        <v>0</v>
      </c>
      <c r="AA242">
        <f t="shared" ca="1" si="44"/>
        <v>0</v>
      </c>
    </row>
    <row r="243" spans="1:27" x14ac:dyDescent="0.25">
      <c r="A243" s="171" t="str">
        <f t="shared" si="49"/>
        <v>Træmaterialer</v>
      </c>
      <c r="B243" s="171" t="str">
        <f t="shared" si="5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38"/>
        <v>0</v>
      </c>
      <c r="E243" s="171">
        <f t="shared" si="41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178680.65524972283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forbrug'!J$3,'Forbrug af biomasse'!$B$2:$B$425,$F243)</f>
        <v>0</v>
      </c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178680.65524972283</v>
      </c>
      <c r="O243" s="179">
        <f t="shared" ca="1" si="45"/>
        <v>0</v>
      </c>
      <c r="P243" s="94">
        <f t="shared" si="42"/>
        <v>0</v>
      </c>
      <c r="Q243" s="180">
        <f t="shared" si="46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47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48"/>
        <v>0</v>
      </c>
      <c r="Z243">
        <f t="shared" ca="1" si="43"/>
        <v>0</v>
      </c>
      <c r="AA243">
        <f t="shared" ca="1" si="44"/>
        <v>0</v>
      </c>
    </row>
    <row r="244" spans="1:27" x14ac:dyDescent="0.25">
      <c r="A244" s="171" t="str">
        <f t="shared" si="49"/>
        <v>Æg</v>
      </c>
      <c r="B244" s="171" t="str">
        <f t="shared" si="5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38"/>
        <v>1</v>
      </c>
      <c r="E244" s="171">
        <f t="shared" ref="E244:E282" si="51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3268.9483710154163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forbrug'!J$3,'Forbrug af biomasse'!$B$2:$B$425,$F244)</f>
        <v>29532.002020101954</v>
      </c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45"/>
        <v>-26263.053649086538</v>
      </c>
      <c r="P244" s="94">
        <f t="shared" si="42"/>
        <v>0</v>
      </c>
      <c r="Q244" s="180">
        <f t="shared" si="46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47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48"/>
        <v>0</v>
      </c>
      <c r="Z244">
        <f t="shared" si="43"/>
        <v>1</v>
      </c>
      <c r="AA244">
        <f t="shared" si="44"/>
        <v>0</v>
      </c>
    </row>
    <row r="245" spans="1:27" x14ac:dyDescent="0.25">
      <c r="A245" s="171" t="str">
        <f t="shared" si="49"/>
        <v>Bælgsæd</v>
      </c>
      <c r="B245" s="171" t="str">
        <f t="shared" si="5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52">D197</f>
        <v>1</v>
      </c>
      <c r="E245" s="171">
        <f t="shared" si="5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327276.13808680209</v>
      </c>
      <c r="H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13576.138108301233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forbrug'!J$3,'Forbrug af biomasse'!$B$2:$B$425,$F245)</f>
        <v>0</v>
      </c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si="45"/>
        <v>313699.99997850088</v>
      </c>
      <c r="P245" s="94">
        <f t="shared" si="42"/>
        <v>0</v>
      </c>
      <c r="Q245" s="180">
        <f t="shared" si="46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47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48"/>
        <v>0</v>
      </c>
      <c r="Z245">
        <f t="shared" si="43"/>
        <v>0</v>
      </c>
      <c r="AA245">
        <f t="shared" si="44"/>
        <v>1</v>
      </c>
    </row>
    <row r="246" spans="1:27" x14ac:dyDescent="0.25">
      <c r="A246" s="171" t="str">
        <f t="shared" si="49"/>
        <v>Bioaffald</v>
      </c>
      <c r="B246" s="171" t="str">
        <f t="shared" si="5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52"/>
        <v>0</v>
      </c>
      <c r="E246" s="171">
        <f t="shared" si="51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forbrug'!J$3,'Forbrug af biomasse'!$B$2:$B$425,$F246)</f>
        <v>0</v>
      </c>
      <c r="K246" s="94">
        <f ca="1"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0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45"/>
        <v>0</v>
      </c>
      <c r="P246" s="94">
        <f t="shared" ca="1" si="42"/>
        <v>0</v>
      </c>
      <c r="Q246" s="180">
        <f t="shared" ca="1" si="46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 ca="1">IFERROR(VLOOKUP(A246,[1]Biogasudbytte!$A$2:$B$18,2,FALSE)*[1]Energiindhold!$C$10,0)*K246*IFERROR(VLOOKUP(A246,Biogasanlæg!$F$3:$G$8,2,FALSE),1)</f>
        <v>0</v>
      </c>
      <c r="U246" s="170">
        <f t="shared" ca="1" si="47"/>
        <v>3.0758069229876184</v>
      </c>
      <c r="V246" s="169">
        <f ca="1">P246*IFERROR(VLOOKUP(A246,[1]Tørstofindhold!A$2:B$24,2,FALSE),0)</f>
        <v>0</v>
      </c>
      <c r="W246">
        <f ca="1">IF(E246=År1,Q246,SUM(P246,Q246))*IFERROR(VLOOKUP(A246,[1]Tørstofindhold!A$2:B$24,2,FALSE),0)</f>
        <v>48241.9504867301</v>
      </c>
      <c r="X246">
        <f ca="1">K246*IFERROR(VLOOKUP(A246,[1]Tørstofindhold!A$2:B$24,2,FALSE),0)</f>
        <v>0</v>
      </c>
      <c r="Y246" s="170">
        <f t="shared" ca="1" si="48"/>
        <v>48241.9504867301</v>
      </c>
      <c r="Z246">
        <f t="shared" ca="1" si="43"/>
        <v>0</v>
      </c>
      <c r="AA246">
        <f t="shared" ca="1" si="44"/>
        <v>0</v>
      </c>
    </row>
    <row r="247" spans="1:27" x14ac:dyDescent="0.25">
      <c r="A247" s="171" t="str">
        <f t="shared" si="49"/>
        <v>Biogas</v>
      </c>
      <c r="B247" s="171" t="str">
        <f t="shared" si="5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52"/>
        <v>0</v>
      </c>
      <c r="E247" s="171">
        <f t="shared" si="51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28558363.893184837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forbrug'!J$3,'Forbrug af biomasse'!$B$2:$B$425,$F247)</f>
        <v>0</v>
      </c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28558363.893184837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45"/>
        <v>0</v>
      </c>
      <c r="P247" s="94">
        <f t="shared" ca="1" si="42"/>
        <v>0</v>
      </c>
      <c r="Q247" s="180">
        <f t="shared" ca="1" si="46"/>
        <v>28558363.893184837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47"/>
        <v>0</v>
      </c>
      <c r="V247" s="169">
        <f ca="1">P247*IFERROR(VLOOKUP(A247,[1]Tørstofindhold!A$2:B$24,2,FALSE),0)</f>
        <v>0</v>
      </c>
      <c r="W247">
        <f ca="1"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ca="1" si="48"/>
        <v>0</v>
      </c>
      <c r="Z247">
        <f t="shared" ca="1" si="43"/>
        <v>0</v>
      </c>
      <c r="AA247">
        <f t="shared" ca="1" si="44"/>
        <v>0</v>
      </c>
    </row>
    <row r="248" spans="1:27" x14ac:dyDescent="0.25">
      <c r="A248" s="171" t="str">
        <f t="shared" si="49"/>
        <v>Biogasgylle</v>
      </c>
      <c r="B248" s="171" t="str">
        <f t="shared" si="5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52"/>
        <v>0</v>
      </c>
      <c r="E248" s="171">
        <f t="shared" si="51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0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forbrug'!J$3,'Forbrug af biomasse'!$B$2:$B$425,$F248)</f>
        <v>0</v>
      </c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 t="e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#DIV/0!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 t="e">
        <f t="shared" ca="1" si="45"/>
        <v>#DIV/0!</v>
      </c>
      <c r="P248" s="94">
        <f t="shared" si="42"/>
        <v>0</v>
      </c>
      <c r="Q248" s="180">
        <f t="shared" si="46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47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48"/>
        <v>0</v>
      </c>
      <c r="Z248" t="e">
        <f t="shared" ca="1" si="43"/>
        <v>#DIV/0!</v>
      </c>
      <c r="AA248" t="e">
        <f t="shared" ca="1" si="44"/>
        <v>#DIV/0!</v>
      </c>
    </row>
    <row r="249" spans="1:27" x14ac:dyDescent="0.25">
      <c r="A249" s="171" t="str">
        <f t="shared" si="49"/>
        <v>Brun saft</v>
      </c>
      <c r="B249" s="171" t="str">
        <f t="shared" si="5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52"/>
        <v>0</v>
      </c>
      <c r="E249" s="171">
        <f t="shared" si="51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358631.63054471865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forbrug'!J$3,'Forbrug af biomasse'!$B$2:$B$425,$F249)</f>
        <v>0</v>
      </c>
      <c r="K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322768.46749024681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si="45"/>
        <v>35863.163054471835</v>
      </c>
      <c r="P249" s="94">
        <f t="shared" si="42"/>
        <v>35863.163054471835</v>
      </c>
      <c r="Q249" s="180">
        <f t="shared" si="46"/>
        <v>322768.46749024681</v>
      </c>
      <c r="R249">
        <f>IFERROR(VLOOKUP(A249,[1]Energiindhold!$A$2:$C$11,3,FALSE),IFERROR(VLOOKUP(A249,[1]Biogasudbytte!$A$2:$B$18,2,FALSE)*[1]Energiindhold!$C$10,0))*P249</f>
        <v>2.0371211816462093E-2</v>
      </c>
      <c r="S249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0.20371211816462109</v>
      </c>
      <c r="T249">
        <f>IFERROR(VLOOKUP(A249,[1]Biogasudbytte!$A$2:$B$18,2,FALSE)*[1]Energiindhold!$C$10,0)*K249*IFERROR(VLOOKUP(A249,Biogasanlæg!$F$3:$G$8,2,FALSE),1)</f>
        <v>0.183340906348159</v>
      </c>
      <c r="U249" s="170">
        <f t="shared" si="47"/>
        <v>2.0371211816462093E-2</v>
      </c>
      <c r="V249" s="169">
        <f>P249*IFERROR(VLOOKUP(A249,[1]Tørstofindhold!A$2:B$24,2,FALSE),0)</f>
        <v>1533.6303407710675</v>
      </c>
      <c r="W249">
        <f>IF(E249=År1,Q249,SUM(P249,Q249))*IFERROR(VLOOKUP(A249,[1]Tørstofindhold!A$2:B$24,2,FALSE),0)</f>
        <v>15336.303407710688</v>
      </c>
      <c r="X249">
        <f>K249*IFERROR(VLOOKUP(A249,[1]Tørstofindhold!A$2:B$24,2,FALSE),0)</f>
        <v>13802.67306693962</v>
      </c>
      <c r="Y249" s="170">
        <f t="shared" si="48"/>
        <v>1533.6303407710675</v>
      </c>
      <c r="Z249">
        <f t="shared" si="43"/>
        <v>0</v>
      </c>
      <c r="AA249">
        <f t="shared" si="44"/>
        <v>1</v>
      </c>
    </row>
    <row r="250" spans="1:27" x14ac:dyDescent="0.25">
      <c r="A250" s="171" t="str">
        <f t="shared" si="49"/>
        <v>Dybstrøelse</v>
      </c>
      <c r="B250" s="171" t="str">
        <f t="shared" si="5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52"/>
        <v>0</v>
      </c>
      <c r="E250" s="171">
        <f t="shared" si="51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81826.264655313833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forbrug'!J$3,'Forbrug af biomasse'!$B$2:$B$425,$F250)</f>
        <v>0</v>
      </c>
      <c r="K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73643.638189782447</v>
      </c>
      <c r="L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3097.7085905225945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si="45"/>
        <v>5084.9178750087885</v>
      </c>
      <c r="P250" s="94">
        <f t="shared" si="42"/>
        <v>5084.9178750087885</v>
      </c>
      <c r="Q250" s="180">
        <f t="shared" si="46"/>
        <v>73643.638189782447</v>
      </c>
      <c r="R250">
        <f>IFERROR(VLOOKUP(A250,[1]Energiindhold!$A$2:$C$11,3,FALSE),IFERROR(VLOOKUP(A250,[1]Biogasudbytte!$A$2:$B$18,2,FALSE)*[1]Energiindhold!$C$10,0))*P250</f>
        <v>1.095291310276893E-2</v>
      </c>
      <c r="S250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0.16958130976356034</v>
      </c>
      <c r="T250">
        <f>IFERROR(VLOOKUP(A250,[1]Biogasudbytte!$A$2:$B$18,2,FALSE)*[1]Energiindhold!$C$10,0)*K250*IFERROR(VLOOKUP(A250,Biogasanlæg!$F$3:$G$8,2,FALSE),1)</f>
        <v>0.1586283966607914</v>
      </c>
      <c r="U250" s="170">
        <f t="shared" si="47"/>
        <v>1.0952913102768941E-2</v>
      </c>
      <c r="V250" s="169">
        <f>P250*IFERROR(VLOOKUP(A250,[1]Tørstofindhold!A$2:B$24,2,FALSE),0)</f>
        <v>1525.4753625026365</v>
      </c>
      <c r="W250">
        <f>IF(E250=År1,Q250,SUM(P250,Q250))*IFERROR(VLOOKUP(A250,[1]Tørstofindhold!A$2:B$24,2,FALSE),0)</f>
        <v>23618.566819437368</v>
      </c>
      <c r="X250">
        <f>K250*IFERROR(VLOOKUP(A250,[1]Tørstofindhold!A$2:B$24,2,FALSE),0)</f>
        <v>22093.091456934733</v>
      </c>
      <c r="Y250" s="170">
        <f t="shared" si="48"/>
        <v>1525.4753625026351</v>
      </c>
      <c r="Z250">
        <f t="shared" si="43"/>
        <v>0</v>
      </c>
      <c r="AA250">
        <f t="shared" si="44"/>
        <v>1</v>
      </c>
    </row>
    <row r="251" spans="1:27" x14ac:dyDescent="0.25">
      <c r="A251" s="171" t="str">
        <f t="shared" si="49"/>
        <v>Fiberfraktion</v>
      </c>
      <c r="B251" s="171" t="str">
        <f t="shared" si="5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52"/>
        <v>0</v>
      </c>
      <c r="E251" s="171">
        <f t="shared" si="51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252597.93847994076</v>
      </c>
      <c r="H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252429.88369052325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forbrug'!J$3,'Forbrug af biomasse'!$B$2:$B$425,$F251)</f>
        <v>0</v>
      </c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si="45"/>
        <v>168.05478941751062</v>
      </c>
      <c r="P251" s="94">
        <f t="shared" si="42"/>
        <v>0</v>
      </c>
      <c r="Q251" s="180">
        <f t="shared" si="46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47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48"/>
        <v>0</v>
      </c>
      <c r="Z251">
        <f t="shared" si="43"/>
        <v>0</v>
      </c>
      <c r="AA251">
        <f t="shared" si="44"/>
        <v>1</v>
      </c>
    </row>
    <row r="252" spans="1:27" x14ac:dyDescent="0.25">
      <c r="A252" s="171" t="str">
        <f t="shared" si="49"/>
        <v>Fjerkrægylle</v>
      </c>
      <c r="B252" s="171" t="str">
        <f t="shared" si="5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52"/>
        <v>0</v>
      </c>
      <c r="E252" s="171">
        <f t="shared" si="51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471.55151143904124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forbrug'!J$3,'Forbrug af biomasse'!$B$2:$B$425,$F252)</f>
        <v>0</v>
      </c>
      <c r="K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424.39636029513713</v>
      </c>
      <c r="L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47.155151143904114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si="45"/>
        <v>0</v>
      </c>
      <c r="P252" s="94">
        <f t="shared" si="42"/>
        <v>0</v>
      </c>
      <c r="Q252" s="180">
        <f t="shared" si="46"/>
        <v>424.39636029513713</v>
      </c>
      <c r="R252">
        <f>IFERROR(VLOOKUP(A252,[1]Energiindhold!$A$2:$C$11,3,FALSE),IFERROR(VLOOKUP(A252,[1]Biogasudbytte!$A$2:$B$18,2,FALSE)*[1]Energiindhold!$C$10,0))*P252</f>
        <v>0</v>
      </c>
      <c r="S252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1.9958936428320006E-4</v>
      </c>
      <c r="T252">
        <f>IFERROR(VLOOKUP(A252,[1]Biogasudbytte!$A$2:$B$18,2,FALSE)*[1]Energiindhold!$C$10,0)*K252*IFERROR(VLOOKUP(A252,Biogasanlæg!$F$3:$G$8,2,FALSE),1)</f>
        <v>1.9958936428320006E-4</v>
      </c>
      <c r="U252" s="170">
        <f t="shared" si="47"/>
        <v>0</v>
      </c>
      <c r="V252" s="169">
        <f>P252*IFERROR(VLOOKUP(A252,[1]Tørstofindhold!A$2:B$24,2,FALSE),0)</f>
        <v>0</v>
      </c>
      <c r="W252">
        <f>IF(E252=År1,Q252,SUM(P252,Q252))*IFERROR(VLOOKUP(A252,[1]Tørstofindhold!A$2:B$24,2,FALSE),0)</f>
        <v>26.736970698593641</v>
      </c>
      <c r="X252">
        <f>K252*IFERROR(VLOOKUP(A252,[1]Tørstofindhold!A$2:B$24,2,FALSE),0)</f>
        <v>26.736970698593641</v>
      </c>
      <c r="Y252" s="170">
        <f t="shared" si="48"/>
        <v>0</v>
      </c>
      <c r="Z252">
        <f t="shared" si="43"/>
        <v>0</v>
      </c>
      <c r="AA252">
        <f t="shared" si="44"/>
        <v>0</v>
      </c>
    </row>
    <row r="253" spans="1:27" x14ac:dyDescent="0.25">
      <c r="A253" s="171" t="str">
        <f t="shared" si="49"/>
        <v>Fjerkrækød</v>
      </c>
      <c r="B253" s="171" t="str">
        <f t="shared" si="5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52"/>
        <v>1</v>
      </c>
      <c r="E253" s="171">
        <f t="shared" si="51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503.71416194271836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forbrug'!J$3,'Forbrug af biomasse'!$B$2:$B$425,$F253)</f>
        <v>31993.002188443785</v>
      </c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45"/>
        <v>-31489.288026501068</v>
      </c>
      <c r="P253" s="94">
        <f t="shared" si="42"/>
        <v>0</v>
      </c>
      <c r="Q253" s="180">
        <f t="shared" si="46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47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48"/>
        <v>0</v>
      </c>
      <c r="Z253">
        <f t="shared" si="43"/>
        <v>1</v>
      </c>
      <c r="AA253">
        <f t="shared" si="44"/>
        <v>0</v>
      </c>
    </row>
    <row r="254" spans="1:27" x14ac:dyDescent="0.25">
      <c r="A254" s="171" t="str">
        <f t="shared" si="49"/>
        <v>Frø</v>
      </c>
      <c r="B254" s="171" t="str">
        <f t="shared" si="5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52"/>
        <v>0</v>
      </c>
      <c r="E254" s="171">
        <f t="shared" si="5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0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forbrug'!J$3,'Forbrug af biomasse'!$B$2:$B$425,$F254)</f>
        <v>0</v>
      </c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45"/>
        <v>0</v>
      </c>
      <c r="P254" s="94">
        <f t="shared" si="42"/>
        <v>0</v>
      </c>
      <c r="Q254" s="180">
        <f t="shared" si="46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47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48"/>
        <v>0</v>
      </c>
      <c r="Z254">
        <f t="shared" si="43"/>
        <v>0</v>
      </c>
      <c r="AA254">
        <f t="shared" si="44"/>
        <v>0</v>
      </c>
    </row>
    <row r="255" spans="1:27" x14ac:dyDescent="0.25">
      <c r="A255" s="171" t="str">
        <f t="shared" si="49"/>
        <v>Frugt</v>
      </c>
      <c r="B255" s="171" t="str">
        <f t="shared" si="5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52"/>
        <v>1</v>
      </c>
      <c r="E255" s="171">
        <f t="shared" si="5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401656.76816227223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forbrug'!J$3,'Forbrug af biomasse'!$B$2:$B$425,$F255)</f>
        <v>233795.01599247381</v>
      </c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45"/>
        <v>167861.75216979842</v>
      </c>
      <c r="P255" s="94">
        <f t="shared" si="42"/>
        <v>0</v>
      </c>
      <c r="Q255" s="180">
        <f t="shared" si="46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47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48"/>
        <v>0</v>
      </c>
      <c r="Z255">
        <f t="shared" si="43"/>
        <v>0</v>
      </c>
      <c r="AA255">
        <f t="shared" si="44"/>
        <v>1</v>
      </c>
    </row>
    <row r="256" spans="1:27" x14ac:dyDescent="0.25">
      <c r="A256" s="171" t="str">
        <f t="shared" si="49"/>
        <v>Glycerin</v>
      </c>
      <c r="B256" s="171" t="str">
        <f t="shared" si="5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52"/>
        <v>0</v>
      </c>
      <c r="E256" s="171">
        <f t="shared" si="5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forbrug'!J$3,'Forbrug af biomasse'!$B$2:$B$425,$F256)</f>
        <v>0</v>
      </c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0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45"/>
        <v>0</v>
      </c>
      <c r="P256" s="94">
        <f t="shared" si="42"/>
        <v>0</v>
      </c>
      <c r="Q256" s="180">
        <f t="shared" si="46"/>
        <v>0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</v>
      </c>
      <c r="T256">
        <f>IFERROR(VLOOKUP(A256,[1]Biogasudbytte!$A$2:$B$18,2,FALSE)*[1]Energiindhold!$C$10,0)*K256*IFERROR(VLOOKUP(A256,Biogasanlæg!$F$3:$G$8,2,FALSE),1)</f>
        <v>0</v>
      </c>
      <c r="U256" s="170">
        <f t="shared" si="47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0</v>
      </c>
      <c r="X256">
        <f>K256*IFERROR(VLOOKUP(A256,[1]Tørstofindhold!A$2:B$24,2,FALSE),0)</f>
        <v>0</v>
      </c>
      <c r="Y256" s="170">
        <f t="shared" si="48"/>
        <v>0</v>
      </c>
      <c r="Z256">
        <f t="shared" si="43"/>
        <v>0</v>
      </c>
      <c r="AA256">
        <f t="shared" si="44"/>
        <v>0</v>
      </c>
    </row>
    <row r="257" spans="1:27" x14ac:dyDescent="0.25">
      <c r="A257" s="171" t="str">
        <f t="shared" si="49"/>
        <v>Græs</v>
      </c>
      <c r="B257" s="171" t="str">
        <f t="shared" si="5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52"/>
        <v>0</v>
      </c>
      <c r="E257" s="171">
        <f t="shared" si="5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8658940.9474013411</v>
      </c>
      <c r="H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254116.73925064973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forbrug'!J$3,'Forbrug af biomasse'!$B$2:$B$425,$F257)</f>
        <v>0</v>
      </c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>SUMIFS('Forbrug af biomasse'!E:E,'Forbrug af biomasse'!C:C,'Resultat-Produktion &amp; forbrug'!$A257,'Forbrug af biomasse'!D:D,'Resultat-Produktion &amp; forbrug'!$E257,'Forbrug af biomasse'!G:G,1,'Forbrug af biomasse'!B:B,$F257)</f>
        <v>733919.99628634495</v>
      </c>
      <c r="O257" s="179">
        <f t="shared" si="45"/>
        <v>7670904.2118643466</v>
      </c>
      <c r="P257" s="94">
        <f t="shared" si="42"/>
        <v>7670904.2118643466</v>
      </c>
      <c r="Q257" s="180">
        <f t="shared" si="46"/>
        <v>0</v>
      </c>
      <c r="R257">
        <f>IFERROR(VLOOKUP(A257,[1]Energiindhold!$A$2:$C$11,3,FALSE),IFERROR(VLOOKUP(A257,[1]Biogasudbytte!$A$2:$B$18,2,FALSE)*[1]Energiindhold!$C$10,0))*P257</f>
        <v>14.113504886803916</v>
      </c>
      <c r="S257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14.113504886803916</v>
      </c>
      <c r="T257">
        <f>IFERROR(VLOOKUP(A257,[1]Biogasudbytte!$A$2:$B$18,2,FALSE)*[1]Energiindhold!$C$10,0)*K257*IFERROR(VLOOKUP(A257,Biogasanlæg!$F$3:$G$8,2,FALSE),1)</f>
        <v>0</v>
      </c>
      <c r="U257" s="170">
        <f t="shared" si="47"/>
        <v>14.113504886803916</v>
      </c>
      <c r="V257" s="169">
        <f>P257*IFERROR(VLOOKUP(A257,[1]Tørstofindhold!A$2:B$24,2,FALSE),0)</f>
        <v>2147853.1793220174</v>
      </c>
      <c r="W257">
        <f>IF(E257=År1,Q257,SUM(P257,Q257))*IFERROR(VLOOKUP(A257,[1]Tørstofindhold!A$2:B$24,2,FALSE),0)</f>
        <v>2147853.1793220174</v>
      </c>
      <c r="X257">
        <f>K257*IFERROR(VLOOKUP(A257,[1]Tørstofindhold!A$2:B$24,2,FALSE),0)</f>
        <v>0</v>
      </c>
      <c r="Y257" s="170">
        <f t="shared" si="48"/>
        <v>2147853.1793220174</v>
      </c>
      <c r="Z257">
        <f t="shared" si="43"/>
        <v>0</v>
      </c>
      <c r="AA257">
        <f t="shared" si="44"/>
        <v>1</v>
      </c>
    </row>
    <row r="258" spans="1:27" x14ac:dyDescent="0.25">
      <c r="A258" s="171" t="str">
        <f t="shared" si="49"/>
        <v>Græsprotein</v>
      </c>
      <c r="B258" s="171" t="str">
        <f t="shared" si="5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52"/>
        <v>0</v>
      </c>
      <c r="E258" s="171">
        <f t="shared" si="51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122690.4272616855</v>
      </c>
      <c r="H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122690.4272616855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forbrug'!J$3,'Forbrug af biomasse'!$B$2:$B$425,$F258)</f>
        <v>0</v>
      </c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si="45"/>
        <v>0</v>
      </c>
      <c r="P258" s="94">
        <f t="shared" si="42"/>
        <v>0</v>
      </c>
      <c r="Q258" s="180">
        <f t="shared" si="46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47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48"/>
        <v>0</v>
      </c>
      <c r="Z258">
        <f t="shared" si="43"/>
        <v>0</v>
      </c>
      <c r="AA258">
        <f t="shared" si="44"/>
        <v>0</v>
      </c>
    </row>
    <row r="259" spans="1:27" x14ac:dyDescent="0.25">
      <c r="A259" s="171" t="str">
        <f t="shared" si="49"/>
        <v>Grøntsager</v>
      </c>
      <c r="B259" s="171" t="str">
        <f t="shared" si="5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52"/>
        <v>1</v>
      </c>
      <c r="E259" s="171">
        <f t="shared" si="5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505594.77728899289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forbrug'!J$3,'Forbrug af biomasse'!$B$2:$B$425,$F259)</f>
        <v>244869.51675001203</v>
      </c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45"/>
        <v>260725.26053898086</v>
      </c>
      <c r="P259" s="94">
        <f t="shared" si="42"/>
        <v>0</v>
      </c>
      <c r="Q259" s="180">
        <f t="shared" si="46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47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48"/>
        <v>0</v>
      </c>
      <c r="Z259">
        <f t="shared" si="43"/>
        <v>0</v>
      </c>
      <c r="AA259">
        <f t="shared" si="44"/>
        <v>1</v>
      </c>
    </row>
    <row r="260" spans="1:27" x14ac:dyDescent="0.25">
      <c r="A260" s="171" t="str">
        <f t="shared" si="49"/>
        <v>Halm</v>
      </c>
      <c r="B260" s="171" t="str">
        <f t="shared" si="5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52"/>
        <v>0</v>
      </c>
      <c r="E260" s="171">
        <f t="shared" si="51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258124.70701036416</v>
      </c>
      <c r="H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9879.5604259102856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9665.8931514547894</v>
      </c>
      <c r="J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forbrug'!J$3,'Forbrug af biomasse'!$B$2:$B$425,$F260)</f>
        <v>0</v>
      </c>
      <c r="K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0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238579.25343299913</v>
      </c>
      <c r="N260" s="94">
        <f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si="45"/>
        <v>0</v>
      </c>
      <c r="P260" s="94">
        <f t="shared" ref="P260:P275" si="5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si="46"/>
        <v>238579.25343299913</v>
      </c>
      <c r="R260">
        <f>IFERROR(VLOOKUP(A260,[1]Energiindhold!$A$2:$C$11,3,FALSE),IFERROR(VLOOKUP(A260,[1]Biogasudbytte!$A$2:$B$18,2,FALSE)*[1]Energiindhold!$C$10,0))*P260</f>
        <v>0</v>
      </c>
      <c r="S260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2.4659089600187367</v>
      </c>
      <c r="T260">
        <f>IFERROR(VLOOKUP(A260,[1]Biogasudbytte!$A$2:$B$18,2,FALSE)*[1]Energiindhold!$C$10,0)*K260*IFERROR(VLOOKUP(A260,Biogasanlæg!$F$3:$G$8,2,FALSE),1)</f>
        <v>0</v>
      </c>
      <c r="U260" s="170">
        <f t="shared" si="47"/>
        <v>2.4659089600187367</v>
      </c>
      <c r="V260" s="169">
        <f>P260*IFERROR(VLOOKUP(A260,[1]Tørstofindhold!A$2:B$24,2,FALSE),0)</f>
        <v>0</v>
      </c>
      <c r="W260">
        <f>IF(E260=År1,Q260,SUM(P260,Q260))*IFERROR(VLOOKUP(A260,[1]Tørstofindhold!A$2:B$24,2,FALSE),0)</f>
        <v>202792.36541804924</v>
      </c>
      <c r="X260">
        <f>K260*IFERROR(VLOOKUP(A260,[1]Tørstofindhold!A$2:B$24,2,FALSE),0)</f>
        <v>0</v>
      </c>
      <c r="Y260" s="170">
        <f t="shared" si="48"/>
        <v>202792.36541804924</v>
      </c>
      <c r="Z260">
        <f t="shared" ref="Z260:Z275" si="54">IF(SUMIFS($O$4:$O$291,$A$4:$A$291,A260,$E$4:$E$291,E260)&lt;0,1,0)</f>
        <v>0</v>
      </c>
      <c r="AA260">
        <f t="shared" ref="AA260:AA275" si="55">IF(SUMIFS($O$4:$O$291,$A$4:$A$291,A260,$E$4:$E$291,E260)&gt;0,1,0)</f>
        <v>0</v>
      </c>
    </row>
    <row r="261" spans="1:27" x14ac:dyDescent="0.25">
      <c r="A261" s="171" t="str">
        <f t="shared" si="49"/>
        <v>Have/parkaffald</v>
      </c>
      <c r="B261" s="171" t="str">
        <f t="shared" si="5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52"/>
        <v>0</v>
      </c>
      <c r="E261" s="171">
        <f t="shared" si="5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forbrug'!J$3,'Forbrug af biomasse'!$B$2:$B$425,$F261)</f>
        <v>0</v>
      </c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0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457927.02496060182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45"/>
        <v>0</v>
      </c>
      <c r="P261" s="94">
        <f t="shared" si="53"/>
        <v>0</v>
      </c>
      <c r="Q261" s="180">
        <f t="shared" si="46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8.1750142319727654</v>
      </c>
      <c r="T261">
        <f>IFERROR(VLOOKUP(A261,[1]Biogasudbytte!$A$2:$B$18,2,FALSE)*[1]Energiindhold!$C$10,0)*K261*IFERROR(VLOOKUP(A261,Biogasanlæg!$F$3:$G$8,2,FALSE),1)</f>
        <v>0</v>
      </c>
      <c r="U261" s="170">
        <f t="shared" si="47"/>
        <v>8.1750142319727654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0</v>
      </c>
      <c r="Y261" s="170">
        <f t="shared" si="48"/>
        <v>137378.10748818054</v>
      </c>
      <c r="Z261">
        <f t="shared" si="54"/>
        <v>0</v>
      </c>
      <c r="AA261">
        <f t="shared" si="55"/>
        <v>0</v>
      </c>
    </row>
    <row r="262" spans="1:27" x14ac:dyDescent="0.25">
      <c r="A262" s="171" t="str">
        <f t="shared" si="49"/>
        <v>Import af foder</v>
      </c>
      <c r="B262" s="171" t="str">
        <f t="shared" si="5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52"/>
        <v>1</v>
      </c>
      <c r="E262" s="171">
        <f t="shared" si="5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0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forbrug'!J$3,'Forbrug af biomasse'!$B$2:$B$425,$F262)</f>
        <v>0</v>
      </c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si="45"/>
        <v>0</v>
      </c>
      <c r="P262" s="94">
        <f t="shared" si="53"/>
        <v>0</v>
      </c>
      <c r="Q262" s="180">
        <f t="shared" si="46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47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48"/>
        <v>0</v>
      </c>
      <c r="Z262">
        <f t="shared" si="54"/>
        <v>0</v>
      </c>
      <c r="AA262">
        <f t="shared" si="55"/>
        <v>0</v>
      </c>
    </row>
    <row r="263" spans="1:27" x14ac:dyDescent="0.25">
      <c r="A263" s="171" t="str">
        <f t="shared" si="49"/>
        <v>Industriaffald</v>
      </c>
      <c r="B263" s="171" t="str">
        <f t="shared" si="5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52"/>
        <v>0</v>
      </c>
      <c r="E263" s="171">
        <f t="shared" si="51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168748.58777288889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forbrug'!J$3,'Forbrug af biomasse'!$B$2:$B$425,$F263)</f>
        <v>0</v>
      </c>
      <c r="K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0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si="45"/>
        <v>168748.58777288889</v>
      </c>
      <c r="P263" s="94">
        <f t="shared" si="53"/>
        <v>168748.58777288889</v>
      </c>
      <c r="Q263" s="180">
        <f t="shared" si="46"/>
        <v>0</v>
      </c>
      <c r="R263">
        <f>IFERROR(VLOOKUP(A263,[1]Energiindhold!$A$2:$C$11,3,FALSE),IFERROR(VLOOKUP(A263,[1]Biogasudbytte!$A$2:$B$18,2,FALSE)*[1]Energiindhold!$C$10,0))*P263</f>
        <v>0.73120956813633808</v>
      </c>
      <c r="S263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0.73120956813633808</v>
      </c>
      <c r="T263">
        <f>IFERROR(VLOOKUP(A263,[1]Biogasudbytte!$A$2:$B$18,2,FALSE)*[1]Energiindhold!$C$10,0)*K263*IFERROR(VLOOKUP(A263,Biogasanlæg!$F$3:$G$8,2,FALSE),1)</f>
        <v>0</v>
      </c>
      <c r="U263" s="170">
        <f t="shared" si="47"/>
        <v>0.73120956813633808</v>
      </c>
      <c r="V263" s="169">
        <f>P263*IFERROR(VLOOKUP(A263,[1]Tørstofindhold!A$2:B$24,2,FALSE),0)</f>
        <v>70874.406864613324</v>
      </c>
      <c r="W263">
        <f>IF(E263=År1,Q263,SUM(P263,Q263))*IFERROR(VLOOKUP(A263,[1]Tørstofindhold!A$2:B$24,2,FALSE),0)</f>
        <v>70874.406864613324</v>
      </c>
      <c r="X263">
        <f>K263*IFERROR(VLOOKUP(A263,[1]Tørstofindhold!A$2:B$24,2,FALSE),0)</f>
        <v>0</v>
      </c>
      <c r="Y263" s="170">
        <f t="shared" si="48"/>
        <v>70874.406864613324</v>
      </c>
      <c r="Z263">
        <f t="shared" si="54"/>
        <v>0</v>
      </c>
      <c r="AA263">
        <f t="shared" si="55"/>
        <v>1</v>
      </c>
    </row>
    <row r="264" spans="1:27" x14ac:dyDescent="0.25">
      <c r="A264" s="171" t="str">
        <f t="shared" si="49"/>
        <v>Juletræer</v>
      </c>
      <c r="B264" s="171" t="str">
        <f t="shared" si="5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52"/>
        <v>0</v>
      </c>
      <c r="E264" s="171">
        <f t="shared" si="5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128654.0299653736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forbrug'!J$3,'Forbrug af biomasse'!$B$2:$B$425,$F264)</f>
        <v>0</v>
      </c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45"/>
        <v>128654.0299653736</v>
      </c>
      <c r="P264" s="94">
        <f t="shared" si="53"/>
        <v>0</v>
      </c>
      <c r="Q264" s="180">
        <f t="shared" si="46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47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48"/>
        <v>0</v>
      </c>
      <c r="Z264">
        <f t="shared" si="54"/>
        <v>0</v>
      </c>
      <c r="AA264">
        <f t="shared" si="55"/>
        <v>1</v>
      </c>
    </row>
    <row r="265" spans="1:27" x14ac:dyDescent="0.25">
      <c r="A265" s="171" t="str">
        <f t="shared" si="49"/>
        <v>Kartofler</v>
      </c>
      <c r="B265" s="171" t="str">
        <f t="shared" si="5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52"/>
        <v>1</v>
      </c>
      <c r="E265" s="171">
        <f t="shared" si="5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315405.11591647175</v>
      </c>
      <c r="H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forbrug'!J$3,'Forbrug af biomasse'!$B$2:$B$425,$F265)</f>
        <v>111975.50765955324</v>
      </c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si="45"/>
        <v>203429.60825691849</v>
      </c>
      <c r="P265" s="94">
        <f t="shared" si="53"/>
        <v>0</v>
      </c>
      <c r="Q265" s="180">
        <f t="shared" si="46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47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48"/>
        <v>0</v>
      </c>
      <c r="Z265">
        <f t="shared" si="54"/>
        <v>0</v>
      </c>
      <c r="AA265">
        <f t="shared" si="55"/>
        <v>1</v>
      </c>
    </row>
    <row r="266" spans="1:27" x14ac:dyDescent="0.25">
      <c r="A266" s="171" t="str">
        <f t="shared" si="49"/>
        <v>Korn</v>
      </c>
      <c r="B266" s="171" t="str">
        <f t="shared" si="5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52"/>
        <v>1</v>
      </c>
      <c r="E266" s="171">
        <f t="shared" si="5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139725.28295175743</v>
      </c>
      <c r="H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0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forbrug'!J$3,'Forbrug af biomasse'!$B$2:$B$425,$F266)</f>
        <v>268249.01834925939</v>
      </c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si="45"/>
        <v>-128523.73539750197</v>
      </c>
      <c r="P266" s="94">
        <f t="shared" si="53"/>
        <v>0</v>
      </c>
      <c r="Q266" s="180">
        <f t="shared" si="46"/>
        <v>0</v>
      </c>
      <c r="R266">
        <f>IFERROR(VLOOKUP(A266,[1]Energiindhold!$A$2:$C$11,3,FALSE),IFERROR(VLOOKUP(A266,[1]Biogasudbytte!$A$2:$B$18,2,FALSE)*[1]Energiindhold!$C$10,0))*P266</f>
        <v>0</v>
      </c>
      <c r="S266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0</v>
      </c>
      <c r="T266">
        <f>IFERROR(VLOOKUP(A266,[1]Biogasudbytte!$A$2:$B$18,2,FALSE)*[1]Energiindhold!$C$10,0)*K266*IFERROR(VLOOKUP(A266,Biogasanlæg!$F$3:$G$8,2,FALSE),1)</f>
        <v>0</v>
      </c>
      <c r="U266" s="170">
        <f t="shared" si="47"/>
        <v>0</v>
      </c>
      <c r="V266" s="169">
        <f>P266*IFERROR(VLOOKUP(A266,[1]Tørstofindhold!A$2:B$24,2,FALSE),0)</f>
        <v>0</v>
      </c>
      <c r="W266">
        <f>IF(E266=År1,Q266,SUM(P266,Q266))*IFERROR(VLOOKUP(A266,[1]Tørstofindhold!A$2:B$24,2,FALSE),0)</f>
        <v>0</v>
      </c>
      <c r="X266">
        <f>K266*IFERROR(VLOOKUP(A266,[1]Tørstofindhold!A$2:B$24,2,FALSE),0)</f>
        <v>0</v>
      </c>
      <c r="Y266" s="170">
        <f t="shared" si="48"/>
        <v>0</v>
      </c>
      <c r="Z266">
        <f t="shared" si="54"/>
        <v>1</v>
      </c>
      <c r="AA266">
        <f t="shared" si="55"/>
        <v>0</v>
      </c>
    </row>
    <row r="267" spans="1:27" x14ac:dyDescent="0.25">
      <c r="A267" s="171" t="str">
        <f t="shared" si="49"/>
        <v>Kunstgødning</v>
      </c>
      <c r="B267" s="171" t="str">
        <f t="shared" si="5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52"/>
        <v>0</v>
      </c>
      <c r="E267" s="171">
        <f t="shared" si="5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forbrug'!J$3,'Forbrug af biomasse'!$B$2:$B$425,$F267)</f>
        <v>0</v>
      </c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 t="e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#DIV/0!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 t="e">
        <f t="shared" ca="1" si="45"/>
        <v>#DIV/0!</v>
      </c>
      <c r="P267" s="94">
        <f t="shared" si="53"/>
        <v>0</v>
      </c>
      <c r="Q267" s="180">
        <f t="shared" si="46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47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48"/>
        <v>0</v>
      </c>
      <c r="Z267" t="e">
        <f t="shared" ca="1" si="54"/>
        <v>#DIV/0!</v>
      </c>
      <c r="AA267" t="e">
        <f t="shared" ca="1" si="55"/>
        <v>#DIV/0!</v>
      </c>
    </row>
    <row r="268" spans="1:27" x14ac:dyDescent="0.25">
      <c r="A268" s="171" t="str">
        <f t="shared" si="49"/>
        <v>Kvæggylle</v>
      </c>
      <c r="B268" s="171" t="str">
        <f t="shared" si="5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52"/>
        <v>0</v>
      </c>
      <c r="E268" s="171">
        <f t="shared" si="51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48859.701831397157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forbrug'!J$3,'Forbrug af biomasse'!$B$2:$B$425,$F268)</f>
        <v>0</v>
      </c>
      <c r="K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43973.731648257439</v>
      </c>
      <c r="L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4885.9701831397142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si="45"/>
        <v>0</v>
      </c>
      <c r="P268" s="94">
        <f t="shared" si="53"/>
        <v>0</v>
      </c>
      <c r="Q268" s="180">
        <f t="shared" si="46"/>
        <v>43973.731648257439</v>
      </c>
      <c r="R268">
        <f>IFERROR(VLOOKUP(A268,[1]Energiindhold!$A$2:$C$11,3,FALSE),IFERROR(VLOOKUP(A268,[1]Biogasudbytte!$A$2:$B$18,2,FALSE)*[1]Energiindhold!$C$10,0))*P268</f>
        <v>0</v>
      </c>
      <c r="S268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2.2259063223031436E-2</v>
      </c>
      <c r="T268">
        <f>IFERROR(VLOOKUP(A268,[1]Biogasudbytte!$A$2:$B$18,2,FALSE)*[1]Energiindhold!$C$10,0)*K268*IFERROR(VLOOKUP(A268,Biogasanlæg!$F$3:$G$8,2,FALSE),1)</f>
        <v>2.2259063223031436E-2</v>
      </c>
      <c r="U268" s="170">
        <f t="shared" si="47"/>
        <v>0</v>
      </c>
      <c r="V268" s="169">
        <f>P268*IFERROR(VLOOKUP(A268,[1]Tørstofindhold!A$2:B$24,2,FALSE),0)</f>
        <v>0</v>
      </c>
      <c r="W268">
        <f>IF(E268=År1,Q268,SUM(P268,Q268))*IFERROR(VLOOKUP(A268,[1]Tørstofindhold!A$2:B$24,2,FALSE),0)</f>
        <v>3342.0036052675655</v>
      </c>
      <c r="X268">
        <f>K268*IFERROR(VLOOKUP(A268,[1]Tørstofindhold!A$2:B$24,2,FALSE),0)</f>
        <v>3342.0036052675655</v>
      </c>
      <c r="Y268" s="170">
        <f t="shared" si="48"/>
        <v>0</v>
      </c>
      <c r="Z268">
        <f t="shared" si="54"/>
        <v>0</v>
      </c>
      <c r="AA268">
        <f t="shared" si="55"/>
        <v>0</v>
      </c>
    </row>
    <row r="269" spans="1:27" x14ac:dyDescent="0.25">
      <c r="A269" s="171" t="str">
        <f t="shared" si="49"/>
        <v>Mælk til foder</v>
      </c>
      <c r="B269" s="171" t="str">
        <f t="shared" si="5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52"/>
        <v>0</v>
      </c>
      <c r="E269" s="171">
        <f t="shared" si="51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0</v>
      </c>
      <c r="H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0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forbrug'!J$3,'Forbrug af biomasse'!$B$2:$B$425,$F269)</f>
        <v>0</v>
      </c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si="45"/>
        <v>0</v>
      </c>
      <c r="P269" s="94">
        <f t="shared" si="53"/>
        <v>0</v>
      </c>
      <c r="Q269" s="180">
        <f t="shared" si="46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47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48"/>
        <v>0</v>
      </c>
      <c r="Z269">
        <f t="shared" si="54"/>
        <v>0</v>
      </c>
      <c r="AA269">
        <f t="shared" si="55"/>
        <v>0</v>
      </c>
    </row>
    <row r="270" spans="1:27" x14ac:dyDescent="0.25">
      <c r="A270" s="171" t="str">
        <f t="shared" si="49"/>
        <v>Majs</v>
      </c>
      <c r="B270" s="171" t="str">
        <f t="shared" si="5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52"/>
        <v>1</v>
      </c>
      <c r="E270" s="171">
        <f t="shared" si="5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0</v>
      </c>
      <c r="H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0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forbrug'!J$3,'Forbrug af biomasse'!$B$2:$B$425,$F270)</f>
        <v>0</v>
      </c>
      <c r="K270" s="94" t="e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#DIV/0!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 t="e">
        <f t="shared" si="45"/>
        <v>#DIV/0!</v>
      </c>
      <c r="P270" s="94" t="e">
        <f t="shared" si="53"/>
        <v>#DIV/0!</v>
      </c>
      <c r="Q270" s="180" t="e">
        <f t="shared" si="46"/>
        <v>#DIV/0!</v>
      </c>
      <c r="R270" t="e">
        <f>IFERROR(VLOOKUP(A270,[1]Energiindhold!$A$2:$C$11,3,FALSE),IFERROR(VLOOKUP(A270,[1]Biogasudbytte!$A$2:$B$18,2,FALSE)*[1]Energiindhold!$C$10,0))*P270</f>
        <v>#DIV/0!</v>
      </c>
      <c r="S270" t="e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#DIV/0!</v>
      </c>
      <c r="T270" t="e">
        <f>IFERROR(VLOOKUP(A270,[1]Biogasudbytte!$A$2:$B$18,2,FALSE)*[1]Energiindhold!$C$10,0)*K270*IFERROR(VLOOKUP(A270,Biogasanlæg!$F$3:$G$8,2,FALSE),1)</f>
        <v>#DIV/0!</v>
      </c>
      <c r="U270" s="170" t="e">
        <f t="shared" si="47"/>
        <v>#DIV/0!</v>
      </c>
      <c r="V270" s="169" t="e">
        <f>P270*IFERROR(VLOOKUP(A270,[1]Tørstofindhold!A$2:B$24,2,FALSE),0)</f>
        <v>#DIV/0!</v>
      </c>
      <c r="W270" t="e">
        <f>IF(E270=År1,Q270,SUM(P270,Q270))*IFERROR(VLOOKUP(A270,[1]Tørstofindhold!A$2:B$24,2,FALSE),0)</f>
        <v>#DIV/0!</v>
      </c>
      <c r="X270" t="e">
        <f>K270*IFERROR(VLOOKUP(A270,[1]Tørstofindhold!A$2:B$24,2,FALSE),0)</f>
        <v>#DIV/0!</v>
      </c>
      <c r="Y270" s="170" t="e">
        <f t="shared" si="48"/>
        <v>#DIV/0!</v>
      </c>
      <c r="Z270" t="e">
        <f t="shared" si="54"/>
        <v>#DIV/0!</v>
      </c>
      <c r="AA270" t="e">
        <f t="shared" si="55"/>
        <v>#DIV/0!</v>
      </c>
    </row>
    <row r="271" spans="1:27" x14ac:dyDescent="0.25">
      <c r="A271" s="171" t="str">
        <f t="shared" si="49"/>
        <v>Mejeriprodukter</v>
      </c>
      <c r="B271" s="171" t="str">
        <f t="shared" si="5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52"/>
        <v>1</v>
      </c>
      <c r="E271" s="171">
        <f t="shared" si="51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0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forbrug'!J$3,'Forbrug af biomasse'!$B$2:$B$425,$F271)</f>
        <v>428214.02929147833</v>
      </c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45"/>
        <v>-428214.02929147833</v>
      </c>
      <c r="P271" s="94">
        <f t="shared" si="53"/>
        <v>0</v>
      </c>
      <c r="Q271" s="180">
        <f t="shared" si="46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47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48"/>
        <v>0</v>
      </c>
      <c r="Z271">
        <f t="shared" si="54"/>
        <v>1</v>
      </c>
      <c r="AA271">
        <f t="shared" si="55"/>
        <v>0</v>
      </c>
    </row>
    <row r="272" spans="1:27" x14ac:dyDescent="0.25">
      <c r="A272" s="171" t="str">
        <f t="shared" si="49"/>
        <v>Muslinger</v>
      </c>
      <c r="B272" s="171" t="str">
        <f t="shared" si="5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52"/>
        <v>1</v>
      </c>
      <c r="E272" s="171">
        <f t="shared" si="5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forbrug'!J$3,'Forbrug af biomasse'!$B$2:$B$425,$F272)</f>
        <v>0</v>
      </c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si="45"/>
        <v>1.1976865502381491</v>
      </c>
      <c r="P272" s="94">
        <f t="shared" si="53"/>
        <v>1.1976865502381491</v>
      </c>
      <c r="Q272" s="180">
        <f t="shared" si="46"/>
        <v>0</v>
      </c>
      <c r="R272">
        <f>IFERROR(VLOOKUP(A272,[1]Energiindhold!$A$2:$C$11,3,FALSE),IFERROR(VLOOKUP(A272,[1]Biogasudbytte!$A$2:$B$18,2,FALSE)*[1]Energiindhold!$C$10,0))*P272</f>
        <v>1.0749236788387388E-6</v>
      </c>
      <c r="S272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si="47"/>
        <v>1.0749236788387388E-6</v>
      </c>
      <c r="V272" s="169">
        <f>P272*IFERROR(VLOOKUP(A272,[1]Tørstofindhold!A$2:B$24,2,FALSE),0)</f>
        <v>0.17965298253572234</v>
      </c>
      <c r="W272">
        <f>IF(E272=År1,Q272,SUM(P272,Q272))*IFERROR(VLOOKUP(A272,[1]Tørstofindhold!A$2:B$24,2,FALSE),0)</f>
        <v>0.17965298253572234</v>
      </c>
      <c r="X272">
        <f>K272*IFERROR(VLOOKUP(A272,[1]Tørstofindhold!A$2:B$24,2,FALSE),0)</f>
        <v>0</v>
      </c>
      <c r="Y272" s="170">
        <f t="shared" si="48"/>
        <v>0.17965298253572234</v>
      </c>
      <c r="Z272">
        <f t="shared" si="54"/>
        <v>0</v>
      </c>
      <c r="AA272">
        <f t="shared" si="55"/>
        <v>1</v>
      </c>
    </row>
    <row r="273" spans="1:27" x14ac:dyDescent="0.25">
      <c r="A273" s="171" t="str">
        <f t="shared" si="49"/>
        <v>Oksekød</v>
      </c>
      <c r="B273" s="171" t="str">
        <f t="shared" si="5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52"/>
        <v>1</v>
      </c>
      <c r="E273" s="171">
        <f t="shared" si="51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278.2619831544028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forbrug'!J$3,'Forbrug af biomasse'!$B$2:$B$425,$F273)</f>
        <v>54412.71372203785</v>
      </c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45"/>
        <v>-54134.45173888345</v>
      </c>
      <c r="P273" s="94">
        <f t="shared" si="53"/>
        <v>0</v>
      </c>
      <c r="Q273" s="180">
        <f t="shared" si="46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47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48"/>
        <v>0</v>
      </c>
      <c r="Z273">
        <f t="shared" si="54"/>
        <v>1</v>
      </c>
      <c r="AA273">
        <f t="shared" si="55"/>
        <v>0</v>
      </c>
    </row>
    <row r="274" spans="1:27" x14ac:dyDescent="0.25">
      <c r="A274" s="171" t="str">
        <f t="shared" si="49"/>
        <v>Øvrige</v>
      </c>
      <c r="B274" s="171" t="str">
        <f t="shared" si="5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52"/>
        <v>1</v>
      </c>
      <c r="E274" s="171">
        <f t="shared" si="5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0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forbrug'!J$3,'Forbrug af biomasse'!$B$2:$B$425,$F274)</f>
        <v>0</v>
      </c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45"/>
        <v>0</v>
      </c>
      <c r="P274" s="94">
        <f t="shared" si="53"/>
        <v>0</v>
      </c>
      <c r="Q274" s="180">
        <f t="shared" si="46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47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48"/>
        <v>0</v>
      </c>
      <c r="Z274">
        <f t="shared" si="54"/>
        <v>0</v>
      </c>
      <c r="AA274">
        <f t="shared" si="55"/>
        <v>0</v>
      </c>
    </row>
    <row r="275" spans="1:27" x14ac:dyDescent="0.25">
      <c r="A275" s="171" t="str">
        <f t="shared" si="49"/>
        <v>Pil &amp; poppel</v>
      </c>
      <c r="B275" s="171" t="str">
        <f t="shared" si="5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52"/>
        <v>0</v>
      </c>
      <c r="E275" s="171">
        <f t="shared" si="5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437726.22620455944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forbrug'!J$3,'Forbrug af biomasse'!$B$2:$B$425,$F275)</f>
        <v>0</v>
      </c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437726.22620455944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45"/>
        <v>0</v>
      </c>
      <c r="P275" s="94">
        <f t="shared" si="53"/>
        <v>0</v>
      </c>
      <c r="Q275" s="180">
        <f t="shared" si="46"/>
        <v>437726.22620455944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8.0541625621638921</v>
      </c>
      <c r="T275">
        <f>IFERROR(VLOOKUP(A275,[1]Biogasudbytte!$A$2:$B$18,2,FALSE)*[1]Energiindhold!$C$10,0)*K275*IFERROR(VLOOKUP(A275,Biogasanlæg!$F$3:$G$8,2,FALSE),1)</f>
        <v>0</v>
      </c>
      <c r="U275" s="170">
        <f t="shared" si="47"/>
        <v>8.0541625621638921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181656.38387489217</v>
      </c>
      <c r="X275">
        <f>K275*IFERROR(VLOOKUP(A275,[1]Tørstofindhold!A$2:B$24,2,FALSE),0)</f>
        <v>0</v>
      </c>
      <c r="Y275" s="170">
        <f t="shared" si="48"/>
        <v>181656.38387489217</v>
      </c>
      <c r="Z275">
        <f t="shared" si="54"/>
        <v>0</v>
      </c>
      <c r="AA275">
        <f t="shared" si="55"/>
        <v>0</v>
      </c>
    </row>
    <row r="276" spans="1:27" x14ac:dyDescent="0.25">
      <c r="A276" s="171" t="str">
        <f>A228</f>
        <v>Pyrolysegas</v>
      </c>
      <c r="B276" s="171" t="str">
        <f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52"/>
        <v>0</v>
      </c>
      <c r="E276" s="171">
        <f t="shared" si="51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forbrug'!J$3,'Forbrug af biomasse'!$B$2:$B$425,$F276)</f>
        <v>0</v>
      </c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>G276-SUM(H276:N276)</f>
        <v>0</v>
      </c>
      <c r="P276" s="94">
        <f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>SUM(K276,M276)</f>
        <v>0</v>
      </c>
      <c r="R276">
        <f>IFERROR(VLOOKUP(A276,[1]Energiindhold!$A$2:$C$11,3,FALSE),IFERROR(VLOOKUP(A276,[1]Biogasudbytte!$A$2:$B$18,2,FALSE)*[1]Energiindhold!$C$10,0))*P276</f>
        <v>0</v>
      </c>
      <c r="S276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>S276-T276</f>
        <v>0</v>
      </c>
      <c r="V276" s="169">
        <f>P276*IFERROR(VLOOKUP(A276,[1]Tørstofindhold!A$2:B$24,2,FALSE),0)</f>
        <v>0</v>
      </c>
      <c r="W276">
        <f>IF(E276=År1,Q276,SUM(P276,Q276))*IFERROR(VLOOKUP(A276,[1]Tørstofindhold!A$2:B$24,2,FALSE),0)</f>
        <v>0</v>
      </c>
      <c r="X276">
        <f>K276*IFERROR(VLOOKUP(A276,[1]Tørstofindhold!A$2:B$24,2,FALSE),0)</f>
        <v>0</v>
      </c>
      <c r="Y276" s="170">
        <f>W276-X276</f>
        <v>0</v>
      </c>
      <c r="Z276">
        <f>IF(SUMIFS($O$4:$O$291,$A$4:$A$291,A276,$E$4:$E$291,E276)&lt;0,1,0)</f>
        <v>0</v>
      </c>
      <c r="AA276">
        <f>IF(SUMIFS($O$4:$O$291,$A$4:$A$291,A276,$E$4:$E$291,E276)&gt;0,1,0)</f>
        <v>0</v>
      </c>
    </row>
    <row r="277" spans="1:27" x14ac:dyDescent="0.25">
      <c r="A277" s="171" t="str">
        <f>A229</f>
        <v>Pyrolyseolie</v>
      </c>
      <c r="B277" s="171" t="str">
        <f>IF(B229&lt;&gt;"",B229,"")</f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52"/>
        <v>0</v>
      </c>
      <c r="E277" s="171">
        <f t="shared" si="51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forbrug'!J$3,'Forbrug af biomasse'!$B$2:$B$425,$F277)</f>
        <v>0</v>
      </c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>G277-SUM(H277:N277)</f>
        <v>0</v>
      </c>
      <c r="P277" s="94">
        <f>IF(C277=1,IF(O277+IF(SUMIFS($O$4:$O$291,$A$4:$A$291,A277,$E$4:$E$291,E277,$F$4:$F$291,"&lt;&gt;"&amp;F277)&lt;0,SUMIFS($O$4:$O$291,$A$4:$A$291,A277,$E$4:$E$291,E277,$F$4:$F$291,"&lt;&gt;"&amp;F277),0)&gt;0,O277+IF(SUMIFS($O$4:$O$291,$A$4:$A$291,A277,$E$4:$E$291,E277,$F$4:$F$291,"&lt;&gt;"&amp;F277)&lt;0,SUMIFS($O$4:$O$291,$A$4:$A$291,A277,$E$4:$E$291,E277,$F$4:$F$291,"&lt;&gt;"&amp;F277),0),0),0)</f>
        <v>0</v>
      </c>
      <c r="Q277" s="180">
        <f>SUM(K277,M277)</f>
        <v>0</v>
      </c>
      <c r="R277">
        <f>IFERROR(VLOOKUP(A277,[1]Energiindhold!$A$2:$C$11,3,FALSE),IFERROR(VLOOKUP(A277,[1]Biogasudbytte!$A$2:$B$18,2,FALSE)*[1]Energiindhold!$C$10,0))*P277</f>
        <v>0</v>
      </c>
      <c r="S277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>S277-T277</f>
        <v>0</v>
      </c>
      <c r="V277" s="169">
        <f>P277*IFERROR(VLOOKUP(A277,[1]Tørstofindhold!A$2:B$24,2,FALSE),0)</f>
        <v>0</v>
      </c>
      <c r="W277">
        <f>IF(E277=År1,Q277,SUM(P277,Q277))*IFERROR(VLOOKUP(A277,[1]Tørstofindhold!A$2:B$24,2,FALSE),0)</f>
        <v>0</v>
      </c>
      <c r="X277">
        <f>K277*IFERROR(VLOOKUP(A277,[1]Tørstofindhold!A$2:B$24,2,FALSE),0)</f>
        <v>0</v>
      </c>
      <c r="Y277" s="170">
        <f>W277-X277</f>
        <v>0</v>
      </c>
      <c r="Z277">
        <f>IF(SUMIFS($O$4:$O$291,$A$4:$A$291,A277,$E$4:$E$291,E277)&lt;0,1,0)</f>
        <v>0</v>
      </c>
      <c r="AA277">
        <f>IF(SUMIFS($O$4:$O$291,$A$4:$A$291,A277,$E$4:$E$291,E277)&gt;0,1,0)</f>
        <v>0</v>
      </c>
    </row>
    <row r="278" spans="1:27" x14ac:dyDescent="0.25">
      <c r="A278" s="171" t="str">
        <f t="shared" ref="A278:A291" si="56">A230</f>
        <v>Råmælk</v>
      </c>
      <c r="B278" s="171" t="str">
        <f t="shared" ref="B278:B291" si="5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52"/>
        <v>0</v>
      </c>
      <c r="E278" s="171">
        <f t="shared" si="51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0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forbrug'!J$3,'Forbrug af biomasse'!$B$2:$B$425,$F278)</f>
        <v>0</v>
      </c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45"/>
        <v>0</v>
      </c>
      <c r="P278" s="94">
        <f t="shared" ref="P278:P291" si="5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46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47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48"/>
        <v>0</v>
      </c>
      <c r="Z278">
        <f t="shared" ref="Z278:Z291" si="59">IF(SUMIFS($O$4:$O$291,$A$4:$A$291,A278,$E$4:$E$291,E278)&lt;0,1,0)</f>
        <v>0</v>
      </c>
      <c r="AA278">
        <f t="shared" ref="AA278:AA291" si="60">IF(SUMIFS($O$4:$O$291,$A$4:$A$291,A278,$E$4:$E$291,E278)&gt;0,1,0)</f>
        <v>0</v>
      </c>
    </row>
    <row r="279" spans="1:27" x14ac:dyDescent="0.25">
      <c r="A279" s="171" t="str">
        <f t="shared" si="56"/>
        <v>Raps</v>
      </c>
      <c r="B279" s="171" t="str">
        <f t="shared" si="5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52"/>
        <v>0</v>
      </c>
      <c r="E279" s="171">
        <f t="shared" si="5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215982.61635398451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forbrug'!J$3,'Forbrug af biomasse'!$B$2:$B$425,$F279)</f>
        <v>0</v>
      </c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215982.61635398451</v>
      </c>
      <c r="O279" s="179">
        <f t="shared" si="45"/>
        <v>0</v>
      </c>
      <c r="P279" s="94">
        <f t="shared" si="58"/>
        <v>0</v>
      </c>
      <c r="Q279" s="180">
        <f t="shared" si="46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47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48"/>
        <v>0</v>
      </c>
      <c r="Z279">
        <f t="shared" si="59"/>
        <v>0</v>
      </c>
      <c r="AA279">
        <f t="shared" si="60"/>
        <v>0</v>
      </c>
    </row>
    <row r="280" spans="1:27" x14ac:dyDescent="0.25">
      <c r="A280" s="171" t="str">
        <f t="shared" si="56"/>
        <v>Rapskage</v>
      </c>
      <c r="B280" s="171" t="str">
        <f t="shared" si="5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52"/>
        <v>0</v>
      </c>
      <c r="E280" s="171">
        <f t="shared" si="5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107991.30817699226</v>
      </c>
      <c r="H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4694.1611058241288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forbrug'!J$3,'Forbrug af biomasse'!$B$2:$B$425,$F280)</f>
        <v>0</v>
      </c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si="45"/>
        <v>103297.14707116813</v>
      </c>
      <c r="P280" s="94">
        <f t="shared" si="58"/>
        <v>0</v>
      </c>
      <c r="Q280" s="180">
        <f t="shared" si="46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47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48"/>
        <v>0</v>
      </c>
      <c r="Z280">
        <f t="shared" si="59"/>
        <v>0</v>
      </c>
      <c r="AA280">
        <f t="shared" si="60"/>
        <v>1</v>
      </c>
    </row>
    <row r="281" spans="1:27" x14ac:dyDescent="0.25">
      <c r="A281" s="171" t="str">
        <f t="shared" si="56"/>
        <v>Rapsolie</v>
      </c>
      <c r="B281" s="171" t="str">
        <f t="shared" si="5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52"/>
        <v>1</v>
      </c>
      <c r="E281" s="171">
        <f t="shared" si="5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69114.43723327505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forbrug'!J$3,'Forbrug af biomasse'!$B$2:$B$425,$F281)</f>
        <v>0</v>
      </c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69114.43723327505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45"/>
        <v>0</v>
      </c>
      <c r="P281" s="94">
        <f t="shared" si="58"/>
        <v>0</v>
      </c>
      <c r="Q281" s="180">
        <f t="shared" si="46"/>
        <v>69114.43723327505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2.4190053031646266</v>
      </c>
      <c r="T281">
        <f>IFERROR(VLOOKUP(A281,[1]Biogasudbytte!$A$2:$B$18,2,FALSE)*[1]Energiindhold!$C$10,0)*K281*IFERROR(VLOOKUP(A281,Biogasanlæg!$F$3:$G$8,2,FALSE),1)</f>
        <v>0</v>
      </c>
      <c r="U281" s="170">
        <f t="shared" si="47"/>
        <v>2.4190053031646266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48"/>
        <v>0</v>
      </c>
      <c r="Z281">
        <f t="shared" si="59"/>
        <v>0</v>
      </c>
      <c r="AA281">
        <f t="shared" si="60"/>
        <v>0</v>
      </c>
    </row>
    <row r="282" spans="1:27" x14ac:dyDescent="0.25">
      <c r="A282" s="171" t="str">
        <f t="shared" si="56"/>
        <v>Roer</v>
      </c>
      <c r="B282" s="171" t="str">
        <f t="shared" si="5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52"/>
        <v>1</v>
      </c>
      <c r="E282" s="171">
        <f t="shared" si="5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371106.34306601883</v>
      </c>
      <c r="H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10749.602827265073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forbrug'!J$3,'Forbrug af biomasse'!$B$2:$B$425,$F282)</f>
        <v>0</v>
      </c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si="45"/>
        <v>360356.74023875373</v>
      </c>
      <c r="P282" s="94">
        <f t="shared" si="58"/>
        <v>360356.74023875373</v>
      </c>
      <c r="Q282" s="180">
        <f t="shared" si="46"/>
        <v>0</v>
      </c>
      <c r="R282">
        <f>IFERROR(VLOOKUP(A282,[1]Energiindhold!$A$2:$C$11,3,FALSE),IFERROR(VLOOKUP(A282,[1]Biogasudbytte!$A$2:$B$18,2,FALSE)*[1]Energiindhold!$C$10,0))*P282</f>
        <v>0.97802260727758716</v>
      </c>
      <c r="S282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0.97802260727758716</v>
      </c>
      <c r="T282">
        <f>IFERROR(VLOOKUP(A282,[1]Biogasudbytte!$A$2:$B$18,2,FALSE)*[1]Energiindhold!$C$10,0)*K282*IFERROR(VLOOKUP(A282,Biogasanlæg!$F$3:$G$8,2,FALSE),1)</f>
        <v>0</v>
      </c>
      <c r="U282" s="170">
        <f t="shared" si="47"/>
        <v>0.97802260727758716</v>
      </c>
      <c r="V282" s="169">
        <f>P282*IFERROR(VLOOKUP(A282,[1]Tørstofindhold!A$2:B$24,2,FALSE),0)</f>
        <v>72071.348047750755</v>
      </c>
      <c r="W282">
        <f>IF(E282=År1,Q282,SUM(P282,Q282))*IFERROR(VLOOKUP(A282,[1]Tørstofindhold!A$2:B$24,2,FALSE),0)</f>
        <v>72071.348047750755</v>
      </c>
      <c r="X282">
        <f>K282*IFERROR(VLOOKUP(A282,[1]Tørstofindhold!A$2:B$24,2,FALSE),0)</f>
        <v>0</v>
      </c>
      <c r="Y282" s="170">
        <f t="shared" si="48"/>
        <v>72071.348047750755</v>
      </c>
      <c r="Z282">
        <f t="shared" si="59"/>
        <v>0</v>
      </c>
      <c r="AA282">
        <f t="shared" si="60"/>
        <v>1</v>
      </c>
    </row>
    <row r="283" spans="1:27" x14ac:dyDescent="0.25">
      <c r="A283" s="171" t="str">
        <f t="shared" si="56"/>
        <v>Slagteriaffald til andet</v>
      </c>
      <c r="B283" s="171" t="str">
        <f t="shared" si="5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52"/>
        <v>0</v>
      </c>
      <c r="E283" s="171">
        <f t="shared" ref="E283:E291" si="61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807.52489656472994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forbrug'!J$3,'Forbrug af biomasse'!$B$2:$B$425,$F283)</f>
        <v>0</v>
      </c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62">G283-SUM(H283:N283)</f>
        <v>807.52489656472994</v>
      </c>
      <c r="P283" s="94">
        <f t="shared" si="58"/>
        <v>0</v>
      </c>
      <c r="Q283" s="180">
        <f t="shared" ref="Q283:Q291" si="6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64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65">W283-X283</f>
        <v>0</v>
      </c>
      <c r="Z283">
        <f t="shared" si="59"/>
        <v>0</v>
      </c>
      <c r="AA283">
        <f t="shared" si="60"/>
        <v>1</v>
      </c>
    </row>
    <row r="284" spans="1:27" x14ac:dyDescent="0.25">
      <c r="A284" s="171" t="str">
        <f t="shared" si="56"/>
        <v>Slagteriaffald til foder</v>
      </c>
      <c r="B284" s="171" t="str">
        <f t="shared" si="5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52"/>
        <v>0</v>
      </c>
      <c r="E284" s="171">
        <f t="shared" si="61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650.65285036970454</v>
      </c>
      <c r="H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503.70875867908762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forbrug'!J$3,'Forbrug af biomasse'!$B$2:$B$425,$F284)</f>
        <v>0</v>
      </c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si="62"/>
        <v>146.94409169061692</v>
      </c>
      <c r="P284" s="94">
        <f t="shared" si="58"/>
        <v>0</v>
      </c>
      <c r="Q284" s="180">
        <f t="shared" si="6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64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65"/>
        <v>0</v>
      </c>
      <c r="Z284">
        <f t="shared" si="59"/>
        <v>0</v>
      </c>
      <c r="AA284">
        <f t="shared" si="60"/>
        <v>1</v>
      </c>
    </row>
    <row r="285" spans="1:27" x14ac:dyDescent="0.25">
      <c r="A285" s="171" t="str">
        <f t="shared" si="56"/>
        <v>Spildevandsslam</v>
      </c>
      <c r="B285" s="171" t="str">
        <f t="shared" si="5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52"/>
        <v>0</v>
      </c>
      <c r="E285" s="171">
        <f t="shared" si="61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3491788.2152479719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forbrug'!J$3,'Forbrug af biomasse'!$B$2:$B$425,$F285)</f>
        <v>0</v>
      </c>
      <c r="K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1324256.6444942397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si="62"/>
        <v>2167531.5707537322</v>
      </c>
      <c r="P285" s="94">
        <f t="shared" si="58"/>
        <v>2167531.5707537322</v>
      </c>
      <c r="Q285" s="180">
        <f t="shared" si="63"/>
        <v>1324256.6444942397</v>
      </c>
      <c r="R285">
        <f>IFERROR(VLOOKUP(A285,[1]Energiindhold!$A$2:$C$11,3,FALSE),IFERROR(VLOOKUP(A285,[1]Biogasudbytte!$A$2:$B$18,2,FALSE)*[1]Energiindhold!$C$10,0))*P285</f>
        <v>1.08161992912182</v>
      </c>
      <c r="S285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1.7424372372908907</v>
      </c>
      <c r="T285">
        <f>IFERROR(VLOOKUP(A285,[1]Biogasudbytte!$A$2:$B$18,2,FALSE)*[1]Energiindhold!$C$10,0)*K285*IFERROR(VLOOKUP(A285,Biogasanlæg!$F$3:$G$8,2,FALSE),1)</f>
        <v>0.66081730816907069</v>
      </c>
      <c r="U285" s="170">
        <f t="shared" si="64"/>
        <v>1.08161992912182</v>
      </c>
      <c r="V285" s="169">
        <f>P285*IFERROR(VLOOKUP(A285,[1]Tørstofindhold!A$2:B$24,2,FALSE),0)</f>
        <v>130051.89424522393</v>
      </c>
      <c r="W285">
        <f>IF(E285=År1,Q285,SUM(P285,Q285))*IFERROR(VLOOKUP(A285,[1]Tørstofindhold!A$2:B$24,2,FALSE),0)</f>
        <v>209507.29291487832</v>
      </c>
      <c r="X285">
        <f>K285*IFERROR(VLOOKUP(A285,[1]Tørstofindhold!A$2:B$24,2,FALSE),0)</f>
        <v>79455.398669654372</v>
      </c>
      <c r="Y285" s="170">
        <f t="shared" si="65"/>
        <v>130051.89424522394</v>
      </c>
      <c r="Z285">
        <f t="shared" si="59"/>
        <v>0</v>
      </c>
      <c r="AA285">
        <f t="shared" si="60"/>
        <v>1</v>
      </c>
    </row>
    <row r="286" spans="1:27" x14ac:dyDescent="0.25">
      <c r="A286" s="171" t="str">
        <f t="shared" si="56"/>
        <v>Svinegylle</v>
      </c>
      <c r="B286" s="171" t="str">
        <f t="shared" si="5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52"/>
        <v>0</v>
      </c>
      <c r="E286" s="171">
        <f t="shared" si="6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0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forbrug'!J$3,'Forbrug af biomasse'!$B$2:$B$425,$F286)</f>
        <v>0</v>
      </c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0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0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62"/>
        <v>0</v>
      </c>
      <c r="P286" s="94">
        <f t="shared" si="58"/>
        <v>0</v>
      </c>
      <c r="Q286" s="180">
        <f t="shared" si="63"/>
        <v>0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</v>
      </c>
      <c r="T286">
        <f>IFERROR(VLOOKUP(A286,[1]Biogasudbytte!$A$2:$B$18,2,FALSE)*[1]Energiindhold!$C$10,0)*K286*IFERROR(VLOOKUP(A286,Biogasanlæg!$F$3:$G$8,2,FALSE),1)</f>
        <v>0</v>
      </c>
      <c r="U286" s="170">
        <f t="shared" si="64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0</v>
      </c>
      <c r="X286">
        <f>K286*IFERROR(VLOOKUP(A286,[1]Tørstofindhold!A$2:B$24,2,FALSE),0)</f>
        <v>0</v>
      </c>
      <c r="Y286" s="170">
        <f t="shared" si="65"/>
        <v>0</v>
      </c>
      <c r="Z286">
        <f t="shared" si="59"/>
        <v>0</v>
      </c>
      <c r="AA286">
        <f t="shared" si="60"/>
        <v>0</v>
      </c>
    </row>
    <row r="287" spans="1:27" x14ac:dyDescent="0.25">
      <c r="A287" s="171" t="str">
        <f t="shared" si="56"/>
        <v>Svinekød</v>
      </c>
      <c r="B287" s="171" t="str">
        <f t="shared" si="5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52"/>
        <v>1</v>
      </c>
      <c r="E287" s="171">
        <f t="shared" si="6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7095.888967518189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forbrug'!J$3,'Forbrug af biomasse'!$B$2:$B$425,$F287)</f>
        <v>110474.29755686472</v>
      </c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62"/>
        <v>-103378.40858934654</v>
      </c>
      <c r="P287" s="94">
        <f t="shared" si="58"/>
        <v>0</v>
      </c>
      <c r="Q287" s="180">
        <f t="shared" si="6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64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65"/>
        <v>0</v>
      </c>
      <c r="Z287">
        <f t="shared" si="59"/>
        <v>1</v>
      </c>
      <c r="AA287">
        <f t="shared" si="60"/>
        <v>0</v>
      </c>
    </row>
    <row r="288" spans="1:27" x14ac:dyDescent="0.25">
      <c r="A288" s="171" t="str">
        <f t="shared" si="56"/>
        <v>Tang</v>
      </c>
      <c r="B288" s="171" t="str">
        <f t="shared" si="5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52"/>
        <v>1</v>
      </c>
      <c r="E288" s="171">
        <f t="shared" si="6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forbrug'!J$3,'Forbrug af biomasse'!$B$2:$B$425,$F288)</f>
        <v>0</v>
      </c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si="62"/>
        <v>0</v>
      </c>
      <c r="P288" s="94">
        <f t="shared" si="58"/>
        <v>0</v>
      </c>
      <c r="Q288" s="180">
        <f t="shared" si="63"/>
        <v>0</v>
      </c>
      <c r="R288">
        <f>IFERROR(VLOOKUP(A288,[1]Energiindhold!$A$2:$C$11,3,FALSE),IFERROR(VLOOKUP(A288,[1]Biogasudbytte!$A$2:$B$18,2,FALSE)*[1]Energiindhold!$C$10,0))*P288</f>
        <v>0</v>
      </c>
      <c r="S288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si="64"/>
        <v>0</v>
      </c>
      <c r="V288" s="169">
        <f>P288*IFERROR(VLOOKUP(A288,[1]Tørstofindhold!A$2:B$24,2,FALSE),0)</f>
        <v>0</v>
      </c>
      <c r="W288">
        <f>IF(E288=År1,Q288,SUM(P288,Q288))*IFERROR(VLOOKUP(A288,[1]Tørstofindhold!A$2:B$24,2,FALSE),0)</f>
        <v>0</v>
      </c>
      <c r="X288">
        <f>K288*IFERROR(VLOOKUP(A288,[1]Tørstofindhold!A$2:B$24,2,FALSE),0)</f>
        <v>0</v>
      </c>
      <c r="Y288" s="170">
        <f t="shared" si="65"/>
        <v>0</v>
      </c>
      <c r="Z288">
        <f t="shared" si="59"/>
        <v>0</v>
      </c>
      <c r="AA288">
        <f t="shared" si="60"/>
        <v>1</v>
      </c>
    </row>
    <row r="289" spans="1:27" x14ac:dyDescent="0.25">
      <c r="A289" s="171" t="str">
        <f t="shared" si="56"/>
        <v>Total til biogas</v>
      </c>
      <c r="B289" s="171" t="str">
        <f t="shared" si="5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52"/>
        <v>0</v>
      </c>
      <c r="E289" s="171">
        <f t="shared" si="6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forbrug'!J$3,'Forbrug af biomasse'!$B$2:$B$425,$F289)</f>
        <v>0</v>
      </c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62"/>
        <v>0</v>
      </c>
      <c r="P289" s="94">
        <f t="shared" si="58"/>
        <v>0</v>
      </c>
      <c r="Q289" s="180">
        <f t="shared" si="6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64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65"/>
        <v>0</v>
      </c>
      <c r="Z289">
        <f t="shared" si="59"/>
        <v>0</v>
      </c>
      <c r="AA289">
        <f t="shared" si="60"/>
        <v>0</v>
      </c>
    </row>
    <row r="290" spans="1:27" x14ac:dyDescent="0.25">
      <c r="A290" s="171" t="str">
        <f t="shared" si="56"/>
        <v>Træ til energi</v>
      </c>
      <c r="B290" s="171" t="str">
        <f t="shared" si="5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52"/>
        <v>0</v>
      </c>
      <c r="E290" s="171">
        <f t="shared" si="61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641761.08642399055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forbrug'!J$3,'Forbrug af biomasse'!$B$2:$B$425,$F290)</f>
        <v>0</v>
      </c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641761.08642399055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62"/>
        <v>0</v>
      </c>
      <c r="P290" s="94">
        <f t="shared" ca="1" si="58"/>
        <v>0</v>
      </c>
      <c r="Q290" s="180">
        <f t="shared" ca="1" si="63"/>
        <v>641761.08642399055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9.3014085239225324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64"/>
        <v>9.3014085239225324</v>
      </c>
      <c r="V290" s="169">
        <f ca="1">P290*IFERROR(VLOOKUP(A290,[1]Tørstofindhold!A$2:B$24,2,FALSE),0)</f>
        <v>0</v>
      </c>
      <c r="W290">
        <f ca="1">IF(E290=År1,Q290,SUM(P290,Q290))*IFERROR(VLOOKUP(A290,[1]Tørstofindhold!A$2:B$24,2,FALSE),0)</f>
        <v>317404.33732719865</v>
      </c>
      <c r="X290">
        <f>K290*IFERROR(VLOOKUP(A290,[1]Tørstofindhold!A$2:B$24,2,FALSE),0)</f>
        <v>0</v>
      </c>
      <c r="Y290" s="170">
        <f t="shared" ca="1" si="65"/>
        <v>317404.33732719865</v>
      </c>
      <c r="Z290">
        <f t="shared" ca="1" si="59"/>
        <v>0</v>
      </c>
      <c r="AA290">
        <f t="shared" ca="1" si="60"/>
        <v>0</v>
      </c>
    </row>
    <row r="291" spans="1:27" ht="15.75" thickBot="1" x14ac:dyDescent="0.3">
      <c r="A291" s="171" t="str">
        <f t="shared" si="56"/>
        <v>Træmaterialer</v>
      </c>
      <c r="B291" s="171" t="str">
        <f t="shared" si="5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52"/>
        <v>0</v>
      </c>
      <c r="E291" s="171">
        <f t="shared" si="61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183690.80267816613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forbrug'!J$3,'Forbrug af biomasse'!$B$2:$B$425,$F291)</f>
        <v>0</v>
      </c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183690.80267816613</v>
      </c>
      <c r="O291" s="181">
        <f t="shared" ca="1" si="62"/>
        <v>0</v>
      </c>
      <c r="P291" s="182">
        <f t="shared" si="58"/>
        <v>0</v>
      </c>
      <c r="Q291" s="183">
        <f t="shared" si="6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64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65"/>
        <v>0</v>
      </c>
      <c r="Z291">
        <f t="shared" ca="1" si="59"/>
        <v>0</v>
      </c>
      <c r="AA291">
        <f t="shared" ca="1" si="60"/>
        <v>0</v>
      </c>
    </row>
  </sheetData>
  <mergeCells count="5"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zoomScale="106" workbookViewId="0">
      <pane xSplit="6" ySplit="3" topLeftCell="AA108" activePane="bottomRight" state="frozen"/>
      <selection pane="topRight" activeCell="F1" sqref="F1"/>
      <selection pane="bottomLeft" activeCell="A3" sqref="A3"/>
      <selection pane="bottomRight" activeCell="AD118" sqref="AD118"/>
    </sheetView>
  </sheetViews>
  <sheetFormatPr defaultColWidth="18" defaultRowHeight="15" x14ac:dyDescent="0.25"/>
  <cols>
    <col min="1" max="2" width="18.140625" bestFit="1" customWidth="1"/>
    <col min="3" max="3" width="18.140625" customWidth="1"/>
    <col min="4" max="4" width="8.140625" bestFit="1" customWidth="1"/>
    <col min="5" max="5" width="8.140625" customWidth="1"/>
    <col min="6" max="6" width="7.85546875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  <col min="27" max="27" width="23.28515625" bestFit="1" customWidth="1"/>
    <col min="28" max="28" width="4.28515625" style="341" customWidth="1"/>
  </cols>
  <sheetData>
    <row r="1" spans="1:32" ht="15.75" thickTop="1" x14ac:dyDescent="0.25">
      <c r="A1" s="453" t="s">
        <v>248</v>
      </c>
      <c r="B1" s="453"/>
      <c r="C1" s="453"/>
      <c r="D1" s="453"/>
      <c r="E1" s="393"/>
      <c r="G1" s="454" t="s">
        <v>250</v>
      </c>
      <c r="H1" s="454"/>
      <c r="I1" s="454"/>
      <c r="J1" s="454"/>
      <c r="K1" s="454"/>
      <c r="L1" s="454"/>
      <c r="M1" s="454"/>
      <c r="N1" s="455"/>
      <c r="O1" s="456" t="s">
        <v>251</v>
      </c>
      <c r="P1" s="457"/>
      <c r="Q1" s="458"/>
      <c r="R1" s="450" t="s">
        <v>122</v>
      </c>
      <c r="S1" s="450"/>
      <c r="T1" s="450"/>
      <c r="U1" s="451"/>
      <c r="V1" s="452" t="s">
        <v>229</v>
      </c>
      <c r="W1" s="450"/>
      <c r="X1" s="450"/>
      <c r="Y1" s="451"/>
      <c r="AC1" s="459" t="s">
        <v>337</v>
      </c>
      <c r="AD1" s="459"/>
      <c r="AE1">
        <f>År1</f>
        <v>2019</v>
      </c>
      <c r="AF1">
        <f ca="1">SUMIF($F$4:$F$147,$AE1,AD$4:AD$147)</f>
        <v>16.368038697529002</v>
      </c>
    </row>
    <row r="2" spans="1:32" x14ac:dyDescent="0.25">
      <c r="A2" s="393"/>
      <c r="B2" s="393"/>
      <c r="C2" s="393"/>
      <c r="D2" s="393"/>
      <c r="E2" s="393"/>
      <c r="G2" s="394"/>
      <c r="H2" s="394">
        <v>1</v>
      </c>
      <c r="I2" s="394">
        <v>1</v>
      </c>
      <c r="J2" s="394">
        <v>0</v>
      </c>
      <c r="K2" s="394">
        <v>1</v>
      </c>
      <c r="L2" s="394">
        <v>1</v>
      </c>
      <c r="M2" s="394">
        <v>0</v>
      </c>
      <c r="N2" s="394">
        <v>1</v>
      </c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  <c r="AE2">
        <f>År2</f>
        <v>2030</v>
      </c>
      <c r="AF2">
        <f ca="1">SUMIF($F$4:$F$147,$AE2,AD$4:AD$147)</f>
        <v>22.180489635153737</v>
      </c>
    </row>
    <row r="3" spans="1:32" x14ac:dyDescent="0.25">
      <c r="A3" s="91" t="s">
        <v>128</v>
      </c>
      <c r="B3" s="91" t="s">
        <v>311</v>
      </c>
      <c r="C3" s="91" t="s">
        <v>342</v>
      </c>
      <c r="D3" s="91" t="s">
        <v>129</v>
      </c>
      <c r="E3" s="91" t="s">
        <v>339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400" t="str">
        <f>""</f>
        <v/>
      </c>
      <c r="AC3" s="91" t="s">
        <v>338</v>
      </c>
      <c r="AD3" s="91" t="s">
        <v>340</v>
      </c>
      <c r="AE3">
        <f>År3</f>
        <v>2050</v>
      </c>
      <c r="AF3" t="e">
        <f ca="1">SUMIF($F$4:$F$147,$AE3,AD$4:AD$147)</f>
        <v>#DIV/0!</v>
      </c>
    </row>
    <row r="4" spans="1:32" x14ac:dyDescent="0.25">
      <c r="A4" s="171" t="s">
        <v>15</v>
      </c>
      <c r="B4" s="171"/>
      <c r="C4" s="171" t="str">
        <f>IFERROR(VLOOKUP(A4,'Kategorisering af kcal'!$A$2:$B$19,2,FALSE),"")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58403.100598004137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176596.89940199588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si="0">IF(SUMIFS($O$4:$O$147,$A$4:$A$147,A4,$F$4:$F$147,F4)&lt;0,1,0)</f>
        <v>0</v>
      </c>
      <c r="AA4">
        <f t="shared" ref="AA4:AA35" si="1">IF(SUMIFS($O$4:$O$147,$A$4:$A$147,A4,$F$4:$F$147,F4)&gt;0,1,0)</f>
        <v>1</v>
      </c>
      <c r="AC4" s="94">
        <f>G4-SUMPRODUCT($H$2:$N$2,H4:N4)</f>
        <v>235000</v>
      </c>
      <c r="AD4">
        <f>AC4*E4*10000*VLOOKUP(A4,[1]kcal!$A$2:$C$49,3,FALSE)/1000000000000</f>
        <v>0.32429999999999998</v>
      </c>
    </row>
    <row r="5" spans="1:32" x14ac:dyDescent="0.25">
      <c r="A5" s="171" t="s">
        <v>49</v>
      </c>
      <c r="B5" s="171"/>
      <c r="C5" s="171" t="str">
        <f>IFERROR(VLOOKUP(A5,'Kategorisering af kcal'!$A$2:$B$19,2,FALSE),"")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ref="F5:F51" si="2">År1</f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>
        <f t="shared" si="0"/>
        <v>0</v>
      </c>
      <c r="AA5">
        <f t="shared" si="1"/>
        <v>1</v>
      </c>
      <c r="AC5" s="94">
        <f t="shared" ref="AC5:AC68" si="8">G5-SUMPRODUCT($H$2:$N$2,H5:N5)</f>
        <v>212954.76453418657</v>
      </c>
      <c r="AD5">
        <f>AC5*E5*10000*VLOOKUP(A5,[1]kcal!$A$2:$C$49,3,FALSE)/1000000000000</f>
        <v>1.4789708396899257</v>
      </c>
    </row>
    <row r="6" spans="1:32" x14ac:dyDescent="0.25">
      <c r="A6" s="171" t="s">
        <v>102</v>
      </c>
      <c r="B6" s="171" t="s">
        <v>230</v>
      </c>
      <c r="C6" s="171" t="str">
        <f>IFERROR(VLOOKUP(A6,'Kategorisering af kcal'!$A$2:$B$19,2,FALSE),"")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2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729134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-370459.67448149773</v>
      </c>
      <c r="P6" s="94">
        <f t="shared" ca="1" si="4"/>
        <v>0</v>
      </c>
      <c r="Q6" s="180">
        <f t="shared" ca="1" si="5"/>
        <v>729134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2.4840939159400004</v>
      </c>
      <c r="T6">
        <f ca="1">IFERROR(VLOOKUP(A6,[1]Biogasudbytte!$A$2:$B$18,2,FALSE)*[1]Energiindhold!$C$10,0)*K6*IFERROR(VLOOKUP(A6,Biogasanlæg!$F$3:$G$8,2,FALSE),1)</f>
        <v>2.4840939159400004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IF(F6=År1,Q6,SUM(P6,Q6))*IFERROR(VLOOKUP(A6,[1]Tørstofindhold!A$2:B$24,2,FALSE),0)</f>
        <v>204157.52000000002</v>
      </c>
      <c r="X6">
        <f ca="1">K6*IFERROR(VLOOKUP(A6,[1]Tørstofindhold!A$2:B$24,2,FALSE),0)</f>
        <v>204157.52000000002</v>
      </c>
      <c r="Y6" s="170">
        <f t="shared" ca="1" si="7"/>
        <v>0</v>
      </c>
      <c r="Z6">
        <f t="shared" ca="1" si="0"/>
        <v>1</v>
      </c>
      <c r="AA6">
        <f t="shared" ca="1" si="1"/>
        <v>0</v>
      </c>
      <c r="AC6" s="94">
        <f t="shared" ca="1" si="8"/>
        <v>-370459.67448149773</v>
      </c>
      <c r="AD6">
        <f ca="1">AC6*E6*10000*VLOOKUP(A6,[1]kcal!$A$2:$C$49,3,FALSE)/1000000000000</f>
        <v>0</v>
      </c>
    </row>
    <row r="7" spans="1:32" x14ac:dyDescent="0.25">
      <c r="A7" s="171" t="s">
        <v>109</v>
      </c>
      <c r="B7" s="171"/>
      <c r="C7" s="171" t="str">
        <f>IFERROR(VLOOKUP(A7,'Kategorisering af kcal'!$A$2:$B$19,2,FALSE),"")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2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0"/>
        <v>0</v>
      </c>
      <c r="AA7">
        <f t="shared" ca="1" si="1"/>
        <v>0</v>
      </c>
      <c r="AC7" s="94">
        <f t="shared" ca="1" si="8"/>
        <v>462837288.84999996</v>
      </c>
      <c r="AD7">
        <f ca="1">AC7*E7*10000*VLOOKUP(A7,[1]kcal!$A$2:$C$49,3,FALSE)/1000000000000</f>
        <v>0</v>
      </c>
    </row>
    <row r="8" spans="1:32" x14ac:dyDescent="0.25">
      <c r="A8" s="171" t="s">
        <v>110</v>
      </c>
      <c r="B8" s="171"/>
      <c r="C8" s="171" t="str">
        <f>IFERROR(VLOOKUP(A8,'Kategorisering af kcal'!$A$2:$B$19,2,FALSE),"")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2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0"/>
        <v>0</v>
      </c>
      <c r="AA8">
        <f t="shared" ca="1" si="1"/>
        <v>1</v>
      </c>
      <c r="AC8" s="94">
        <f ca="1">G8-SUMPRODUCT($H$2:$N$2,H8:N8)</f>
        <v>3230529.0722415131</v>
      </c>
      <c r="AD8">
        <f ca="1">AC8*E8*10000*VLOOKUP(A8,[1]kcal!$A$2:$C$49,3,FALSE)/1000000000000</f>
        <v>0</v>
      </c>
    </row>
    <row r="9" spans="1:32" x14ac:dyDescent="0.25">
      <c r="A9" s="171" t="s">
        <v>208</v>
      </c>
      <c r="B9" s="171" t="s">
        <v>230</v>
      </c>
      <c r="C9" s="171" t="str">
        <f>IFERROR(VLOOKUP(A9,'Kategorisering af kcal'!$A$2:$B$19,2,FALSE),"")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2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IF(F9=År1,Q9,SUM(P9,Q9))*IFERROR(VLOOKUP(A9,[1]Tørstofindhold!A$2:B$24,2,FALSE),0)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0"/>
        <v>0</v>
      </c>
      <c r="AA9">
        <f t="shared" si="1"/>
        <v>0</v>
      </c>
      <c r="AC9" s="94">
        <f t="shared" si="8"/>
        <v>0</v>
      </c>
      <c r="AD9">
        <f>AC9*E9*10000*VLOOKUP(A9,[1]kcal!$A$2:$C$49,3,FALSE)/1000000000000</f>
        <v>0</v>
      </c>
    </row>
    <row r="10" spans="1:32" x14ac:dyDescent="0.25">
      <c r="A10" t="s">
        <v>101</v>
      </c>
      <c r="B10" s="171" t="s">
        <v>222</v>
      </c>
      <c r="C10" s="171" t="str">
        <f>IFERROR(VLOOKUP(A10,'Kategorisering af kcal'!$A$2:$B$19,2,FALSE),"")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2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>SUMIFS('Resultat-Produktion &amp; forbrug'!K$4:K$291,'Resultat-Produktion &amp; forbrug'!$A$4:$A$291,'Produktion &amp; forbrug'!$A10,'Resultat-Produktion &amp; forbrug'!$E$4:$E$291,'Produktion &amp; forbrug'!$F10)</f>
        <v>757087.00000000012</v>
      </c>
      <c r="L10" s="94">
        <f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si="3"/>
        <v>1352218.0071428572</v>
      </c>
      <c r="P10" s="94">
        <f t="shared" si="4"/>
        <v>1352218.0071428572</v>
      </c>
      <c r="Q10" s="180">
        <f>SUM(K10,M10)</f>
        <v>757087.00000000012</v>
      </c>
      <c r="R10">
        <f>IFERROR(VLOOKUP(A10,[1]Energiindhold!$A$2:$C$11,3,FALSE),IFERROR(VLOOKUP(A10,[1]Biogasudbytte!$A$2:$B$18,2,FALSE)*[1]Energiindhold!$C$10,0))*P10</f>
        <v>2.9126775873857143</v>
      </c>
      <c r="S10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1.6307653980000003</v>
      </c>
      <c r="T10">
        <f>IFERROR(VLOOKUP(A10,[1]Biogasudbytte!$A$2:$B$18,2,FALSE)*[1]Energiindhold!$C$10,0)*K10*IFERROR(VLOOKUP(A10,Biogasanlæg!$F$3:$G$8,2,FALSE),1)</f>
        <v>1.6307653980000003</v>
      </c>
      <c r="U10" s="170">
        <f t="shared" si="6"/>
        <v>0</v>
      </c>
      <c r="V10" s="169">
        <f>P10*IFERROR(VLOOKUP(A10,[1]Tørstofindhold!A$2:B$24,2,FALSE),0)</f>
        <v>405665.40214285714</v>
      </c>
      <c r="W10">
        <f>IF(F10=År1,Q10,SUM(P10,Q10))*IFERROR(VLOOKUP(A10,[1]Tørstofindhold!A$2:B$24,2,FALSE),0)</f>
        <v>227126.10000000003</v>
      </c>
      <c r="X10">
        <f>K10*IFERROR(VLOOKUP(A10,[1]Tørstofindhold!A$2:B$24,2,FALSE),0)</f>
        <v>227126.10000000003</v>
      </c>
      <c r="Y10" s="170">
        <f t="shared" si="7"/>
        <v>0</v>
      </c>
      <c r="Z10">
        <f t="shared" si="0"/>
        <v>0</v>
      </c>
      <c r="AA10">
        <f t="shared" si="1"/>
        <v>1</v>
      </c>
      <c r="AC10" s="94">
        <f t="shared" si="8"/>
        <v>1352218.0071428572</v>
      </c>
      <c r="AD10">
        <f>AC10*E10*10000*VLOOKUP(A10,[1]kcal!$A$2:$C$49,3,FALSE)/1000000000000</f>
        <v>0</v>
      </c>
    </row>
    <row r="11" spans="1:32" x14ac:dyDescent="0.25">
      <c r="A11" t="s">
        <v>204</v>
      </c>
      <c r="B11" s="171"/>
      <c r="C11" s="171" t="str">
        <f>IFERROR(VLOOKUP(A11,'Kategorisering af kcal'!$A$2:$B$19,2,FALSE),"")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2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0"/>
        <v>0</v>
      </c>
      <c r="AA11">
        <f t="shared" si="1"/>
        <v>0</v>
      </c>
      <c r="AC11" s="94">
        <f t="shared" si="8"/>
        <v>0</v>
      </c>
      <c r="AD11">
        <f>AC11*E11*10000*VLOOKUP(A11,[1]kcal!$A$2:$C$49,3,FALSE)/1000000000000</f>
        <v>0</v>
      </c>
    </row>
    <row r="12" spans="1:32" x14ac:dyDescent="0.25">
      <c r="A12" t="s">
        <v>137</v>
      </c>
      <c r="B12" s="171" t="s">
        <v>222</v>
      </c>
      <c r="C12" s="171" t="str">
        <f>IFERROR(VLOOKUP(A12,'Kategorisering af kcal'!$A$2:$B$19,2,FALSE),"")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2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>SUMIFS('Resultat-Produktion &amp; forbrug'!K$4:K$291,'Resultat-Produktion &amp; forbrug'!$A$4:$A$291,'Produktion &amp; forbrug'!$A12,'Resultat-Produktion &amp; forbrug'!$E$4:$E$291,'Produktion &amp; forbrug'!$F12)</f>
        <v>4441.5</v>
      </c>
      <c r="L12" s="94">
        <f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si="3"/>
        <v>0</v>
      </c>
      <c r="P12" s="94">
        <f t="shared" si="4"/>
        <v>0</v>
      </c>
      <c r="Q12" s="180">
        <f t="shared" si="5"/>
        <v>4441.5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2.0887930350000001E-3</v>
      </c>
      <c r="T12">
        <f>IFERROR(VLOOKUP(A12,[1]Biogasudbytte!$A$2:$B$18,2,FALSE)*[1]Energiindhold!$C$10,0)*K12*IFERROR(VLOOKUP(A12,Biogasanlæg!$F$3:$G$8,2,FALSE),1)</f>
        <v>2.0887930350000001E-3</v>
      </c>
      <c r="U12" s="170">
        <f t="shared" si="6"/>
        <v>0</v>
      </c>
      <c r="V12" s="169">
        <f>P12*IFERROR(VLOOKUP(A12,[1]Tørstofindhold!A$2:B$24,2,FALSE),0)</f>
        <v>0</v>
      </c>
      <c r="W12">
        <f>IF(F12=År1,Q12,SUM(P12,Q12))*IFERROR(VLOOKUP(A12,[1]Tørstofindhold!A$2:B$24,2,FALSE),0)</f>
        <v>279.81450000000001</v>
      </c>
      <c r="X12">
        <f>K12*IFERROR(VLOOKUP(A12,[1]Tørstofindhold!A$2:B$24,2,FALSE),0)</f>
        <v>279.81450000000001</v>
      </c>
      <c r="Y12" s="170">
        <f t="shared" si="7"/>
        <v>0</v>
      </c>
      <c r="Z12">
        <f t="shared" si="0"/>
        <v>0</v>
      </c>
      <c r="AA12">
        <f t="shared" si="1"/>
        <v>0</v>
      </c>
      <c r="AC12" s="94">
        <f t="shared" si="8"/>
        <v>0</v>
      </c>
      <c r="AD12">
        <f>AC12*E12*10000*VLOOKUP(A12,[1]kcal!$A$2:$C$49,3,FALSE)/1000000000000</f>
        <v>0</v>
      </c>
    </row>
    <row r="13" spans="1:32" x14ac:dyDescent="0.25">
      <c r="A13" t="s">
        <v>96</v>
      </c>
      <c r="B13" s="171"/>
      <c r="C13" s="171" t="str">
        <f>IFERROR(VLOOKUP(A13,'Kategorisering af kcal'!$A$2:$B$19,2,FALSE),"")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2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63270.025647837821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138275.28002889911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0"/>
        <v>0</v>
      </c>
      <c r="AA13">
        <f t="shared" si="1"/>
        <v>1</v>
      </c>
      <c r="AC13" s="94">
        <f t="shared" si="8"/>
        <v>201545.30567673693</v>
      </c>
      <c r="AD13">
        <f>AC13*E13*10000*VLOOKUP(A13,[1]kcal!$A$2:$C$49,3,FALSE)/1000000000000</f>
        <v>0.30634886462864014</v>
      </c>
    </row>
    <row r="14" spans="1:32" x14ac:dyDescent="0.25">
      <c r="A14" t="s">
        <v>113</v>
      </c>
      <c r="B14" s="171"/>
      <c r="C14" s="171" t="str">
        <f>IFERROR(VLOOKUP(A14,'Kategorisering af kcal'!$A$2:$B$19,2,FALSE),"")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2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0"/>
        <v>0</v>
      </c>
      <c r="AA14">
        <f t="shared" si="1"/>
        <v>1</v>
      </c>
      <c r="AC14" s="94">
        <f t="shared" si="8"/>
        <v>1508282.669250763</v>
      </c>
      <c r="AD14">
        <f>AC14*E14*10000*VLOOKUP(A14,[1]kcal!$A$2:$C$49,3,FALSE)/1000000000000</f>
        <v>0</v>
      </c>
    </row>
    <row r="15" spans="1:32" x14ac:dyDescent="0.25">
      <c r="A15" t="s">
        <v>54</v>
      </c>
      <c r="B15" s="171"/>
      <c r="C15" s="171" t="str">
        <f>IFERROR(VLOOKUP(A15,'Kategorisering af kcal'!$A$2:$B$19,2,FALSE),"")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2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462357.87973419944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-420628.93071698514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0"/>
        <v>1</v>
      </c>
      <c r="AA15">
        <f t="shared" si="1"/>
        <v>0</v>
      </c>
      <c r="AC15" s="94">
        <f t="shared" si="8"/>
        <v>41728.949017214291</v>
      </c>
      <c r="AD15">
        <f>AC15*E15*10000*VLOOKUP(A15,[1]kcal!$A$2:$C$49,3,FALSE)/1000000000000</f>
        <v>2.1699053488951431E-2</v>
      </c>
    </row>
    <row r="16" spans="1:32" x14ac:dyDescent="0.25">
      <c r="A16" s="171" t="s">
        <v>158</v>
      </c>
      <c r="B16" s="171" t="s">
        <v>158</v>
      </c>
      <c r="C16" s="171" t="str">
        <f>IFERROR(VLOOKUP(A16,'Kategorisering af kcal'!$A$2:$B$19,2,FALSE),"")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2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0"/>
        <v>1</v>
      </c>
      <c r="AA16">
        <f t="shared" si="1"/>
        <v>0</v>
      </c>
      <c r="AC16" s="94">
        <f t="shared" si="8"/>
        <v>-142742</v>
      </c>
      <c r="AD16">
        <f>AC16*E16*10000*VLOOKUP(A16,[1]kcal!$A$2:$C$49,3,FALSE)/1000000000000</f>
        <v>0</v>
      </c>
    </row>
    <row r="17" spans="1:30" x14ac:dyDescent="0.25">
      <c r="A17" s="171" t="s">
        <v>51</v>
      </c>
      <c r="B17" s="171" t="s">
        <v>224</v>
      </c>
      <c r="C17" s="171" t="str">
        <f>IFERROR(VLOOKUP(A17,'Kategorisering af kcal'!$A$2:$B$19,2,FALSE),"")</f>
        <v>Græs</v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1</v>
      </c>
      <c r="F17" s="171">
        <f t="shared" si="2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si="3"/>
        <v>4087571.5535632987</v>
      </c>
      <c r="P17" s="94">
        <f t="shared" si="4"/>
        <v>4087571.5535632987</v>
      </c>
      <c r="Q17" s="180">
        <f t="shared" si="5"/>
        <v>85676.999999999956</v>
      </c>
      <c r="R17">
        <f>IFERROR(VLOOKUP(A17,[1]Energiindhold!$A$2:$C$11,3,FALSE),IFERROR(VLOOKUP(A17,[1]Biogasudbytte!$A$2:$B$18,2,FALSE)*[1]Energiindhold!$C$10,0))*P17</f>
        <v>7.5206207121122741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>
        <f>P17*IFERROR(VLOOKUP(A17,[1]Tørstofindhold!A$2:B$24,2,FALSE),0)</f>
        <v>1144520.0349977238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>
        <f t="shared" si="0"/>
        <v>0</v>
      </c>
      <c r="AA17">
        <f t="shared" si="1"/>
        <v>1</v>
      </c>
      <c r="AC17" s="94">
        <f t="shared" si="8"/>
        <v>4087571.5535632987</v>
      </c>
      <c r="AD17">
        <f>AC17*E17*10000*VLOOKUP(A17,[1]kcal!$A$2:$C$49,3,FALSE)/1000000000000</f>
        <v>0.69488716410576079</v>
      </c>
    </row>
    <row r="18" spans="1:30" x14ac:dyDescent="0.25">
      <c r="A18" s="171" t="s">
        <v>203</v>
      </c>
      <c r="B18" s="171"/>
      <c r="C18" s="171" t="str">
        <f>IFERROR(VLOOKUP(A18,'Kategorisering af kcal'!$A$2:$B$19,2,FALSE),"")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2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>
        <f t="shared" si="0"/>
        <v>0</v>
      </c>
      <c r="AA18">
        <f t="shared" si="1"/>
        <v>0</v>
      </c>
      <c r="AC18" s="94">
        <f t="shared" si="8"/>
        <v>0</v>
      </c>
      <c r="AD18">
        <f>AC18*E18*10000*VLOOKUP(A18,[1]kcal!$A$2:$C$49,3,FALSE)/1000000000000</f>
        <v>0</v>
      </c>
    </row>
    <row r="19" spans="1:30" x14ac:dyDescent="0.25">
      <c r="A19" s="171" t="s">
        <v>6</v>
      </c>
      <c r="B19" s="171"/>
      <c r="C19" s="171" t="str">
        <f>IFERROR(VLOOKUP(A19,'Kategorisering af kcal'!$A$2:$B$19,2,FALSE),"")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2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484259.042458451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-203936.60569913458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0"/>
        <v>1</v>
      </c>
      <c r="AA19">
        <f t="shared" si="1"/>
        <v>0</v>
      </c>
      <c r="AC19" s="94">
        <f t="shared" si="8"/>
        <v>280322.43675931642</v>
      </c>
      <c r="AD19">
        <f>AC19*E19*10000*VLOOKUP(A19,[1]kcal!$A$2:$C$49,3,FALSE)/1000000000000</f>
        <v>0.10932575033613341</v>
      </c>
    </row>
    <row r="20" spans="1:30" x14ac:dyDescent="0.25">
      <c r="A20" s="171" t="s">
        <v>67</v>
      </c>
      <c r="B20" s="171" t="s">
        <v>227</v>
      </c>
      <c r="C20" s="171" t="str">
        <f>IFERROR(VLOOKUP(A20,'Kategorisering af kcal'!$A$2:$B$19,2,FALSE),"")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2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>SUMIFS('Resultat-Produktion &amp; forbrug'!K$4:K$291,'Resultat-Produktion &amp; forbrug'!$A$4:$A$291,'Produktion &amp; forbrug'!$A20,'Resultat-Produktion &amp; forbrug'!$E$4:$E$291,'Produktion &amp; forbrug'!$F20)</f>
        <v>75933.999999999971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si="3"/>
        <v>0</v>
      </c>
      <c r="P20" s="94">
        <f t="shared" si="4"/>
        <v>0</v>
      </c>
      <c r="Q20" s="180">
        <f t="shared" si="5"/>
        <v>1971428.5192748301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20.029264782475234</v>
      </c>
      <c r="T20">
        <f>IFERROR(VLOOKUP(A20,[1]Biogasudbytte!$A$2:$B$18,2,FALSE)*[1]Energiindhold!$C$10,0)*K20*IFERROR(VLOOKUP(A20,Biogasanlæg!$F$3:$G$8,2,FALSE),1)</f>
        <v>0.43780051435999984</v>
      </c>
      <c r="U20" s="170">
        <f t="shared" si="6"/>
        <v>19.591464268115235</v>
      </c>
      <c r="V20" s="169">
        <f>P20*IFERROR(VLOOKUP(A20,[1]Tørstofindhold!A$2:B$24,2,FALSE),0)</f>
        <v>0</v>
      </c>
      <c r="W20">
        <f>IF(F20=År1,Q20,SUM(P20,Q20))*IFERROR(VLOOKUP(A20,[1]Tørstofindhold!A$2:B$24,2,FALSE),0)</f>
        <v>1675714.2413836056</v>
      </c>
      <c r="X20">
        <f>K20*IFERROR(VLOOKUP(A20,[1]Tørstofindhold!A$2:B$24,2,FALSE),0)</f>
        <v>64543.899999999972</v>
      </c>
      <c r="Y20" s="170">
        <f t="shared" si="7"/>
        <v>1611170.3413836057</v>
      </c>
      <c r="Z20">
        <f t="shared" si="0"/>
        <v>0</v>
      </c>
      <c r="AA20">
        <f t="shared" si="1"/>
        <v>0</v>
      </c>
      <c r="AC20" s="94">
        <f t="shared" si="8"/>
        <v>1895494.5192748315</v>
      </c>
      <c r="AD20">
        <f>AC20*E20*10000*VLOOKUP(A20,[1]kcal!$A$2:$C$49,3,FALSE)/1000000000000</f>
        <v>0</v>
      </c>
    </row>
    <row r="21" spans="1:30" x14ac:dyDescent="0.25">
      <c r="A21" s="171" t="s">
        <v>162</v>
      </c>
      <c r="B21" s="171" t="s">
        <v>230</v>
      </c>
      <c r="C21" s="171" t="str">
        <f>IFERROR(VLOOKUP(A21,'Kategorisering af kcal'!$A$2:$B$19,2,FALSE),"")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2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0"/>
        <v>0</v>
      </c>
      <c r="AA21">
        <f t="shared" si="1"/>
        <v>0</v>
      </c>
      <c r="AC21" s="94">
        <f t="shared" si="8"/>
        <v>982731</v>
      </c>
      <c r="AD21">
        <f>AC21*E21*10000*VLOOKUP(A21,[1]kcal!$A$2:$C$49,3,FALSE)/1000000000000</f>
        <v>0</v>
      </c>
    </row>
    <row r="22" spans="1:30" x14ac:dyDescent="0.25">
      <c r="A22" t="s">
        <v>159</v>
      </c>
      <c r="B22" s="171"/>
      <c r="C22" s="171" t="str">
        <f>IFERROR(VLOOKUP(A22,'Kategorisering af kcal'!$A$2:$B$19,2,FALSE),"")</f>
        <v>Olieafgrøder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2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>
        <f t="shared" si="0"/>
        <v>1</v>
      </c>
      <c r="AA22">
        <f t="shared" si="1"/>
        <v>0</v>
      </c>
      <c r="AC22" s="94">
        <f t="shared" si="8"/>
        <v>-5421074.2654714445</v>
      </c>
      <c r="AD22">
        <f>AC22*E22*10000*VLOOKUP(A22,[1]kcal!$A$2:$C$49,3,FALSE)/1000000000000</f>
        <v>-3.0900123313187238</v>
      </c>
    </row>
    <row r="23" spans="1:30" x14ac:dyDescent="0.25">
      <c r="A23" s="171" t="s">
        <v>103</v>
      </c>
      <c r="B23" s="171" t="s">
        <v>230</v>
      </c>
      <c r="C23" s="171" t="str">
        <f>IFERROR(VLOOKUP(A23,'Kategorisering af kcal'!$A$2:$B$19,2,FALSE),"")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2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>SUMIFS('Resultat-Produktion &amp; forbrug'!K$4:K$291,'Resultat-Produktion &amp; forbrug'!$A$4:$A$291,'Produktion &amp; forbrug'!$A23,'Resultat-Produktion &amp; forbrug'!$E$4:$E$291,'Produktion &amp; forbrug'!$F23)</f>
        <v>995654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si="3"/>
        <v>-282332.03034110228</v>
      </c>
      <c r="P23" s="94">
        <f t="shared" si="4"/>
        <v>0</v>
      </c>
      <c r="Q23" s="180">
        <f t="shared" si="5"/>
        <v>995654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3.6671534844670002</v>
      </c>
      <c r="T23">
        <f>IFERROR(VLOOKUP(A23,[1]Biogasudbytte!$A$2:$B$18,2,FALSE)*[1]Energiindhold!$C$10,0)*K23*IFERROR(VLOOKUP(A23,Biogasanlæg!$F$3:$G$8,2,FALSE),1)</f>
        <v>3.6671534844670002</v>
      </c>
      <c r="U23" s="170">
        <f t="shared" si="6"/>
        <v>0</v>
      </c>
      <c r="V23" s="169">
        <f>P23*IFERROR(VLOOKUP(A23,[1]Tørstofindhold!A$2:B$24,2,FALSE),0)</f>
        <v>0</v>
      </c>
      <c r="W23">
        <f>IF(F23=År1,Q23,SUM(P23,Q23))*IFERROR(VLOOKUP(A23,[1]Tørstofindhold!A$2:B$24,2,FALSE),0)</f>
        <v>418174.68</v>
      </c>
      <c r="X23">
        <f>K23*IFERROR(VLOOKUP(A23,[1]Tørstofindhold!A$2:B$24,2,FALSE),0)</f>
        <v>418174.68</v>
      </c>
      <c r="Y23" s="170">
        <f t="shared" si="7"/>
        <v>0</v>
      </c>
      <c r="Z23">
        <f t="shared" si="0"/>
        <v>1</v>
      </c>
      <c r="AA23">
        <f t="shared" si="1"/>
        <v>0</v>
      </c>
      <c r="AC23" s="94">
        <f t="shared" si="8"/>
        <v>-282332.03034110228</v>
      </c>
      <c r="AD23">
        <f>AC23*E23*10000*VLOOKUP(A23,[1]kcal!$A$2:$C$49,3,FALSE)/1000000000000</f>
        <v>0</v>
      </c>
    </row>
    <row r="24" spans="1:30" x14ac:dyDescent="0.25">
      <c r="A24" s="171" t="s">
        <v>56</v>
      </c>
      <c r="B24" s="171"/>
      <c r="C24" s="171" t="str">
        <f>IFERROR(VLOOKUP(A24,'Kategorisering af kcal'!$A$2:$B$19,2,FALSE),"")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2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0"/>
        <v>0</v>
      </c>
      <c r="AA24">
        <f t="shared" si="1"/>
        <v>1</v>
      </c>
      <c r="AC24" s="94">
        <f t="shared" si="8"/>
        <v>912099.45136908058</v>
      </c>
      <c r="AD24">
        <f>AC24*E24*10000*VLOOKUP(A24,[1]kcal!$A$2:$C$49,3,FALSE)/1000000000000</f>
        <v>0</v>
      </c>
    </row>
    <row r="25" spans="1:30" x14ac:dyDescent="0.25">
      <c r="A25" s="171" t="s">
        <v>12</v>
      </c>
      <c r="B25" s="171"/>
      <c r="C25" s="171" t="str">
        <f>IFERROR(VLOOKUP(A25,'Kategorisering af kcal'!$A$2:$B$19,2,FALSE),"")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2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221445.08976743236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si="3"/>
        <v>2041731.0676095127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>
        <f t="shared" si="0"/>
        <v>0</v>
      </c>
      <c r="AA25">
        <f t="shared" si="1"/>
        <v>1</v>
      </c>
      <c r="AC25" s="94">
        <f t="shared" si="8"/>
        <v>2263176.157376945</v>
      </c>
      <c r="AD25">
        <f>AC25*E25*10000*VLOOKUP(A25,[1]kcal!$A$2:$C$49,3,FALSE)/1000000000000</f>
        <v>1.765277402754017</v>
      </c>
    </row>
    <row r="26" spans="1:30" x14ac:dyDescent="0.25">
      <c r="A26" s="171" t="s">
        <v>48</v>
      </c>
      <c r="B26" s="171" t="s">
        <v>227</v>
      </c>
      <c r="C26" s="171" t="str">
        <f>IFERROR(VLOOKUP(A26,'Kategorisering af kcal'!$A$2:$B$19,2,FALSE),"")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2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530494.83043187088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si="3"/>
        <v>1976968.2090253718</v>
      </c>
      <c r="P26" s="94">
        <f t="shared" si="4"/>
        <v>1976968.2090253718</v>
      </c>
      <c r="Q26" s="180">
        <f t="shared" si="5"/>
        <v>3786</v>
      </c>
      <c r="R26">
        <f>IFERROR(VLOOKUP(A26,[1]Energiindhold!$A$2:$C$11,3,FALSE),IFERROR(VLOOKUP(A26,[1]Biogasudbytte!$A$2:$B$18,2,FALSE)*[1]Energiindhold!$C$10,0))*P26</f>
        <v>6.7708393403626363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>
        <f>P26*IFERROR(VLOOKUP(A26,[1]Tørstofindhold!A$2:B$24,2,FALSE),0)</f>
        <v>612860.1447978653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>
        <f t="shared" si="0"/>
        <v>0</v>
      </c>
      <c r="AA26">
        <f t="shared" si="1"/>
        <v>1</v>
      </c>
      <c r="AC26" s="94">
        <f t="shared" si="8"/>
        <v>2507463.0394572429</v>
      </c>
      <c r="AD26">
        <f>AC26*E26*10000*VLOOKUP(A26,[1]kcal!$A$2:$C$49,3,FALSE)/1000000000000</f>
        <v>5.8276923337790398</v>
      </c>
    </row>
    <row r="27" spans="1:30" x14ac:dyDescent="0.25">
      <c r="A27" s="171" t="s">
        <v>115</v>
      </c>
      <c r="B27" s="171"/>
      <c r="C27" s="171" t="str">
        <f>IFERROR(VLOOKUP(A27,'Kategorisering af kcal'!$A$2:$B$19,2,FALSE),"")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2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>
        <f t="shared" ca="1" si="0"/>
        <v>1</v>
      </c>
      <c r="AA27">
        <f t="shared" ca="1" si="1"/>
        <v>0</v>
      </c>
      <c r="AC27" s="94">
        <f t="shared" ca="1" si="8"/>
        <v>-944817.29105430027</v>
      </c>
      <c r="AD27">
        <f ca="1">AC27*E27*10000*VLOOKUP(A27,[1]kcal!$A$2:$C$49,3,FALSE)/1000000000000</f>
        <v>0</v>
      </c>
    </row>
    <row r="28" spans="1:30" x14ac:dyDescent="0.25">
      <c r="A28" s="171" t="s">
        <v>136</v>
      </c>
      <c r="B28" s="171" t="s">
        <v>222</v>
      </c>
      <c r="C28" s="171" t="str">
        <f>IFERROR(VLOOKUP(A28,'Kategorisering af kcal'!$A$2:$B$19,2,FALSE),"")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2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>SUMIFS('Resultat-Produktion &amp; forbrug'!K$4:K$291,'Resultat-Produktion &amp; forbrug'!$A$4:$A$291,'Produktion &amp; forbrug'!$A28,'Resultat-Produktion &amp; forbrug'!$E$4:$E$291,'Produktion &amp; forbrug'!$F28)</f>
        <v>4353509.666666667</v>
      </c>
      <c r="L28" s="94">
        <f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si="3"/>
        <v>0</v>
      </c>
      <c r="P28" s="94">
        <f t="shared" si="4"/>
        <v>0</v>
      </c>
      <c r="Q28" s="180">
        <f t="shared" si="5"/>
        <v>4353509.666666667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2.2037030581700003</v>
      </c>
      <c r="T28">
        <f>IFERROR(VLOOKUP(A28,[1]Biogasudbytte!$A$2:$B$18,2,FALSE)*[1]Energiindhold!$C$10,0)*K28*IFERROR(VLOOKUP(A28,Biogasanlæg!$F$3:$G$8,2,FALSE),1)</f>
        <v>2.2037030581700003</v>
      </c>
      <c r="U28" s="170">
        <f t="shared" si="6"/>
        <v>0</v>
      </c>
      <c r="V28" s="169">
        <f>P28*IFERROR(VLOOKUP(A28,[1]Tørstofindhold!A$2:B$24,2,FALSE),0)</f>
        <v>0</v>
      </c>
      <c r="W28">
        <f>IF(F28=År1,Q28,SUM(P28,Q28))*IFERROR(VLOOKUP(A28,[1]Tørstofindhold!A$2:B$24,2,FALSE),0)</f>
        <v>330866.73466666666</v>
      </c>
      <c r="X28">
        <f>K28*IFERROR(VLOOKUP(A28,[1]Tørstofindhold!A$2:B$24,2,FALSE),0)</f>
        <v>330866.73466666666</v>
      </c>
      <c r="Y28" s="170">
        <f t="shared" si="7"/>
        <v>0</v>
      </c>
      <c r="Z28">
        <f t="shared" si="0"/>
        <v>0</v>
      </c>
      <c r="AA28">
        <f t="shared" si="1"/>
        <v>0</v>
      </c>
      <c r="AC28" s="94">
        <f t="shared" si="8"/>
        <v>0</v>
      </c>
      <c r="AD28">
        <f>AC28*E28*10000*VLOOKUP(A28,[1]kcal!$A$2:$C$49,3,FALSE)/1000000000000</f>
        <v>0</v>
      </c>
    </row>
    <row r="29" spans="1:30" x14ac:dyDescent="0.25">
      <c r="A29" s="171" t="s">
        <v>108</v>
      </c>
      <c r="B29" s="171"/>
      <c r="C29" s="171" t="str">
        <f>IFERROR(VLOOKUP(A29,'Kategorisering af kcal'!$A$2:$B$19,2,FALSE),"")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2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>
        <f t="shared" si="0"/>
        <v>0</v>
      </c>
      <c r="AA29">
        <f t="shared" si="1"/>
        <v>1</v>
      </c>
      <c r="AC29" s="94">
        <f t="shared" si="8"/>
        <v>51892.132620096207</v>
      </c>
      <c r="AD29">
        <f>AC29*E29*10000*VLOOKUP(A29,[1]kcal!$A$2:$C$49,3,FALSE)/1000000000000</f>
        <v>0</v>
      </c>
    </row>
    <row r="30" spans="1:30" x14ac:dyDescent="0.25">
      <c r="A30" t="s">
        <v>53</v>
      </c>
      <c r="B30" s="171" t="s">
        <v>224</v>
      </c>
      <c r="C30" s="171" t="str">
        <f>IFERROR(VLOOKUP(A30,'Kategorisering af kcal'!$A$2:$B$19,2,FALSE),"")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2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si="3"/>
        <v>1274488.0820395499</v>
      </c>
      <c r="P30" s="94">
        <f t="shared" si="4"/>
        <v>1274488.0820395499</v>
      </c>
      <c r="Q30" s="180">
        <f t="shared" si="5"/>
        <v>330026.00000000006</v>
      </c>
      <c r="R30">
        <f>IFERROR(VLOOKUP(A30,[1]Energiindhold!$A$2:$C$11,3,FALSE),IFERROR(VLOOKUP(A30,[1]Biogasudbytte!$A$2:$B$18,2,FALSE)*[1]Energiindhold!$C$10,0))*P30</f>
        <v>4.5754122145219851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>
        <f>P30*IFERROR(VLOOKUP(A30,[1]Tørstofindhold!A$2:B$24,2,FALSE),0)</f>
        <v>382346.42461186496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>
        <f t="shared" si="0"/>
        <v>0</v>
      </c>
      <c r="AA30">
        <f t="shared" si="1"/>
        <v>1</v>
      </c>
      <c r="AC30" s="94">
        <f t="shared" si="8"/>
        <v>1274488.0820395499</v>
      </c>
      <c r="AD30">
        <f>AC30*E30*10000*VLOOKUP(A30,[1]kcal!$A$2:$C$49,3,FALSE)/1000000000000</f>
        <v>1.1597841546559904</v>
      </c>
    </row>
    <row r="31" spans="1:30" x14ac:dyDescent="0.25">
      <c r="A31" s="171" t="s">
        <v>116</v>
      </c>
      <c r="B31" s="171"/>
      <c r="C31" s="171" t="str">
        <f>IFERROR(VLOOKUP(A31,'Kategorisering af kcal'!$A$2:$B$19,2,FALSE),"")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2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846844.95867106004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2536783.2413289403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si="0"/>
        <v>0</v>
      </c>
      <c r="AA31">
        <f t="shared" si="1"/>
        <v>1</v>
      </c>
      <c r="AC31" s="94">
        <f t="shared" si="8"/>
        <v>3383628.2</v>
      </c>
      <c r="AD31">
        <f>AC31*E31*10000*VLOOKUP(A31,[1]kcal!$A$2:$C$49,3,FALSE)/1000000000000</f>
        <v>2.1316857659999999</v>
      </c>
    </row>
    <row r="32" spans="1:30" x14ac:dyDescent="0.25">
      <c r="A32" s="171" t="s">
        <v>106</v>
      </c>
      <c r="B32" s="171" t="s">
        <v>226</v>
      </c>
      <c r="C32" s="171" t="str">
        <f>IFERROR(VLOOKUP(A32,'Kategorisering af kcal'!$A$2:$B$19,2,FALSE),"")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2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si="3"/>
        <v>880.09999999999991</v>
      </c>
      <c r="P32" s="94">
        <f t="shared" si="4"/>
        <v>880.09999999999991</v>
      </c>
      <c r="Q32" s="180">
        <f t="shared" si="5"/>
        <v>0</v>
      </c>
      <c r="R32">
        <f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>P32*IFERROR(VLOOKUP(A32,[1]Tørstofindhold!A$2:B$24,2,FALSE),0)</f>
        <v>132.01499999999999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>
        <f t="shared" si="0"/>
        <v>0</v>
      </c>
      <c r="AA32">
        <f t="shared" si="1"/>
        <v>1</v>
      </c>
      <c r="AC32" s="94">
        <f t="shared" si="8"/>
        <v>880.09999999999991</v>
      </c>
      <c r="AD32">
        <f>AC32*E32*10000*VLOOKUP(A32,[1]kcal!$A$2:$C$49,3,FALSE)/1000000000000</f>
        <v>7.3048299999999998E-4</v>
      </c>
    </row>
    <row r="33" spans="1:34" x14ac:dyDescent="0.25">
      <c r="A33" s="171" t="s">
        <v>14</v>
      </c>
      <c r="B33" s="171"/>
      <c r="C33" s="171" t="str">
        <f>IFERROR(VLOOKUP(A33,'Kategorisering af kcal'!$A$2:$B$19,2,FALSE),"")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2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107607.71285182264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8064.2063400965562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si="0"/>
        <v>0</v>
      </c>
      <c r="AA33">
        <f t="shared" si="1"/>
        <v>1</v>
      </c>
      <c r="AC33" s="94">
        <f t="shared" si="8"/>
        <v>115671.91919191919</v>
      </c>
      <c r="AD33">
        <f>AC33*E33*10000*VLOOKUP(A33,[1]kcal!$A$2:$C$49,3,FALSE)/1000000000000</f>
        <v>0.22556024242424241</v>
      </c>
    </row>
    <row r="34" spans="1:34" x14ac:dyDescent="0.25">
      <c r="A34" s="171" t="s">
        <v>55</v>
      </c>
      <c r="B34" s="171"/>
      <c r="C34" s="171" t="str">
        <f>IFERROR(VLOOKUP(A34,'Kategorisering af kcal'!$A$2:$B$19,2,FALSE),"")</f>
        <v>Øvrige</v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2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0"/>
        <v>0</v>
      </c>
      <c r="AA34">
        <f t="shared" si="1"/>
        <v>1</v>
      </c>
      <c r="AC34" s="94">
        <f t="shared" si="8"/>
        <v>2006067.2488276002</v>
      </c>
      <c r="AD34">
        <f>AC34*E34*10000*VLOOKUP(A34,[1]kcal!$A$2:$C$49,3,FALSE)/1000000000000</f>
        <v>0.78236622704276404</v>
      </c>
    </row>
    <row r="35" spans="1:34" x14ac:dyDescent="0.25">
      <c r="A35" s="171" t="s">
        <v>95</v>
      </c>
      <c r="B35" s="171" t="s">
        <v>225</v>
      </c>
      <c r="C35" s="171" t="str">
        <f>IFERROR(VLOOKUP(A35,'Kategorisering af kcal'!$A$2:$B$19,2,FALSE),"")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2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0"/>
        <v>0</v>
      </c>
      <c r="AA35">
        <f t="shared" si="1"/>
        <v>0</v>
      </c>
      <c r="AC35" s="94">
        <f t="shared" si="8"/>
        <v>209867.13867694439</v>
      </c>
      <c r="AD35">
        <f>AC35*E35*10000*VLOOKUP(A35,[1]kcal!$A$2:$C$49,3,FALSE)/1000000000000</f>
        <v>0</v>
      </c>
    </row>
    <row r="36" spans="1:34" x14ac:dyDescent="0.25">
      <c r="A36" s="171" t="s">
        <v>306</v>
      </c>
      <c r="B36" s="171" t="s">
        <v>312</v>
      </c>
      <c r="C36" s="171" t="str">
        <f>IFERROR(VLOOKUP(A36,'Kategorisering af kcal'!$A$2:$B$19,2,FALSE),"")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2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si="3"/>
        <v>0</v>
      </c>
      <c r="P36" s="94">
        <f t="shared" si="4"/>
        <v>0</v>
      </c>
      <c r="Q36" s="180">
        <f t="shared" si="5"/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si="6"/>
        <v>0</v>
      </c>
      <c r="V36" s="169">
        <f>P36*IFERROR(VLOOKUP(A36,[1]Tørstofindhold!A$2:B$24,2,FALSE),0)</f>
        <v>0</v>
      </c>
      <c r="W36">
        <f>IF(F36=År1,Q36,SUM(P36,Q36))*IFERROR(VLOOKUP(A36,[1]Tørstofindhold!A$2:B$24,2,FALSE),0)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si="7"/>
        <v>0</v>
      </c>
      <c r="Z36">
        <f t="shared" ref="Z36:Z67" si="9">IF(SUMIFS($O$4:$O$147,$A$4:$A$147,A36,$F$4:$F$147,F36)&lt;0,1,0)</f>
        <v>0</v>
      </c>
      <c r="AA36">
        <f t="shared" ref="AA36:AA67" si="10">IF(SUMIFS($O$4:$O$147,$A$4:$A$147,A36,$F$4:$F$147,F36)&gt;0,1,0)</f>
        <v>0</v>
      </c>
      <c r="AC36" s="94">
        <f t="shared" si="8"/>
        <v>0</v>
      </c>
      <c r="AD36">
        <f>AC36*E36*10000*VLOOKUP(A36,[1]kcal!$A$2:$C$49,3,FALSE)/1000000000000</f>
        <v>0</v>
      </c>
    </row>
    <row r="37" spans="1:34" x14ac:dyDescent="0.25">
      <c r="A37" s="171" t="s">
        <v>307</v>
      </c>
      <c r="B37" s="171" t="s">
        <v>312</v>
      </c>
      <c r="C37" s="171" t="str">
        <f>IFERROR(VLOOKUP(A37,'Kategorisering af kcal'!$A$2:$B$19,2,FALSE),"")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2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si="3"/>
        <v>0</v>
      </c>
      <c r="P37" s="94">
        <f t="shared" si="4"/>
        <v>0</v>
      </c>
      <c r="Q37" s="180">
        <f t="shared" si="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6"/>
        <v>0</v>
      </c>
      <c r="V37" s="169">
        <f>P37*IFERROR(VLOOKUP(A37,[1]Tørstofindhold!A$2:B$24,2,FALSE),0)</f>
        <v>0</v>
      </c>
      <c r="W37">
        <f>IF(F37=År1,Q37,SUM(P37,Q37))*IFERROR(VLOOKUP(A37,[1]Tørstofindhold!A$2:B$24,2,FALSE),0)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7"/>
        <v>0</v>
      </c>
      <c r="Z37">
        <f t="shared" si="9"/>
        <v>0</v>
      </c>
      <c r="AA37">
        <f t="shared" si="10"/>
        <v>0</v>
      </c>
      <c r="AC37" s="94">
        <f t="shared" si="8"/>
        <v>0</v>
      </c>
      <c r="AD37">
        <f>AC37*E37*10000*VLOOKUP(A37,[1]kcal!$A$2:$C$49,3,FALSE)/1000000000000</f>
        <v>0</v>
      </c>
    </row>
    <row r="38" spans="1:34" x14ac:dyDescent="0.25">
      <c r="A38" s="171" t="s">
        <v>117</v>
      </c>
      <c r="B38" s="171"/>
      <c r="C38" s="171" t="str">
        <f>IFERROR(VLOOKUP(A38,'Kategorisering af kcal'!$A$2:$B$19,2,FALSE),"")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2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si="9"/>
        <v>0</v>
      </c>
      <c r="AA38">
        <f t="shared" si="10"/>
        <v>1</v>
      </c>
      <c r="AC38" s="94">
        <f t="shared" si="8"/>
        <v>5269000</v>
      </c>
      <c r="AD38">
        <f>AC38*E38*10000*VLOOKUP(A38,[1]kcal!$A$2:$C$49,3,FALSE)/1000000000000</f>
        <v>0</v>
      </c>
    </row>
    <row r="39" spans="1:34" x14ac:dyDescent="0.25">
      <c r="A39" t="s">
        <v>50</v>
      </c>
      <c r="B39" s="171"/>
      <c r="C39" s="171" t="str">
        <f>IFERROR(VLOOKUP(A39,'Kategorisering af kcal'!$A$2:$B$19,2,FALSE),"")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2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9"/>
        <v>0</v>
      </c>
      <c r="AA39">
        <f t="shared" si="10"/>
        <v>0</v>
      </c>
      <c r="AC39" s="94">
        <f t="shared" si="8"/>
        <v>0</v>
      </c>
      <c r="AD39">
        <f>AC39*E39*10000*VLOOKUP(A39,[1]kcal!$A$2:$C$49,3,FALSE)/1000000000000</f>
        <v>0</v>
      </c>
    </row>
    <row r="40" spans="1:34" x14ac:dyDescent="0.25">
      <c r="A40" t="s">
        <v>238</v>
      </c>
      <c r="B40" s="171"/>
      <c r="C40" s="171" t="str">
        <f>IFERROR(VLOOKUP(A40,'Kategorisering af kcal'!$A$2:$B$19,2,FALSE),"")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2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>
        <f t="shared" si="9"/>
        <v>0</v>
      </c>
      <c r="AA40">
        <f t="shared" si="10"/>
        <v>1</v>
      </c>
      <c r="AC40" s="94">
        <f t="shared" si="8"/>
        <v>98784.738662362768</v>
      </c>
      <c r="AD40">
        <f>AC40*E40*10000*VLOOKUP(A40,[1]kcal!$A$2:$C$49,3,FALSE)/1000000000000</f>
        <v>0</v>
      </c>
    </row>
    <row r="41" spans="1:34" x14ac:dyDescent="0.25">
      <c r="A41" t="s">
        <v>231</v>
      </c>
      <c r="B41" s="171" t="s">
        <v>231</v>
      </c>
      <c r="C41" s="171" t="str">
        <f>IFERROR(VLOOKUP(A41,'Kategorisering af kcal'!$A$2:$B$19,2,FALSE),"")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2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9"/>
        <v>0</v>
      </c>
      <c r="AA41">
        <f t="shared" si="10"/>
        <v>0</v>
      </c>
      <c r="AC41" s="94">
        <f t="shared" si="8"/>
        <v>112873.31802427147</v>
      </c>
      <c r="AD41">
        <f>AC41*E41*10000*VLOOKUP(A41,[1]kcal!$A$2:$C$49,3,FALSE)/1000000000000</f>
        <v>1.0158598622184432</v>
      </c>
    </row>
    <row r="42" spans="1:34" x14ac:dyDescent="0.25">
      <c r="A42" t="s">
        <v>52</v>
      </c>
      <c r="B42" s="171" t="s">
        <v>224</v>
      </c>
      <c r="C42" s="171" t="str">
        <f>IFERROR(VLOOKUP(A42,'Kategorisering af kcal'!$A$2:$B$19,2,FALSE),"")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2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si="3"/>
        <v>1637775.5474174484</v>
      </c>
      <c r="P42" s="94">
        <f t="shared" si="4"/>
        <v>1637775.5474174484</v>
      </c>
      <c r="Q42" s="180">
        <f t="shared" si="5"/>
        <v>28644.999999999993</v>
      </c>
      <c r="R42">
        <f>IFERROR(VLOOKUP(A42,[1]Energiindhold!$A$2:$C$11,3,FALSE),IFERROR(VLOOKUP(A42,[1]Biogasudbytte!$A$2:$B$18,2,FALSE)*[1]Energiindhold!$C$10,0))*P42</f>
        <v>4.4449883467128517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>
        <f>P42*IFERROR(VLOOKUP(A42,[1]Tørstofindhold!A$2:B$24,2,FALSE),0)</f>
        <v>327555.10948348971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>
        <f t="shared" si="9"/>
        <v>0</v>
      </c>
      <c r="AA42">
        <f t="shared" si="10"/>
        <v>1</v>
      </c>
      <c r="AC42" s="94">
        <f t="shared" si="8"/>
        <v>1637775.5474174484</v>
      </c>
      <c r="AD42">
        <f>AC42*E42*10000*VLOOKUP(A42,[1]kcal!$A$2:$C$49,3,FALSE)/1000000000000</f>
        <v>0.49133266422523447</v>
      </c>
    </row>
    <row r="43" spans="1:34" x14ac:dyDescent="0.25">
      <c r="A43" t="s">
        <v>121</v>
      </c>
      <c r="B43" s="171"/>
      <c r="C43" s="171" t="str">
        <f>IFERROR(VLOOKUP(A43,'Kategorisering af kcal'!$A$2:$B$19,2,FALSE),"")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2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si="9"/>
        <v>0</v>
      </c>
      <c r="AA43">
        <f t="shared" si="10"/>
        <v>1</v>
      </c>
      <c r="AC43" s="94">
        <f t="shared" si="8"/>
        <v>217010.36743552322</v>
      </c>
      <c r="AD43">
        <f>AC43*E43*10000*VLOOKUP(A43,[1]kcal!$A$2:$C$49,3,FALSE)/1000000000000</f>
        <v>0</v>
      </c>
    </row>
    <row r="44" spans="1:34" x14ac:dyDescent="0.25">
      <c r="A44" t="s">
        <v>107</v>
      </c>
      <c r="B44" s="171"/>
      <c r="C44" s="171" t="str">
        <f>IFERROR(VLOOKUP(A44,'Kategorisering af kcal'!$A$2:$B$19,2,FALSE),"")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2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>
        <f t="shared" si="9"/>
        <v>0</v>
      </c>
      <c r="AA44">
        <f t="shared" si="10"/>
        <v>1</v>
      </c>
      <c r="AC44" s="94">
        <f t="shared" si="8"/>
        <v>105946.31157195524</v>
      </c>
      <c r="AD44">
        <f>AC44*E44*10000*VLOOKUP(A44,[1]kcal!$A$2:$C$49,3,FALSE)/1000000000000</f>
        <v>0</v>
      </c>
    </row>
    <row r="45" spans="1:34" x14ac:dyDescent="0.25">
      <c r="A45" s="171" t="s">
        <v>140</v>
      </c>
      <c r="B45" s="171" t="s">
        <v>230</v>
      </c>
      <c r="C45" s="171" t="str">
        <f>IFERROR(VLOOKUP(A45,'Kategorisering af kcal'!$A$2:$B$19,2,FALSE),"")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2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>SUMIFS('Resultat-Produktion &amp; forbrug'!K$4:K$291,'Resultat-Produktion &amp; forbrug'!$A$4:$A$291,'Produktion &amp; forbrug'!$A45,'Resultat-Produktion &amp; forbrug'!$E$4:$E$291,'Produktion &amp; forbrug'!$F45)</f>
        <v>2668834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si="3"/>
        <v>4368323.901678659</v>
      </c>
      <c r="P45" s="94">
        <f t="shared" si="4"/>
        <v>4368323.901678659</v>
      </c>
      <c r="Q45" s="180">
        <f t="shared" si="5"/>
        <v>2668834</v>
      </c>
      <c r="R45">
        <f>IFERROR(VLOOKUP(A45,[1]Energiindhold!$A$2:$C$11,3,FALSE),IFERROR(VLOOKUP(A45,[1]Biogasudbytte!$A$2:$B$18,2,FALSE)*[1]Energiindhold!$C$10,0))*P45</f>
        <v>2.1798373101766679</v>
      </c>
      <c r="S45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1.3317748543400001</v>
      </c>
      <c r="T45">
        <f>IFERROR(VLOOKUP(A45,[1]Biogasudbytte!$A$2:$B$18,2,FALSE)*[1]Energiindhold!$C$10,0)*K45*IFERROR(VLOOKUP(A45,Biogasanlæg!$F$3:$G$8,2,FALSE),1)</f>
        <v>1.3317748543400001</v>
      </c>
      <c r="U45" s="170">
        <f t="shared" si="6"/>
        <v>0</v>
      </c>
      <c r="V45" s="169">
        <f>P45*IFERROR(VLOOKUP(A45,[1]Tørstofindhold!A$2:B$24,2,FALSE),0)</f>
        <v>262099.43410071952</v>
      </c>
      <c r="W45">
        <f>IF(F45=År1,Q45,SUM(P45,Q45))*IFERROR(VLOOKUP(A45,[1]Tørstofindhold!A$2:B$24,2,FALSE),0)</f>
        <v>160130.04</v>
      </c>
      <c r="X45">
        <f>K45*IFERROR(VLOOKUP(A45,[1]Tørstofindhold!A$2:B$24,2,FALSE),0)</f>
        <v>160130.04</v>
      </c>
      <c r="Y45" s="170">
        <f t="shared" si="7"/>
        <v>0</v>
      </c>
      <c r="Z45">
        <f t="shared" si="9"/>
        <v>0</v>
      </c>
      <c r="AA45">
        <f t="shared" si="10"/>
        <v>1</v>
      </c>
      <c r="AC45" s="94">
        <f t="shared" si="8"/>
        <v>4368323.901678659</v>
      </c>
      <c r="AD45">
        <f>AC45*E45*10000*VLOOKUP(A45,[1]kcal!$A$2:$C$49,3,FALSE)/1000000000000</f>
        <v>0</v>
      </c>
    </row>
    <row r="46" spans="1:34" x14ac:dyDescent="0.25">
      <c r="A46" s="171" t="s">
        <v>135</v>
      </c>
      <c r="B46" s="171" t="s">
        <v>222</v>
      </c>
      <c r="C46" s="171" t="str">
        <f>IFERROR(VLOOKUP(A46,'Kategorisering af kcal'!$A$2:$B$19,2,FALSE),"")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2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9"/>
        <v>0</v>
      </c>
      <c r="AA46">
        <f t="shared" si="10"/>
        <v>0</v>
      </c>
      <c r="AC46" s="94">
        <f t="shared" si="8"/>
        <v>0</v>
      </c>
      <c r="AD46">
        <f>AC46*E46*10000*VLOOKUP(A46,[1]kcal!$A$2:$C$49,3,FALSE)/1000000000000</f>
        <v>0</v>
      </c>
    </row>
    <row r="47" spans="1:34" x14ac:dyDescent="0.25">
      <c r="A47" s="171" t="s">
        <v>13</v>
      </c>
      <c r="B47" s="171"/>
      <c r="C47" s="171" t="str">
        <f>IFERROR(VLOOKUP(A47,'Kategorisering af kcal'!$A$2:$B$19,2,FALSE),"")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2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218476.26548703379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1382651.4311789067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9"/>
        <v>0</v>
      </c>
      <c r="AA47">
        <f t="shared" si="10"/>
        <v>1</v>
      </c>
      <c r="AC47" s="94">
        <f t="shared" si="8"/>
        <v>1601127.6966659406</v>
      </c>
      <c r="AD47">
        <f>AC47*E47*10000*VLOOKUP(A47,[1]kcal!$A$2:$C$49,3,FALSE)/1000000000000</f>
        <v>3.1221990084985847</v>
      </c>
      <c r="AG47" s="94"/>
      <c r="AH47" s="401"/>
    </row>
    <row r="48" spans="1:34" x14ac:dyDescent="0.25">
      <c r="A48" s="171" t="s">
        <v>99</v>
      </c>
      <c r="B48" s="171" t="s">
        <v>226</v>
      </c>
      <c r="C48" s="171" t="str">
        <f>IFERROR(VLOOKUP(A48,'Kategorisering af kcal'!$A$2:$B$19,2,FALSE),"")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2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si="3"/>
        <v>76.5</v>
      </c>
      <c r="P48" s="94">
        <f t="shared" si="4"/>
        <v>76.5</v>
      </c>
      <c r="Q48" s="180">
        <f t="shared" si="5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>P48*IFERROR(VLOOKUP(A48,[1]Tørstofindhold!A$2:B$24,2,FALSE),0)</f>
        <v>11.475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>
        <f t="shared" si="9"/>
        <v>0</v>
      </c>
      <c r="AA48">
        <f t="shared" si="10"/>
        <v>1</v>
      </c>
      <c r="AC48" s="94">
        <f t="shared" si="8"/>
        <v>76.5</v>
      </c>
      <c r="AD48">
        <f>AC48*E48*10000*VLOOKUP(A48,[1]kcal!$A$2:$C$49,3,FALSE)/1000000000000</f>
        <v>3.1211999999999999E-5</v>
      </c>
    </row>
    <row r="49" spans="1:30" x14ac:dyDescent="0.25">
      <c r="A49" s="171" t="s">
        <v>104</v>
      </c>
      <c r="B49" s="171"/>
      <c r="C49" s="171" t="str">
        <f>IFERROR(VLOOKUP(A49,'Kategorisering af kcal'!$A$2:$B$19,2,FALSE),"")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2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9"/>
        <v>0</v>
      </c>
      <c r="AA49">
        <f t="shared" si="10"/>
        <v>0</v>
      </c>
      <c r="AC49" s="94">
        <f t="shared" si="8"/>
        <v>0</v>
      </c>
      <c r="AD49">
        <f>AC49*E49*10000*VLOOKUP(A49,[1]kcal!$A$2:$C$49,3,FALSE)/1000000000000</f>
        <v>0</v>
      </c>
    </row>
    <row r="50" spans="1:30" x14ac:dyDescent="0.25">
      <c r="A50" s="171" t="s">
        <v>119</v>
      </c>
      <c r="B50" s="171" t="s">
        <v>225</v>
      </c>
      <c r="C50" s="171" t="str">
        <f>IFERROR(VLOOKUP(A50,'Kategorisering af kcal'!$A$2:$B$19,2,FALSE),"")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2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P50*IFERROR(VLOOKUP(A50,[1]Tørstofindhold!A$2:B$24,2,FALSE),0)</f>
        <v>0</v>
      </c>
      <c r="W50">
        <f ca="1">IF(F50=År1,Q50,SUM(P50,Q50))*IFERROR(VLOOKUP(A50,[1]Tørstofindhold!A$2:B$24,2,FALSE),0)</f>
        <v>1488840.2837253874</v>
      </c>
      <c r="X50">
        <f>K50*IFERROR(VLOOKUP(A50,[1]Tørstofindhold!A$2:B$24,2,FALSE),0)</f>
        <v>0</v>
      </c>
      <c r="Y50" s="170">
        <f t="shared" ca="1" si="7"/>
        <v>1488840.2837253874</v>
      </c>
      <c r="Z50">
        <f t="shared" ca="1" si="9"/>
        <v>0</v>
      </c>
      <c r="AA50">
        <f t="shared" ca="1" si="10"/>
        <v>0</v>
      </c>
      <c r="AC50" s="94">
        <f t="shared" ca="1" si="8"/>
        <v>3010292.0648196544</v>
      </c>
      <c r="AD50">
        <f ca="1">AC50*E50*10000*VLOOKUP(A50,[1]kcal!$A$2:$C$49,3,FALSE)/1000000000000</f>
        <v>0</v>
      </c>
    </row>
    <row r="51" spans="1:30" x14ac:dyDescent="0.25">
      <c r="A51" s="171" t="s">
        <v>118</v>
      </c>
      <c r="B51" s="171"/>
      <c r="C51" s="171" t="str">
        <f>IFERROR(VLOOKUP(A51,'Kategorisering af kcal'!$A$2:$B$19,2,FALSE),"")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2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>
        <f t="shared" ca="1" si="9"/>
        <v>0</v>
      </c>
      <c r="AA51">
        <f t="shared" ca="1" si="10"/>
        <v>0</v>
      </c>
      <c r="AC51" s="94">
        <f t="shared" ca="1" si="8"/>
        <v>0</v>
      </c>
      <c r="AD51">
        <f ca="1">AC51*E51*10000*VLOOKUP(A51,[1]kcal!$A$2:$C$49,3,FALSE)/1000000000000</f>
        <v>0</v>
      </c>
    </row>
    <row r="52" spans="1:30" x14ac:dyDescent="0.25">
      <c r="A52" s="171" t="str">
        <f t="shared" ref="A52:A115" si="11">A4</f>
        <v>Æg</v>
      </c>
      <c r="B52" s="171" t="str">
        <f t="shared" ref="B52:B115" si="12">IF(B4&lt;&gt;"",B4,"")</f>
        <v/>
      </c>
      <c r="C52" s="171" t="str">
        <f>IFERROR(VLOOKUP(A52,'Kategorisering af kcal'!$A$2:$B$19,2,FALSE),"")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3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184967.74193548385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60789.12467762841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124178.61725785544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si="9"/>
        <v>0</v>
      </c>
      <c r="AA52">
        <f t="shared" si="10"/>
        <v>1</v>
      </c>
      <c r="AC52" s="94">
        <f t="shared" si="8"/>
        <v>184967.74193548385</v>
      </c>
      <c r="AD52">
        <f>AC52*E52*10000*VLOOKUP(A52,[1]kcal!$A$2:$C$49,3,FALSE)/1000000000000</f>
        <v>0.25525548387096775</v>
      </c>
    </row>
    <row r="53" spans="1:30" x14ac:dyDescent="0.25">
      <c r="A53" s="171" t="str">
        <f t="shared" si="11"/>
        <v>Bælgsæd</v>
      </c>
      <c r="B53" s="171" t="str">
        <f t="shared" si="12"/>
        <v/>
      </c>
      <c r="C53" s="171" t="str">
        <f>IFERROR(VLOOKUP(A53,'Kategorisering af kcal'!$A$2:$B$19,2,FALSE),"")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4">E5</f>
        <v>1</v>
      </c>
      <c r="F53" s="171">
        <f t="shared" si="13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960305.60934986256</v>
      </c>
      <c r="H53" s="94">
        <f>SUMIFS('Resultat-Produktion &amp; forbrug'!H$4:H$291,'Resultat-Produktion &amp; forbrug'!$A$4:$A$291,'Produktion &amp; forbrug'!$A53,'Resultat-Produktion &amp; forbrug'!$E$4:$E$291,'Produktion &amp; forbrug'!$F53)</f>
        <v>328844.55006595154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si="3"/>
        <v>631461.05928391102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>
        <f t="shared" si="9"/>
        <v>0</v>
      </c>
      <c r="AA53">
        <f t="shared" si="10"/>
        <v>1</v>
      </c>
      <c r="AC53" s="94">
        <f t="shared" si="8"/>
        <v>631461.05928391102</v>
      </c>
      <c r="AD53">
        <f>AC53*E53*10000*VLOOKUP(A53,[1]kcal!$A$2:$C$49,3,FALSE)/1000000000000</f>
        <v>4.3854970567267619</v>
      </c>
    </row>
    <row r="54" spans="1:30" x14ac:dyDescent="0.25">
      <c r="A54" s="171" t="str">
        <f t="shared" si="11"/>
        <v>Bioaffald</v>
      </c>
      <c r="B54" s="171" t="str">
        <f t="shared" si="12"/>
        <v>Bionedbrydeligt affald</v>
      </c>
      <c r="C54" s="171" t="str">
        <f>IFERROR(VLOOKUP(A54,'Kategorisering af kcal'!$A$2:$B$19,2,FALSE),"")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4"/>
        <v>0</v>
      </c>
      <c r="F54" s="171">
        <f t="shared" si="13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 ca="1"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P54*IFERROR(VLOOKUP(A54,[1]Tørstofindhold!A$2:B$24,2,FALSE),0)</f>
        <v>0</v>
      </c>
      <c r="W54">
        <f ca="1">IF(F54=År1,Q54,SUM(P54,Q54))*IFERROR(VLOOKUP(A54,[1]Tørstofindhold!A$2:B$24,2,FALSE),0)</f>
        <v>101918.5920879683</v>
      </c>
      <c r="X54">
        <f ca="1">K54*IFERROR(VLOOKUP(A54,[1]Tørstofindhold!A$2:B$24,2,FALSE),0)</f>
        <v>0</v>
      </c>
      <c r="Y54" s="170">
        <f t="shared" ca="1" si="7"/>
        <v>101918.5920879683</v>
      </c>
      <c r="Z54">
        <f t="shared" ca="1" si="9"/>
        <v>0</v>
      </c>
      <c r="AA54">
        <f t="shared" ca="1" si="10"/>
        <v>0</v>
      </c>
      <c r="AC54" s="94">
        <f t="shared" ca="1" si="8"/>
        <v>363994.97174274386</v>
      </c>
      <c r="AD54">
        <f ca="1">AC54*E54*10000*VLOOKUP(A54,[1]kcal!$A$2:$C$49,3,FALSE)/1000000000000</f>
        <v>0</v>
      </c>
    </row>
    <row r="55" spans="1:30" x14ac:dyDescent="0.25">
      <c r="A55" s="171" t="str">
        <f t="shared" si="11"/>
        <v>Biogas</v>
      </c>
      <c r="B55" s="171" t="str">
        <f t="shared" si="12"/>
        <v/>
      </c>
      <c r="C55" s="171" t="str">
        <f>IFERROR(VLOOKUP(A55,'Kategorisering af kcal'!$A$2:$B$19,2,FALSE),"")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4"/>
        <v>0</v>
      </c>
      <c r="F55" s="171">
        <f t="shared" si="13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439908018.12018299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439908018.12018299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439908018.12018299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P55*IFERROR(VLOOKUP(A55,[1]Tørstofindhold!A$2:B$24,2,FALSE),0)</f>
        <v>0</v>
      </c>
      <c r="W55">
        <f ca="1"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7"/>
        <v>0</v>
      </c>
      <c r="Z55">
        <f t="shared" ca="1" si="9"/>
        <v>0</v>
      </c>
      <c r="AA55">
        <f t="shared" ca="1" si="10"/>
        <v>0</v>
      </c>
      <c r="AC55" s="94">
        <f t="shared" ca="1" si="8"/>
        <v>439908018.12018299</v>
      </c>
      <c r="AD55">
        <f ca="1">AC55*E55*10000*VLOOKUP(A55,[1]kcal!$A$2:$C$49,3,FALSE)/1000000000000</f>
        <v>0</v>
      </c>
    </row>
    <row r="56" spans="1:30" x14ac:dyDescent="0.25">
      <c r="A56" s="171" t="str">
        <f t="shared" si="11"/>
        <v>Biogasgylle</v>
      </c>
      <c r="B56" s="171" t="str">
        <f t="shared" si="12"/>
        <v/>
      </c>
      <c r="C56" s="171" t="str">
        <f>IFERROR(VLOOKUP(A56,'Kategorisering af kcal'!$A$2:$B$19,2,FALSE),"")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4"/>
        <v>0</v>
      </c>
      <c r="F56" s="171">
        <f t="shared" si="13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24781263.525629494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21304298.781511314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3476964.7441181801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>
        <f t="shared" ca="1" si="9"/>
        <v>0</v>
      </c>
      <c r="AA56">
        <f t="shared" ca="1" si="10"/>
        <v>1</v>
      </c>
      <c r="AC56" s="94">
        <f t="shared" ca="1" si="8"/>
        <v>3476964.7441181801</v>
      </c>
      <c r="AD56">
        <f ca="1">AC56*E56*10000*VLOOKUP(A56,[1]kcal!$A$2:$C$49,3,FALSE)/1000000000000</f>
        <v>0</v>
      </c>
    </row>
    <row r="57" spans="1:30" x14ac:dyDescent="0.25">
      <c r="A57" s="171" t="str">
        <f t="shared" si="11"/>
        <v>Brun saft</v>
      </c>
      <c r="B57" s="171" t="str">
        <f t="shared" si="12"/>
        <v>Bionedbrydeligt affald</v>
      </c>
      <c r="C57" s="171" t="str">
        <f>IFERROR(VLOOKUP(A57,'Kategorisering af kcal'!$A$2:$B$19,2,FALSE),"")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4"/>
        <v>0</v>
      </c>
      <c r="F57" s="171">
        <f t="shared" si="13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7823271.0880785175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>SUMIFS('Resultat-Produktion &amp; forbrug'!K$4:K$291,'Resultat-Produktion &amp; forbrug'!$A$4:$A$291,'Produktion &amp; forbrug'!$A57,'Resultat-Produktion &amp; forbrug'!$E$4:$E$291,'Produktion &amp; forbrug'!$F57)</f>
        <v>5867453.3160588881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si="3"/>
        <v>1955817.7720196294</v>
      </c>
      <c r="P57" s="94">
        <f t="shared" si="4"/>
        <v>1955817.7720196294</v>
      </c>
      <c r="Q57" s="180">
        <f t="shared" si="5"/>
        <v>5867453.3160588881</v>
      </c>
      <c r="R57">
        <f>IFERROR(VLOOKUP(A57,[1]Energiindhold!$A$2:$C$11,3,FALSE),IFERROR(VLOOKUP(A57,[1]Biogasudbytte!$A$2:$B$18,2,FALSE)*[1]Energiindhold!$C$10,0))*P57</f>
        <v>1.1109554962482548</v>
      </c>
      <c r="S57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4.4438219849930194</v>
      </c>
      <c r="T57">
        <f>IFERROR(VLOOKUP(A57,[1]Biogasudbytte!$A$2:$B$18,2,FALSE)*[1]Energiindhold!$C$10,0)*K57*IFERROR(VLOOKUP(A57,Biogasanlæg!$F$3:$G$8,2,FALSE),1)</f>
        <v>3.3328664887447643</v>
      </c>
      <c r="U57" s="170">
        <f t="shared" si="6"/>
        <v>1.1109554962482551</v>
      </c>
      <c r="V57" s="169">
        <f>P57*IFERROR(VLOOKUP(A57,[1]Tørstofindhold!A$2:B$24,2,FALSE),0)</f>
        <v>83637.393378623397</v>
      </c>
      <c r="W57">
        <f>IF(F57=År1,Q57,SUM(P57,Q57))*IFERROR(VLOOKUP(A57,[1]Tørstofindhold!A$2:B$24,2,FALSE),0)</f>
        <v>334549.57351449359</v>
      </c>
      <c r="X57">
        <f>K57*IFERROR(VLOOKUP(A57,[1]Tørstofindhold!A$2:B$24,2,FALSE),0)</f>
        <v>250912.18013587021</v>
      </c>
      <c r="Y57" s="170">
        <f t="shared" si="7"/>
        <v>83637.393378623383</v>
      </c>
      <c r="Z57">
        <f t="shared" si="9"/>
        <v>0</v>
      </c>
      <c r="AA57">
        <f t="shared" si="10"/>
        <v>1</v>
      </c>
      <c r="AC57" s="94">
        <f t="shared" si="8"/>
        <v>1955817.7720196294</v>
      </c>
      <c r="AD57">
        <f>AC57*E57*10000*VLOOKUP(A57,[1]kcal!$A$2:$C$49,3,FALSE)/1000000000000</f>
        <v>0</v>
      </c>
    </row>
    <row r="58" spans="1:30" x14ac:dyDescent="0.25">
      <c r="A58" s="171" t="str">
        <f t="shared" si="11"/>
        <v>Dybstrøelse</v>
      </c>
      <c r="B58" s="171" t="str">
        <f t="shared" si="12"/>
        <v>Husdyrgødning</v>
      </c>
      <c r="C58" s="171" t="str">
        <f>IFERROR(VLOOKUP(A58,'Kategorisering af kcal'!$A$2:$B$19,2,FALSE),"")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4"/>
        <v>0</v>
      </c>
      <c r="F58" s="171">
        <f t="shared" si="13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2010048.6308862029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>SUMIFS('Resultat-Produktion &amp; forbrug'!K$4:K$291,'Resultat-Produktion &amp; forbrug'!$A$4:$A$291,'Produktion &amp; forbrug'!$A58,'Resultat-Produktion &amp; forbrug'!$E$4:$E$291,'Produktion &amp; forbrug'!$F58)</f>
        <v>1507536.473164652</v>
      </c>
      <c r="L58" s="94">
        <f>SUMIFS('Resultat-Produktion &amp; forbrug'!L$4:L$291,'Resultat-Produktion &amp; forbrug'!$A$4:$A$291,'Produktion &amp; forbrug'!$A58,'Resultat-Produktion &amp; forbrug'!$E$4:$E$291,'Produktion &amp; forbrug'!$F58)</f>
        <v>190236.74542315846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si="3"/>
        <v>312275.4122983925</v>
      </c>
      <c r="P58" s="94">
        <f t="shared" si="4"/>
        <v>312275.4122983925</v>
      </c>
      <c r="Q58" s="180">
        <f t="shared" si="5"/>
        <v>1507536.473164652</v>
      </c>
      <c r="R58">
        <f>IFERROR(VLOOKUP(A58,[1]Energiindhold!$A$2:$C$11,3,FALSE),IFERROR(VLOOKUP(A58,[1]Biogasudbytte!$A$2:$B$18,2,FALSE)*[1]Energiindhold!$C$10,0))*P58</f>
        <v>0.6726412380907375</v>
      </c>
      <c r="S58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3.9198748012873978</v>
      </c>
      <c r="T58">
        <f>IFERROR(VLOOKUP(A58,[1]Biogasudbytte!$A$2:$B$18,2,FALSE)*[1]Energiindhold!$C$10,0)*K58*IFERROR(VLOOKUP(A58,Biogasanlæg!$F$3:$G$8,2,FALSE),1)</f>
        <v>3.2472335631966605</v>
      </c>
      <c r="U58" s="170">
        <f t="shared" si="6"/>
        <v>0.67264123809073739</v>
      </c>
      <c r="V58" s="169">
        <f>P58*IFERROR(VLOOKUP(A58,[1]Tørstofindhold!A$2:B$24,2,FALSE),0)</f>
        <v>93682.623689517743</v>
      </c>
      <c r="W58">
        <f>IF(F58=År1,Q58,SUM(P58,Q58))*IFERROR(VLOOKUP(A58,[1]Tørstofindhold!A$2:B$24,2,FALSE),0)</f>
        <v>545943.56563891331</v>
      </c>
      <c r="X58">
        <f>K58*IFERROR(VLOOKUP(A58,[1]Tørstofindhold!A$2:B$24,2,FALSE),0)</f>
        <v>452260.94194939558</v>
      </c>
      <c r="Y58" s="170">
        <f t="shared" si="7"/>
        <v>93682.623689517728</v>
      </c>
      <c r="Z58">
        <f t="shared" si="9"/>
        <v>0</v>
      </c>
      <c r="AA58">
        <f t="shared" si="10"/>
        <v>1</v>
      </c>
      <c r="AC58" s="94">
        <f t="shared" si="8"/>
        <v>312275.4122983925</v>
      </c>
      <c r="AD58">
        <f>AC58*E58*10000*VLOOKUP(A58,[1]kcal!$A$2:$C$49,3,FALSE)/1000000000000</f>
        <v>0</v>
      </c>
    </row>
    <row r="59" spans="1:30" x14ac:dyDescent="0.25">
      <c r="A59" s="171" t="str">
        <f t="shared" si="11"/>
        <v>Fiberfraktion</v>
      </c>
      <c r="B59" s="171" t="str">
        <f t="shared" si="12"/>
        <v/>
      </c>
      <c r="C59" s="171" t="str">
        <f>IFERROR(VLOOKUP(A59,'Kategorisering af kcal'!$A$2:$B$19,2,FALSE),"")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4"/>
        <v>0</v>
      </c>
      <c r="F59" s="171">
        <f t="shared" si="13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5510228.2696504835</v>
      </c>
      <c r="H59" s="94">
        <f>SUMIFS('Resultat-Produktion &amp; forbrug'!H$4:H$291,'Resultat-Produktion &amp; forbrug'!$A$4:$A$291,'Produktion &amp; forbrug'!$A59,'Resultat-Produktion &amp; forbrug'!$E$4:$E$291,'Produktion &amp; forbrug'!$F59)</f>
        <v>5508729.3693827838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si="3"/>
        <v>1498.9002676997334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>
        <f t="shared" si="9"/>
        <v>0</v>
      </c>
      <c r="AA59">
        <f t="shared" si="10"/>
        <v>1</v>
      </c>
      <c r="AC59" s="94">
        <f t="shared" si="8"/>
        <v>1498.9002676997334</v>
      </c>
      <c r="AD59">
        <f>AC59*E59*10000*VLOOKUP(A59,[1]kcal!$A$2:$C$49,3,FALSE)/1000000000000</f>
        <v>0</v>
      </c>
    </row>
    <row r="60" spans="1:30" x14ac:dyDescent="0.25">
      <c r="A60" s="171" t="str">
        <f t="shared" si="11"/>
        <v>Fjerkrægylle</v>
      </c>
      <c r="B60" s="171" t="str">
        <f t="shared" si="12"/>
        <v>Husdyrgødning</v>
      </c>
      <c r="C60" s="171" t="str">
        <f>IFERROR(VLOOKUP(A60,'Kategorisering af kcal'!$A$2:$B$19,2,FALSE),"")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4"/>
        <v>0</v>
      </c>
      <c r="F60" s="171">
        <f t="shared" si="13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6991.7806451612896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>SUMIFS('Resultat-Produktion &amp; forbrug'!K$4:K$291,'Resultat-Produktion &amp; forbrug'!$A$4:$A$291,'Produktion &amp; forbrug'!$A60,'Resultat-Produktion &amp; forbrug'!$E$4:$E$291,'Produktion &amp; forbrug'!$F60)</f>
        <v>5243.8354838709674</v>
      </c>
      <c r="L60" s="94">
        <f>SUMIFS('Resultat-Produktion &amp; forbrug'!L$4:L$291,'Resultat-Produktion &amp; forbrug'!$A$4:$A$291,'Produktion &amp; forbrug'!$A60,'Resultat-Produktion &amp; forbrug'!$E$4:$E$291,'Produktion &amp; forbrug'!$F60)</f>
        <v>1747.9451612903224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si="3"/>
        <v>0</v>
      </c>
      <c r="P60" s="94">
        <f t="shared" si="4"/>
        <v>0</v>
      </c>
      <c r="Q60" s="180">
        <f t="shared" si="5"/>
        <v>5243.8354838709674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2.4661233897096775E-3</v>
      </c>
      <c r="T60">
        <f>IFERROR(VLOOKUP(A60,[1]Biogasudbytte!$A$2:$B$18,2,FALSE)*[1]Energiindhold!$C$10,0)*K60*IFERROR(VLOOKUP(A60,Biogasanlæg!$F$3:$G$8,2,FALSE),1)</f>
        <v>2.4661233897096775E-3</v>
      </c>
      <c r="U60" s="170">
        <f t="shared" si="6"/>
        <v>0</v>
      </c>
      <c r="V60" s="169">
        <f>P60*IFERROR(VLOOKUP(A60,[1]Tørstofindhold!A$2:B$24,2,FALSE),0)</f>
        <v>0</v>
      </c>
      <c r="W60">
        <f>IF(F60=År1,Q60,SUM(P60,Q60))*IFERROR(VLOOKUP(A60,[1]Tørstofindhold!A$2:B$24,2,FALSE),0)</f>
        <v>330.36163548387094</v>
      </c>
      <c r="X60">
        <f>K60*IFERROR(VLOOKUP(A60,[1]Tørstofindhold!A$2:B$24,2,FALSE),0)</f>
        <v>330.36163548387094</v>
      </c>
      <c r="Y60" s="170">
        <f t="shared" si="7"/>
        <v>0</v>
      </c>
      <c r="Z60">
        <f t="shared" si="9"/>
        <v>0</v>
      </c>
      <c r="AA60">
        <f t="shared" si="10"/>
        <v>0</v>
      </c>
      <c r="AC60" s="94">
        <f t="shared" si="8"/>
        <v>0</v>
      </c>
      <c r="AD60">
        <f>AC60*E60*10000*VLOOKUP(A60,[1]kcal!$A$2:$C$49,3,FALSE)/1000000000000</f>
        <v>0</v>
      </c>
    </row>
    <row r="61" spans="1:30" x14ac:dyDescent="0.25">
      <c r="A61" s="171" t="str">
        <f t="shared" si="11"/>
        <v>Fjerkrækød</v>
      </c>
      <c r="B61" s="171" t="str">
        <f t="shared" si="12"/>
        <v/>
      </c>
      <c r="C61" s="171" t="str">
        <f>IFERROR(VLOOKUP(A61,'Kategorisering af kcal'!$A$2:$B$19,2,FALSE),"")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4"/>
        <v>1</v>
      </c>
      <c r="F61" s="171">
        <f t="shared" si="13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158635.6599520123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65854.885067430776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92780.774884581522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si="9"/>
        <v>0</v>
      </c>
      <c r="AA61">
        <f t="shared" si="10"/>
        <v>1</v>
      </c>
      <c r="AC61" s="94">
        <f t="shared" si="8"/>
        <v>158635.6599520123</v>
      </c>
      <c r="AD61">
        <f>AC61*E61*10000*VLOOKUP(A61,[1]kcal!$A$2:$C$49,3,FALSE)/1000000000000</f>
        <v>0.24112620312705868</v>
      </c>
    </row>
    <row r="62" spans="1:30" x14ac:dyDescent="0.25">
      <c r="A62" s="171" t="str">
        <f t="shared" si="11"/>
        <v>Frø</v>
      </c>
      <c r="B62" s="171" t="str">
        <f t="shared" si="12"/>
        <v/>
      </c>
      <c r="C62" s="171" t="str">
        <f>IFERROR(VLOOKUP(A62,'Kategorisering af kcal'!$A$2:$B$19,2,FALSE),"")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4"/>
        <v>0</v>
      </c>
      <c r="F62" s="171">
        <f t="shared" si="13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938122.47170424869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938122.47170424869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9"/>
        <v>0</v>
      </c>
      <c r="AA62">
        <f t="shared" si="10"/>
        <v>1</v>
      </c>
      <c r="AC62" s="94">
        <f t="shared" si="8"/>
        <v>938122.47170424869</v>
      </c>
      <c r="AD62">
        <f>AC62*E62*10000*VLOOKUP(A62,[1]kcal!$A$2:$C$49,3,FALSE)/1000000000000</f>
        <v>0</v>
      </c>
    </row>
    <row r="63" spans="1:30" x14ac:dyDescent="0.25">
      <c r="A63" s="171" t="str">
        <f t="shared" si="11"/>
        <v>Frugt</v>
      </c>
      <c r="B63" s="171" t="str">
        <f t="shared" si="12"/>
        <v/>
      </c>
      <c r="C63" s="171" t="str">
        <f>IFERROR(VLOOKUP(A63,'Kategorisering af kcal'!$A$2:$B$19,2,FALSE),"")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4"/>
        <v>1</v>
      </c>
      <c r="F63" s="171">
        <f t="shared" si="13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980664.26590672811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481247.23703122488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499417.02887550322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9"/>
        <v>0</v>
      </c>
      <c r="AA63">
        <f t="shared" si="10"/>
        <v>1</v>
      </c>
      <c r="AC63" s="94">
        <f t="shared" si="8"/>
        <v>980664.26590672811</v>
      </c>
      <c r="AD63">
        <f>AC63*E63*10000*VLOOKUP(A63,[1]kcal!$A$2:$C$49,3,FALSE)/1000000000000</f>
        <v>0.50994541827149864</v>
      </c>
    </row>
    <row r="64" spans="1:30" x14ac:dyDescent="0.25">
      <c r="A64" s="171" t="str">
        <f t="shared" si="11"/>
        <v>Glycerin</v>
      </c>
      <c r="B64" s="171" t="str">
        <f t="shared" si="12"/>
        <v>Glycerin</v>
      </c>
      <c r="C64" s="171" t="str">
        <f>IFERROR(VLOOKUP(A64,'Kategorisering af kcal'!$A$2:$B$19,2,FALSE),"")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4"/>
        <v>0</v>
      </c>
      <c r="F64" s="171">
        <f t="shared" si="13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0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0</v>
      </c>
      <c r="P64" s="94">
        <f t="shared" si="4"/>
        <v>0</v>
      </c>
      <c r="Q64" s="180">
        <f t="shared" si="5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0</v>
      </c>
      <c r="X64">
        <f>K64*IFERROR(VLOOKUP(A64,[1]Tørstofindhold!A$2:B$24,2,FALSE),0)</f>
        <v>0</v>
      </c>
      <c r="Y64" s="170">
        <f t="shared" si="7"/>
        <v>0</v>
      </c>
      <c r="Z64">
        <f t="shared" si="9"/>
        <v>0</v>
      </c>
      <c r="AA64">
        <f t="shared" si="10"/>
        <v>0</v>
      </c>
      <c r="AC64" s="94">
        <f t="shared" si="8"/>
        <v>0</v>
      </c>
      <c r="AD64">
        <f>AC64*E64*10000*VLOOKUP(A64,[1]kcal!$A$2:$C$49,3,FALSE)/1000000000000</f>
        <v>0</v>
      </c>
    </row>
    <row r="65" spans="1:30" x14ac:dyDescent="0.25">
      <c r="A65" s="171" t="str">
        <f t="shared" si="11"/>
        <v>Græs</v>
      </c>
      <c r="B65" s="171" t="str">
        <f t="shared" si="12"/>
        <v>Græs og urter</v>
      </c>
      <c r="C65" s="171" t="str">
        <f>IFERROR(VLOOKUP(A65,'Kategorisering af kcal'!$A$2:$B$19,2,FALSE),"")</f>
        <v>Græs</v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4"/>
        <v>1</v>
      </c>
      <c r="F65" s="171">
        <f t="shared" si="13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25656198.327026106</v>
      </c>
      <c r="H65" s="94">
        <f>SUMIFS('Resultat-Produktion &amp; forbrug'!H$4:H$291,'Resultat-Produktion &amp; forbrug'!$A$4:$A$291,'Produktion &amp; forbrug'!$A65,'Resultat-Produktion &amp; forbrug'!$E$4:$E$291,'Produktion &amp; forbrug'!$F65)</f>
        <v>11746140.28501403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>SUMIFS('Resultat-Produktion &amp; forbrug'!N$4:N$291,'Resultat-Produktion &amp; forbrug'!$A$4:$A$291,'Produktion &amp; forbrug'!$A65,'Resultat-Produktion &amp; forbrug'!$E$4:$E$291,'Produktion &amp; forbrug'!$F65)</f>
        <v>16009895.94584495</v>
      </c>
      <c r="O65" s="179">
        <f t="shared" si="3"/>
        <v>-2099837.9038328752</v>
      </c>
      <c r="P65" s="94">
        <f t="shared" si="4"/>
        <v>0</v>
      </c>
      <c r="Q65" s="180">
        <f t="shared" si="5"/>
        <v>0</v>
      </c>
      <c r="R65">
        <f>IFERROR(VLOOKUP(A65,[1]Energiindhold!$A$2:$C$11,3,FALSE),IFERROR(VLOOKUP(A65,[1]Biogasudbytte!$A$2:$B$18,2,FALSE)*[1]Energiindhold!$C$10,0))*P65</f>
        <v>0</v>
      </c>
      <c r="S65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0</v>
      </c>
      <c r="T65">
        <f>IFERROR(VLOOKUP(A65,[1]Biogasudbytte!$A$2:$B$18,2,FALSE)*[1]Energiindhold!$C$10,0)*K65*IFERROR(VLOOKUP(A65,Biogasanlæg!$F$3:$G$8,2,FALSE),1)</f>
        <v>0</v>
      </c>
      <c r="U65" s="170">
        <f t="shared" si="6"/>
        <v>0</v>
      </c>
      <c r="V65" s="169">
        <f>P65*IFERROR(VLOOKUP(A65,[1]Tørstofindhold!A$2:B$24,2,FALSE),0)</f>
        <v>0</v>
      </c>
      <c r="W65">
        <f>IF(F65=År1,Q65,SUM(P65,Q65))*IFERROR(VLOOKUP(A65,[1]Tørstofindhold!A$2:B$24,2,FALSE),0)</f>
        <v>0</v>
      </c>
      <c r="X65">
        <f>K65*IFERROR(VLOOKUP(A65,[1]Tørstofindhold!A$2:B$24,2,FALSE),0)</f>
        <v>0</v>
      </c>
      <c r="Y65" s="170">
        <f t="shared" si="7"/>
        <v>0</v>
      </c>
      <c r="Z65">
        <f t="shared" si="9"/>
        <v>1</v>
      </c>
      <c r="AA65">
        <f t="shared" si="10"/>
        <v>0</v>
      </c>
      <c r="AC65" s="94">
        <f t="shared" si="8"/>
        <v>-2099837.9038328752</v>
      </c>
      <c r="AD65">
        <f>AC65*E65*10000*VLOOKUP(A65,[1]kcal!$A$2:$C$49,3,FALSE)/1000000000000</f>
        <v>-0.35697244365158876</v>
      </c>
    </row>
    <row r="66" spans="1:30" x14ac:dyDescent="0.25">
      <c r="A66" s="171" t="str">
        <f t="shared" si="11"/>
        <v>Græsprotein</v>
      </c>
      <c r="B66" s="171" t="str">
        <f t="shared" si="12"/>
        <v/>
      </c>
      <c r="C66" s="171" t="str">
        <f>IFERROR(VLOOKUP(A66,'Kategorisering af kcal'!$A$2:$B$19,2,FALSE),"")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4"/>
        <v>0</v>
      </c>
      <c r="F66" s="171">
        <f t="shared" si="13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2676396.5881159487</v>
      </c>
      <c r="H66" s="94">
        <f>SUMIFS('Resultat-Produktion &amp; forbrug'!H$4:H$291,'Resultat-Produktion &amp; forbrug'!$A$4:$A$291,'Produktion &amp; forbrug'!$A66,'Resultat-Produktion &amp; forbrug'!$E$4:$E$291,'Produktion &amp; forbrug'!$F66)</f>
        <v>2676396.5881159487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>
        <f t="shared" si="9"/>
        <v>0</v>
      </c>
      <c r="AA66">
        <f t="shared" si="10"/>
        <v>0</v>
      </c>
      <c r="AC66" s="94">
        <f t="shared" si="8"/>
        <v>0</v>
      </c>
      <c r="AD66">
        <f>AC66*E66*10000*VLOOKUP(A66,[1]kcal!$A$2:$C$49,3,FALSE)/1000000000000</f>
        <v>0</v>
      </c>
    </row>
    <row r="67" spans="1:30" x14ac:dyDescent="0.25">
      <c r="A67" s="171" t="str">
        <f t="shared" si="11"/>
        <v>Grøntsager</v>
      </c>
      <c r="B67" s="171" t="str">
        <f t="shared" si="12"/>
        <v/>
      </c>
      <c r="C67" s="171" t="str">
        <f>IFERROR(VLOOKUP(A67,'Kategorisering af kcal'!$A$2:$B$19,2,FALSE),"")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4"/>
        <v>1</v>
      </c>
      <c r="F67" s="171">
        <f t="shared" si="13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1380207.3161792045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504043.1587853356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876164.1573938689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9"/>
        <v>0</v>
      </c>
      <c r="AA67">
        <f t="shared" si="10"/>
        <v>1</v>
      </c>
      <c r="AC67" s="94">
        <f t="shared" si="8"/>
        <v>1380207.3161792045</v>
      </c>
      <c r="AD67">
        <f>AC67*E67*10000*VLOOKUP(A67,[1]kcal!$A$2:$C$49,3,FALSE)/1000000000000</f>
        <v>0.53828085330988973</v>
      </c>
    </row>
    <row r="68" spans="1:30" x14ac:dyDescent="0.25">
      <c r="A68" s="171" t="str">
        <f t="shared" si="11"/>
        <v>Halm</v>
      </c>
      <c r="B68" s="171" t="str">
        <f t="shared" si="12"/>
        <v>Halm og strå</v>
      </c>
      <c r="C68" s="171" t="str">
        <f>IFERROR(VLOOKUP(A68,'Kategorisering af kcal'!$A$2:$B$19,2,FALSE),"")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4"/>
        <v>0</v>
      </c>
      <c r="F68" s="171">
        <f t="shared" si="13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2939124.0329614803</v>
      </c>
      <c r="H68" s="94">
        <f>SUMIFS('Resultat-Produktion &amp; forbrug'!H$4:H$291,'Resultat-Produktion &amp; forbrug'!$A$4:$A$291,'Produktion &amp; forbrug'!$A68,'Resultat-Produktion &amp; forbrug'!$E$4:$E$291,'Produktion &amp; forbrug'!$F68)</f>
        <v>607360.32556256372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567545.24155318923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>SUMIFS('Resultat-Produktion &amp; forbrug'!M$4:M$291,'Resultat-Produktion &amp; forbrug'!$A$4:$A$291,'Produktion &amp; forbrug'!$A68,'Resultat-Produktion &amp; forbrug'!$E$4:$E$291,'Produktion &amp; forbrug'!$F68)</f>
        <v>1764218.4658457276</v>
      </c>
      <c r="N68" s="94">
        <f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si="3"/>
        <v>0</v>
      </c>
      <c r="P68" s="94">
        <f t="shared" si="4"/>
        <v>0</v>
      </c>
      <c r="Q68" s="180">
        <f t="shared" si="5"/>
        <v>1764218.4658457276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18.234620402906177</v>
      </c>
      <c r="T68">
        <f>IFERROR(VLOOKUP(A68,[1]Biogasudbytte!$A$2:$B$18,2,FALSE)*[1]Energiindhold!$C$10,0)*K68*IFERROR(VLOOKUP(A68,Biogasanlæg!$F$3:$G$8,2,FALSE),1)</f>
        <v>0</v>
      </c>
      <c r="U68" s="170">
        <f t="shared" si="6"/>
        <v>18.234620402906177</v>
      </c>
      <c r="V68" s="169">
        <f>P68*IFERROR(VLOOKUP(A68,[1]Tørstofindhold!A$2:B$24,2,FALSE),0)</f>
        <v>0</v>
      </c>
      <c r="W68">
        <f>IF(F68=År1,Q68,SUM(P68,Q68))*IFERROR(VLOOKUP(A68,[1]Tørstofindhold!A$2:B$24,2,FALSE),0)</f>
        <v>1499585.6959688684</v>
      </c>
      <c r="X68">
        <f>K68*IFERROR(VLOOKUP(A68,[1]Tørstofindhold!A$2:B$24,2,FALSE),0)</f>
        <v>0</v>
      </c>
      <c r="Y68" s="170">
        <f t="shared" si="7"/>
        <v>1499585.6959688684</v>
      </c>
      <c r="Z68">
        <f t="shared" ref="Z68:Z99" si="15">IF(SUMIFS($O$4:$O$147,$A$4:$A$147,A68,$F$4:$F$147,F68)&lt;0,1,0)</f>
        <v>0</v>
      </c>
      <c r="AA68">
        <f t="shared" ref="AA68:AA99" si="16">IF(SUMIFS($O$4:$O$147,$A$4:$A$147,A68,$F$4:$F$147,F68)&gt;0,1,0)</f>
        <v>0</v>
      </c>
      <c r="AC68" s="94">
        <f t="shared" si="8"/>
        <v>1764218.4658457274</v>
      </c>
      <c r="AD68">
        <f>AC68*E68*10000*VLOOKUP(A68,[1]kcal!$A$2:$C$49,3,FALSE)/1000000000000</f>
        <v>0</v>
      </c>
    </row>
    <row r="69" spans="1:30" x14ac:dyDescent="0.25">
      <c r="A69" s="171" t="str">
        <f t="shared" si="11"/>
        <v>Have/parkaffald</v>
      </c>
      <c r="B69" s="171" t="str">
        <f t="shared" si="12"/>
        <v>Bionedbrydeligt affald</v>
      </c>
      <c r="C69" s="171" t="str">
        <f>IFERROR(VLOOKUP(A69,'Kategorisering af kcal'!$A$2:$B$19,2,FALSE),"")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4"/>
        <v>0</v>
      </c>
      <c r="F69" s="171">
        <f t="shared" si="13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982809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7">G69-SUM(H69:N69)</f>
        <v>0</v>
      </c>
      <c r="P69" s="94">
        <f t="shared" ref="P69:P132" si="18">IF(D69=1,MAX(O69,0),0)</f>
        <v>0</v>
      </c>
      <c r="Q69" s="180">
        <f t="shared" ref="Q69:Q134" si="19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17.545322997702911</v>
      </c>
      <c r="T69">
        <f>IFERROR(VLOOKUP(A69,[1]Biogasudbytte!$A$2:$B$18,2,FALSE)*[1]Energiindhold!$C$10,0)*K69*IFERROR(VLOOKUP(A69,Biogasanlæg!$F$3:$G$8,2,FALSE),1)</f>
        <v>0</v>
      </c>
      <c r="U69" s="170">
        <f t="shared" ref="U69:U134" si="20">S69-T69</f>
        <v>17.545322997702911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0</v>
      </c>
      <c r="Y69" s="170">
        <f t="shared" ref="Y69:Y134" si="21">W69-X69</f>
        <v>294842.7</v>
      </c>
      <c r="Z69">
        <f t="shared" si="15"/>
        <v>0</v>
      </c>
      <c r="AA69">
        <f t="shared" si="16"/>
        <v>0</v>
      </c>
      <c r="AC69" s="94">
        <f t="shared" ref="AC69:AC132" si="22">G69-SUMPRODUCT($H$2:$N$2,H69:N69)</f>
        <v>982809</v>
      </c>
      <c r="AD69">
        <f>AC69*E69*10000*VLOOKUP(A69,[1]kcal!$A$2:$C$49,3,FALSE)/1000000000000</f>
        <v>0</v>
      </c>
    </row>
    <row r="70" spans="1:30" x14ac:dyDescent="0.25">
      <c r="A70" s="171" t="str">
        <f t="shared" si="11"/>
        <v>Import af foder</v>
      </c>
      <c r="B70" s="171" t="str">
        <f t="shared" si="12"/>
        <v/>
      </c>
      <c r="C70" s="171" t="str">
        <f>IFERROR(VLOOKUP(A70,'Kategorisering af kcal'!$A$2:$B$19,2,FALSE),"")</f>
        <v>Olieafgrøder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4"/>
        <v>1</v>
      </c>
      <c r="F70" s="171">
        <f t="shared" si="13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>SUMIFS('Resultat-Produktion &amp; forbrug'!H$4:H$291,'Resultat-Produktion &amp; forbrug'!$A$4:$A$291,'Produktion &amp; forbrug'!$A70,'Resultat-Produktion &amp; forbrug'!$E$4:$E$291,'Produktion &amp; forbrug'!$F70)</f>
        <v>2447330.882355039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si="17"/>
        <v>-2447330.882355039</v>
      </c>
      <c r="P70" s="94">
        <f t="shared" si="18"/>
        <v>0</v>
      </c>
      <c r="Q70" s="180">
        <f t="shared" si="19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0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1"/>
        <v>0</v>
      </c>
      <c r="Z70">
        <f t="shared" si="15"/>
        <v>1</v>
      </c>
      <c r="AA70">
        <f t="shared" si="16"/>
        <v>0</v>
      </c>
      <c r="AC70" s="94">
        <f t="shared" si="22"/>
        <v>-2447330.882355039</v>
      </c>
      <c r="AD70">
        <f>AC70*E70*10000*VLOOKUP(A70,[1]kcal!$A$2:$C$49,3,FALSE)/1000000000000</f>
        <v>-1.3949786029423721</v>
      </c>
    </row>
    <row r="71" spans="1:30" x14ac:dyDescent="0.25">
      <c r="A71" s="171" t="str">
        <f t="shared" si="11"/>
        <v>Industriaffald</v>
      </c>
      <c r="B71" s="171" t="str">
        <f t="shared" si="12"/>
        <v>Bionedbrydeligt affald</v>
      </c>
      <c r="C71" s="171" t="str">
        <f>IFERROR(VLOOKUP(A71,'Kategorisering af kcal'!$A$2:$B$19,2,FALSE),"")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4"/>
        <v>0</v>
      </c>
      <c r="F71" s="171">
        <f t="shared" si="13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612258.98454027576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si="17"/>
        <v>612258.98454027576</v>
      </c>
      <c r="P71" s="94">
        <f t="shared" si="18"/>
        <v>612258.98454027576</v>
      </c>
      <c r="Q71" s="180">
        <f t="shared" si="19"/>
        <v>0</v>
      </c>
      <c r="R71">
        <f>IFERROR(VLOOKUP(A71,[1]Energiindhold!$A$2:$C$11,3,FALSE),IFERROR(VLOOKUP(A71,[1]Biogasudbytte!$A$2:$B$18,2,FALSE)*[1]Energiindhold!$C$10,0))*P71</f>
        <v>2.6529977736810055</v>
      </c>
      <c r="S71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2.6529977736810055</v>
      </c>
      <c r="T71">
        <f>IFERROR(VLOOKUP(A71,[1]Biogasudbytte!$A$2:$B$18,2,FALSE)*[1]Energiindhold!$C$10,0)*K71*IFERROR(VLOOKUP(A71,Biogasanlæg!$F$3:$G$8,2,FALSE),1)</f>
        <v>0</v>
      </c>
      <c r="U71" s="170">
        <f t="shared" si="20"/>
        <v>2.6529977736810055</v>
      </c>
      <c r="V71" s="169">
        <f>P71*IFERROR(VLOOKUP(A71,[1]Tørstofindhold!A$2:B$24,2,FALSE),0)</f>
        <v>257148.77350691581</v>
      </c>
      <c r="W71">
        <f>IF(F71=År1,Q71,SUM(P71,Q71))*IFERROR(VLOOKUP(A71,[1]Tørstofindhold!A$2:B$24,2,FALSE),0)</f>
        <v>257148.77350691581</v>
      </c>
      <c r="X71">
        <f>K71*IFERROR(VLOOKUP(A71,[1]Tørstofindhold!A$2:B$24,2,FALSE),0)</f>
        <v>0</v>
      </c>
      <c r="Y71" s="170">
        <f t="shared" si="21"/>
        <v>257148.77350691581</v>
      </c>
      <c r="Z71">
        <f t="shared" si="15"/>
        <v>0</v>
      </c>
      <c r="AA71">
        <f t="shared" si="16"/>
        <v>1</v>
      </c>
      <c r="AC71" s="94">
        <f t="shared" si="22"/>
        <v>612258.98454027576</v>
      </c>
      <c r="AD71">
        <f>AC71*E71*10000*VLOOKUP(A71,[1]kcal!$A$2:$C$49,3,FALSE)/1000000000000</f>
        <v>0</v>
      </c>
    </row>
    <row r="72" spans="1:30" x14ac:dyDescent="0.25">
      <c r="A72" s="171" t="str">
        <f t="shared" si="11"/>
        <v>Juletræer</v>
      </c>
      <c r="B72" s="171" t="str">
        <f t="shared" si="12"/>
        <v/>
      </c>
      <c r="C72" s="171" t="str">
        <f>IFERROR(VLOOKUP(A72,'Kategorisering af kcal'!$A$2:$B$19,2,FALSE),"")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4"/>
        <v>0</v>
      </c>
      <c r="F72" s="171">
        <f t="shared" si="13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887159.44985439931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7"/>
        <v>887159.44985439931</v>
      </c>
      <c r="P72" s="94">
        <f t="shared" si="18"/>
        <v>0</v>
      </c>
      <c r="Q72" s="180">
        <f t="shared" si="19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0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1"/>
        <v>0</v>
      </c>
      <c r="Z72">
        <f t="shared" si="15"/>
        <v>0</v>
      </c>
      <c r="AA72">
        <f t="shared" si="16"/>
        <v>1</v>
      </c>
      <c r="AC72" s="94">
        <f t="shared" si="22"/>
        <v>887159.44985439931</v>
      </c>
      <c r="AD72">
        <f>AC72*E72*10000*VLOOKUP(A72,[1]kcal!$A$2:$C$49,3,FALSE)/1000000000000</f>
        <v>0</v>
      </c>
    </row>
    <row r="73" spans="1:30" x14ac:dyDescent="0.25">
      <c r="A73" s="171" t="str">
        <f t="shared" si="11"/>
        <v>Kartofler</v>
      </c>
      <c r="B73" s="171" t="str">
        <f t="shared" si="12"/>
        <v/>
      </c>
      <c r="C73" s="171" t="str">
        <f>IFERROR(VLOOKUP(A73,'Kategorisering af kcal'!$A$2:$B$19,2,FALSE),"")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4"/>
        <v>1</v>
      </c>
      <c r="F73" s="171">
        <f t="shared" si="13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2195298.6550421813</v>
      </c>
      <c r="H73" s="94">
        <f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230492.09773600774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si="17"/>
        <v>1964806.5573061735</v>
      </c>
      <c r="P73" s="94">
        <f t="shared" si="18"/>
        <v>0</v>
      </c>
      <c r="Q73" s="180">
        <f t="shared" si="19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0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1"/>
        <v>0</v>
      </c>
      <c r="Z73">
        <f t="shared" si="15"/>
        <v>0</v>
      </c>
      <c r="AA73">
        <f t="shared" si="16"/>
        <v>1</v>
      </c>
      <c r="AC73" s="94">
        <f t="shared" si="22"/>
        <v>2195298.6550421813</v>
      </c>
      <c r="AD73">
        <f>AC73*E73*10000*VLOOKUP(A73,[1]kcal!$A$2:$C$49,3,FALSE)/1000000000000</f>
        <v>1.7123329509329013</v>
      </c>
    </row>
    <row r="74" spans="1:30" x14ac:dyDescent="0.25">
      <c r="A74" s="171" t="str">
        <f t="shared" si="11"/>
        <v>Korn</v>
      </c>
      <c r="B74" s="171" t="str">
        <f t="shared" si="12"/>
        <v>Halm og strå</v>
      </c>
      <c r="C74" s="171" t="str">
        <f>IFERROR(VLOOKUP(A74,'Kategorisering af kcal'!$A$2:$B$19,2,FALSE),"")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4"/>
        <v>1</v>
      </c>
      <c r="F74" s="171">
        <f t="shared" si="13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6079568.6860821554</v>
      </c>
      <c r="H74" s="94">
        <f>SUMIFS('Resultat-Produktion &amp; forbrug'!H$4:H$291,'Resultat-Produktion &amp; forbrug'!$A$4:$A$291,'Produktion &amp; forbrug'!$A74,'Resultat-Produktion &amp; forbrug'!$E$4:$E$291,'Produktion &amp; forbrug'!$F74)</f>
        <v>2979931.8331903741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552167.88248845807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si="17"/>
        <v>2547468.9704033234</v>
      </c>
      <c r="P74" s="94">
        <f t="shared" si="18"/>
        <v>2547468.9704033234</v>
      </c>
      <c r="Q74" s="180">
        <f t="shared" si="19"/>
        <v>0</v>
      </c>
      <c r="R74">
        <f>IFERROR(VLOOKUP(A74,[1]Energiindhold!$A$2:$C$11,3,FALSE),IFERROR(VLOOKUP(A74,[1]Biogasudbytte!$A$2:$B$18,2,FALSE)*[1]Energiindhold!$C$10,0))*P74</f>
        <v>8.7247245779755271</v>
      </c>
      <c r="S74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8.7247245779755271</v>
      </c>
      <c r="T74">
        <f>IFERROR(VLOOKUP(A74,[1]Biogasudbytte!$A$2:$B$18,2,FALSE)*[1]Energiindhold!$C$10,0)*K74*IFERROR(VLOOKUP(A74,Biogasanlæg!$F$3:$G$8,2,FALSE),1)</f>
        <v>0</v>
      </c>
      <c r="U74" s="170">
        <f t="shared" si="20"/>
        <v>8.7247245779755271</v>
      </c>
      <c r="V74" s="169">
        <f>P74*IFERROR(VLOOKUP(A74,[1]Tørstofindhold!A$2:B$24,2,FALSE),0)</f>
        <v>789715.38082503027</v>
      </c>
      <c r="W74">
        <f>IF(F74=År1,Q74,SUM(P74,Q74))*IFERROR(VLOOKUP(A74,[1]Tørstofindhold!A$2:B$24,2,FALSE),0)</f>
        <v>789715.38082503027</v>
      </c>
      <c r="X74">
        <f>K74*IFERROR(VLOOKUP(A74,[1]Tørstofindhold!A$2:B$24,2,FALSE),0)</f>
        <v>0</v>
      </c>
      <c r="Y74" s="170">
        <f t="shared" si="21"/>
        <v>789715.38082503027</v>
      </c>
      <c r="Z74">
        <f t="shared" si="15"/>
        <v>0</v>
      </c>
      <c r="AA74">
        <f t="shared" si="16"/>
        <v>1</v>
      </c>
      <c r="AC74" s="94">
        <f t="shared" si="22"/>
        <v>3099636.8528917814</v>
      </c>
      <c r="AD74">
        <f>AC74*E74*10000*VLOOKUP(A74,[1]kcal!$A$2:$C$49,3,FALSE)/1000000000000</f>
        <v>7.2039865157918488</v>
      </c>
    </row>
    <row r="75" spans="1:30" x14ac:dyDescent="0.25">
      <c r="A75" s="171" t="str">
        <f t="shared" si="11"/>
        <v>Kunstgødning</v>
      </c>
      <c r="B75" s="171" t="str">
        <f t="shared" si="12"/>
        <v/>
      </c>
      <c r="C75" s="171" t="str">
        <f>IFERROR(VLOOKUP(A75,'Kategorisering af kcal'!$A$2:$B$19,2,FALSE),"")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4"/>
        <v>0</v>
      </c>
      <c r="F75" s="171">
        <f t="shared" si="13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1496936.4422776406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7"/>
        <v>-1496936.4422776406</v>
      </c>
      <c r="P75" s="94">
        <f t="shared" si="18"/>
        <v>0</v>
      </c>
      <c r="Q75" s="180">
        <f t="shared" si="19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0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1"/>
        <v>0</v>
      </c>
      <c r="Z75">
        <f t="shared" ca="1" si="15"/>
        <v>1</v>
      </c>
      <c r="AA75">
        <f t="shared" ca="1" si="16"/>
        <v>0</v>
      </c>
      <c r="AC75" s="94">
        <f t="shared" ca="1" si="22"/>
        <v>-1496936.4422776406</v>
      </c>
      <c r="AD75">
        <f ca="1">AC75*E75*10000*VLOOKUP(A75,[1]kcal!$A$2:$C$49,3,FALSE)/1000000000000</f>
        <v>0</v>
      </c>
    </row>
    <row r="76" spans="1:30" x14ac:dyDescent="0.25">
      <c r="A76" s="171" t="str">
        <f t="shared" si="11"/>
        <v>Kvæggylle</v>
      </c>
      <c r="B76" s="171" t="str">
        <f t="shared" si="12"/>
        <v>Husdyrgødning</v>
      </c>
      <c r="C76" s="171" t="str">
        <f>IFERROR(VLOOKUP(A76,'Kategorisering af kcal'!$A$2:$B$19,2,FALSE),"")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4"/>
        <v>0</v>
      </c>
      <c r="F76" s="171">
        <f t="shared" si="13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10420518.21904554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>SUMIFS('Resultat-Produktion &amp; forbrug'!K$4:K$291,'Resultat-Produktion &amp; forbrug'!$A$4:$A$291,'Produktion &amp; forbrug'!$A76,'Resultat-Produktion &amp; forbrug'!$E$4:$E$291,'Produktion &amp; forbrug'!$F76)</f>
        <v>7815388.6642841548</v>
      </c>
      <c r="L76" s="94">
        <f>SUMIFS('Resultat-Produktion &amp; forbrug'!L$4:L$291,'Resultat-Produktion &amp; forbrug'!$A$4:$A$291,'Produktion &amp; forbrug'!$A76,'Resultat-Produktion &amp; forbrug'!$E$4:$E$291,'Produktion &amp; forbrug'!$F76)</f>
        <v>2605129.5547613851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si="17"/>
        <v>0</v>
      </c>
      <c r="P76" s="94">
        <f t="shared" si="18"/>
        <v>0</v>
      </c>
      <c r="Q76" s="180">
        <f t="shared" si="19"/>
        <v>7815388.6642841548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3.9560715879739967</v>
      </c>
      <c r="T76">
        <f>IFERROR(VLOOKUP(A76,[1]Biogasudbytte!$A$2:$B$18,2,FALSE)*[1]Energiindhold!$C$10,0)*K76*IFERROR(VLOOKUP(A76,Biogasanlæg!$F$3:$G$8,2,FALSE),1)</f>
        <v>3.9560715879739967</v>
      </c>
      <c r="U76" s="170">
        <f t="shared" si="20"/>
        <v>0</v>
      </c>
      <c r="V76" s="169">
        <f>P76*IFERROR(VLOOKUP(A76,[1]Tørstofindhold!A$2:B$24,2,FALSE),0)</f>
        <v>0</v>
      </c>
      <c r="W76">
        <f>IF(F76=År1,Q76,SUM(P76,Q76))*IFERROR(VLOOKUP(A76,[1]Tørstofindhold!A$2:B$24,2,FALSE),0)</f>
        <v>593969.53848559572</v>
      </c>
      <c r="X76">
        <f>K76*IFERROR(VLOOKUP(A76,[1]Tørstofindhold!A$2:B$24,2,FALSE),0)</f>
        <v>593969.53848559572</v>
      </c>
      <c r="Y76" s="170">
        <f t="shared" si="21"/>
        <v>0</v>
      </c>
      <c r="Z76">
        <f t="shared" si="15"/>
        <v>0</v>
      </c>
      <c r="AA76">
        <f t="shared" si="16"/>
        <v>0</v>
      </c>
      <c r="AC76" s="94">
        <f t="shared" si="22"/>
        <v>0</v>
      </c>
      <c r="AD76">
        <f>AC76*E76*10000*VLOOKUP(A76,[1]kcal!$A$2:$C$49,3,FALSE)/1000000000000</f>
        <v>0</v>
      </c>
    </row>
    <row r="77" spans="1:30" x14ac:dyDescent="0.25">
      <c r="A77" s="171" t="str">
        <f t="shared" si="11"/>
        <v>Mælk til foder</v>
      </c>
      <c r="B77" s="171" t="str">
        <f t="shared" si="12"/>
        <v/>
      </c>
      <c r="C77" s="171" t="str">
        <f>IFERROR(VLOOKUP(A77,'Kategorisering af kcal'!$A$2:$B$19,2,FALSE),"")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4"/>
        <v>0</v>
      </c>
      <c r="F77" s="171">
        <f t="shared" si="13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756843.52817050298</v>
      </c>
      <c r="H77" s="94">
        <f>SUMIFS('Resultat-Produktion &amp; forbrug'!H$4:H$291,'Resultat-Produktion &amp; forbrug'!$A$4:$A$291,'Produktion &amp; forbrug'!$A77,'Resultat-Produktion &amp; forbrug'!$E$4:$E$291,'Produktion &amp; forbrug'!$F77)</f>
        <v>768253.03394150757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si="17"/>
        <v>-11409.505771004595</v>
      </c>
      <c r="P77" s="94">
        <f t="shared" si="18"/>
        <v>0</v>
      </c>
      <c r="Q77" s="180">
        <f t="shared" si="19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0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1"/>
        <v>0</v>
      </c>
      <c r="Z77">
        <f t="shared" si="15"/>
        <v>1</v>
      </c>
      <c r="AA77">
        <f t="shared" si="16"/>
        <v>0</v>
      </c>
      <c r="AC77" s="94">
        <f t="shared" si="22"/>
        <v>-11409.505771004595</v>
      </c>
      <c r="AD77">
        <f>AC77*E77*10000*VLOOKUP(A77,[1]kcal!$A$2:$C$49,3,FALSE)/1000000000000</f>
        <v>0</v>
      </c>
    </row>
    <row r="78" spans="1:30" x14ac:dyDescent="0.25">
      <c r="A78" s="171" t="str">
        <f t="shared" si="11"/>
        <v>Majs</v>
      </c>
      <c r="B78" s="171" t="str">
        <f t="shared" si="12"/>
        <v>Græs og urter</v>
      </c>
      <c r="C78" s="171" t="str">
        <f>IFERROR(VLOOKUP(A78,'Kategorisering af kcal'!$A$2:$B$19,2,FALSE),"")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4"/>
        <v>1</v>
      </c>
      <c r="F78" s="171">
        <f t="shared" si="13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5105364.9354811171</v>
      </c>
      <c r="H78" s="94">
        <f>SUMIFS('Resultat-Produktion &amp; forbrug'!H$4:H$291,'Resultat-Produktion &amp; forbrug'!$A$4:$A$291,'Produktion &amp; forbrug'!$A78,'Resultat-Produktion &amp; forbrug'!$E$4:$E$291,'Produktion &amp; forbrug'!$F78)</f>
        <v>2867327.3695866554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si="17"/>
        <v>2238037.5658944617</v>
      </c>
      <c r="P78" s="94">
        <f t="shared" si="18"/>
        <v>2238037.5658944617</v>
      </c>
      <c r="Q78" s="180">
        <f t="shared" si="19"/>
        <v>0</v>
      </c>
      <c r="R78">
        <f>IFERROR(VLOOKUP(A78,[1]Energiindhold!$A$2:$C$11,3,FALSE),IFERROR(VLOOKUP(A78,[1]Biogasudbytte!$A$2:$B$18,2,FALSE)*[1]Energiindhold!$C$10,0))*P78</f>
        <v>8.0345548615611175</v>
      </c>
      <c r="S78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8.0345548615611175</v>
      </c>
      <c r="T78">
        <f>IFERROR(VLOOKUP(A78,[1]Biogasudbytte!$A$2:$B$18,2,FALSE)*[1]Energiindhold!$C$10,0)*K78*IFERROR(VLOOKUP(A78,Biogasanlæg!$F$3:$G$8,2,FALSE),1)</f>
        <v>0</v>
      </c>
      <c r="U78" s="170">
        <f t="shared" si="20"/>
        <v>8.0345548615611175</v>
      </c>
      <c r="V78" s="169">
        <f>P78*IFERROR(VLOOKUP(A78,[1]Tørstofindhold!A$2:B$24,2,FALSE),0)</f>
        <v>671411.26976833853</v>
      </c>
      <c r="W78">
        <f>IF(F78=År1,Q78,SUM(P78,Q78))*IFERROR(VLOOKUP(A78,[1]Tørstofindhold!A$2:B$24,2,FALSE),0)</f>
        <v>671411.26976833853</v>
      </c>
      <c r="X78">
        <f>K78*IFERROR(VLOOKUP(A78,[1]Tørstofindhold!A$2:B$24,2,FALSE),0)</f>
        <v>0</v>
      </c>
      <c r="Y78" s="170">
        <f t="shared" si="21"/>
        <v>671411.26976833853</v>
      </c>
      <c r="Z78">
        <f t="shared" si="15"/>
        <v>0</v>
      </c>
      <c r="AA78">
        <f t="shared" si="16"/>
        <v>1</v>
      </c>
      <c r="AC78" s="94">
        <f t="shared" si="22"/>
        <v>2238037.5658944617</v>
      </c>
      <c r="AD78">
        <f>AC78*E78*10000*VLOOKUP(A78,[1]kcal!$A$2:$C$49,3,FALSE)/1000000000000</f>
        <v>2.0366141849639603</v>
      </c>
    </row>
    <row r="79" spans="1:30" x14ac:dyDescent="0.25">
      <c r="A79" s="171" t="str">
        <f t="shared" si="11"/>
        <v>Mejeriprodukter</v>
      </c>
      <c r="B79" s="171" t="str">
        <f t="shared" si="12"/>
        <v/>
      </c>
      <c r="C79" s="171" t="str">
        <f>IFERROR(VLOOKUP(A79,'Kategorisering af kcal'!$A$2:$B$19,2,FALSE),"")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4"/>
        <v>1</v>
      </c>
      <c r="F79" s="171">
        <f t="shared" si="13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1460315.2156438841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881442.3078256119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7"/>
        <v>578872.90781827224</v>
      </c>
      <c r="P79" s="94">
        <f t="shared" si="18"/>
        <v>0</v>
      </c>
      <c r="Q79" s="180">
        <f t="shared" si="19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0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1"/>
        <v>0</v>
      </c>
      <c r="Z79">
        <f t="shared" si="15"/>
        <v>0</v>
      </c>
      <c r="AA79">
        <f t="shared" si="16"/>
        <v>1</v>
      </c>
      <c r="AC79" s="94">
        <f t="shared" si="22"/>
        <v>1460315.2156438841</v>
      </c>
      <c r="AD79">
        <f>AC79*E79*10000*VLOOKUP(A79,[1]kcal!$A$2:$C$49,3,FALSE)/1000000000000</f>
        <v>0.91999858585564698</v>
      </c>
    </row>
    <row r="80" spans="1:30" x14ac:dyDescent="0.25">
      <c r="A80" s="171" t="str">
        <f t="shared" si="11"/>
        <v>Muslinger</v>
      </c>
      <c r="B80" s="171" t="str">
        <f t="shared" si="12"/>
        <v>Havbiomasse</v>
      </c>
      <c r="C80" s="171" t="str">
        <f>IFERROR(VLOOKUP(A80,'Kategorisering af kcal'!$A$2:$B$19,2,FALSE),"")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4"/>
        <v>1</v>
      </c>
      <c r="F80" s="171">
        <f t="shared" si="13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si="17"/>
        <v>880.09999999999991</v>
      </c>
      <c r="P80" s="94">
        <f t="shared" si="18"/>
        <v>880.09999999999991</v>
      </c>
      <c r="Q80" s="180">
        <f t="shared" si="19"/>
        <v>0</v>
      </c>
      <c r="R80">
        <f>IFERROR(VLOOKUP(A80,[1]Energiindhold!$A$2:$C$11,3,FALSE),IFERROR(VLOOKUP(A80,[1]Biogasudbytte!$A$2:$B$18,2,FALSE)*[1]Energiindhold!$C$10,0))*P80</f>
        <v>7.8988975000000004E-4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si="20"/>
        <v>7.8988975000000004E-4</v>
      </c>
      <c r="V80" s="169">
        <f>P80*IFERROR(VLOOKUP(A80,[1]Tørstofindhold!A$2:B$24,2,FALSE),0)</f>
        <v>132.01499999999999</v>
      </c>
      <c r="W80">
        <f>IF(F80=År1,Q80,SUM(P80,Q80))*IFERROR(VLOOKUP(A80,[1]Tørstofindhold!A$2:B$24,2,FALSE),0)</f>
        <v>132.01499999999999</v>
      </c>
      <c r="X80">
        <f>K80*IFERROR(VLOOKUP(A80,[1]Tørstofindhold!A$2:B$24,2,FALSE),0)</f>
        <v>0</v>
      </c>
      <c r="Y80" s="170">
        <f t="shared" si="21"/>
        <v>132.01499999999999</v>
      </c>
      <c r="Z80">
        <f t="shared" si="15"/>
        <v>0</v>
      </c>
      <c r="AA80">
        <f t="shared" si="16"/>
        <v>1</v>
      </c>
      <c r="AC80" s="94">
        <f t="shared" si="22"/>
        <v>880.09999999999991</v>
      </c>
      <c r="AD80">
        <f>AC80*E80*10000*VLOOKUP(A80,[1]kcal!$A$2:$C$49,3,FALSE)/1000000000000</f>
        <v>7.3048299999999998E-4</v>
      </c>
    </row>
    <row r="81" spans="1:30" x14ac:dyDescent="0.25">
      <c r="A81" s="171" t="str">
        <f t="shared" si="11"/>
        <v>Oksekød</v>
      </c>
      <c r="B81" s="171" t="str">
        <f t="shared" si="12"/>
        <v/>
      </c>
      <c r="C81" s="171" t="str">
        <f>IFERROR(VLOOKUP(A81,'Kategorisering af kcal'!$A$2:$B$19,2,FALSE),"")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4"/>
        <v>1</v>
      </c>
      <c r="F81" s="171">
        <f t="shared" si="13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94202.59631534839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112003.96221853035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7"/>
        <v>-17801.365903181955</v>
      </c>
      <c r="P81" s="94">
        <f t="shared" si="18"/>
        <v>0</v>
      </c>
      <c r="Q81" s="180">
        <f t="shared" si="19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0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1"/>
        <v>0</v>
      </c>
      <c r="Z81">
        <f t="shared" si="15"/>
        <v>1</v>
      </c>
      <c r="AA81">
        <f t="shared" si="16"/>
        <v>0</v>
      </c>
      <c r="AC81" s="94">
        <f t="shared" si="22"/>
        <v>94202.59631534839</v>
      </c>
      <c r="AD81">
        <f>AC81*E81*10000*VLOOKUP(A81,[1]kcal!$A$2:$C$49,3,FALSE)/1000000000000</f>
        <v>0.18369506281492934</v>
      </c>
    </row>
    <row r="82" spans="1:30" x14ac:dyDescent="0.25">
      <c r="A82" s="171" t="str">
        <f t="shared" si="11"/>
        <v>Øvrige</v>
      </c>
      <c r="B82" s="171" t="str">
        <f t="shared" si="12"/>
        <v/>
      </c>
      <c r="C82" s="171" t="str">
        <f>IFERROR(VLOOKUP(A82,'Kategorisering af kcal'!$A$2:$B$19,2,FALSE),"")</f>
        <v>Øvrige</v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4"/>
        <v>1</v>
      </c>
      <c r="F82" s="171">
        <f t="shared" si="13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1276615.9272226524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7"/>
        <v>1276615.9272226524</v>
      </c>
      <c r="P82" s="94">
        <f t="shared" si="18"/>
        <v>0</v>
      </c>
      <c r="Q82" s="180">
        <f t="shared" si="19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0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1"/>
        <v>0</v>
      </c>
      <c r="Z82">
        <f t="shared" si="15"/>
        <v>0</v>
      </c>
      <c r="AA82">
        <f t="shared" si="16"/>
        <v>1</v>
      </c>
      <c r="AC82" s="94">
        <f t="shared" si="22"/>
        <v>1276615.9272226524</v>
      </c>
      <c r="AD82">
        <f>AC82*E82*10000*VLOOKUP(A82,[1]kcal!$A$2:$C$49,3,FALSE)/1000000000000</f>
        <v>0.49788021161683449</v>
      </c>
    </row>
    <row r="83" spans="1:30" x14ac:dyDescent="0.25">
      <c r="A83" s="171" t="str">
        <f t="shared" si="11"/>
        <v>Pil &amp; poppel</v>
      </c>
      <c r="B83" s="171" t="str">
        <f t="shared" si="12"/>
        <v>Vedmasse</v>
      </c>
      <c r="C83" s="171" t="str">
        <f>IFERROR(VLOOKUP(A83,'Kategorisering af kcal'!$A$2:$B$19,2,FALSE),"")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4"/>
        <v>0</v>
      </c>
      <c r="F83" s="171">
        <f t="shared" si="13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1169185.1597315338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1169185.1597315338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7"/>
        <v>0</v>
      </c>
      <c r="P83" s="94">
        <f t="shared" si="18"/>
        <v>0</v>
      </c>
      <c r="Q83" s="180">
        <f t="shared" si="19"/>
        <v>1169185.1597315338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21.513006939060219</v>
      </c>
      <c r="T83">
        <f>IFERROR(VLOOKUP(A83,[1]Biogasudbytte!$A$2:$B$18,2,FALSE)*[1]Energiindhold!$C$10,0)*K83*IFERROR(VLOOKUP(A83,Biogasanlæg!$F$3:$G$8,2,FALSE),1)</f>
        <v>0</v>
      </c>
      <c r="U83" s="170">
        <f t="shared" si="20"/>
        <v>21.513006939060219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485211.84128858661</v>
      </c>
      <c r="X83">
        <f>K83*IFERROR(VLOOKUP(A83,[1]Tørstofindhold!A$2:B$24,2,FALSE),0)</f>
        <v>0</v>
      </c>
      <c r="Y83" s="170">
        <f t="shared" si="21"/>
        <v>485211.84128858661</v>
      </c>
      <c r="Z83">
        <f t="shared" si="15"/>
        <v>0</v>
      </c>
      <c r="AA83">
        <f t="shared" si="16"/>
        <v>0</v>
      </c>
      <c r="AC83" s="94">
        <f t="shared" si="22"/>
        <v>1169185.1597315338</v>
      </c>
      <c r="AD83">
        <f>AC83*E83*10000*VLOOKUP(A83,[1]kcal!$A$2:$C$49,3,FALSE)/1000000000000</f>
        <v>0</v>
      </c>
    </row>
    <row r="84" spans="1:30" x14ac:dyDescent="0.25">
      <c r="A84" s="171" t="str">
        <f t="shared" si="11"/>
        <v>Pyrolysegas</v>
      </c>
      <c r="B84" s="171" t="str">
        <f t="shared" si="12"/>
        <v>Pyrolyseprodukter</v>
      </c>
      <c r="C84" s="171" t="str">
        <f>IFERROR(VLOOKUP(A84,'Kategorisering af kcal'!$A$2:$B$19,2,FALSE),"")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4"/>
        <v>0</v>
      </c>
      <c r="F84" s="171">
        <f t="shared" si="13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si="17"/>
        <v>0</v>
      </c>
      <c r="P84" s="94">
        <f t="shared" si="18"/>
        <v>0</v>
      </c>
      <c r="Q84" s="180">
        <f t="shared" si="19"/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si="20"/>
        <v>0</v>
      </c>
      <c r="V84" s="169">
        <f>P84*IFERROR(VLOOKUP(A84,[1]Tørstofindhold!A$2:B$24,2,FALSE),0)</f>
        <v>0</v>
      </c>
      <c r="W84">
        <f>IF(F84=År1,Q84,SUM(P84,Q84))*IFERROR(VLOOKUP(A84,[1]Tørstofindhold!A$2:B$24,2,FALSE),0)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si="21"/>
        <v>0</v>
      </c>
      <c r="Z84">
        <f t="shared" si="15"/>
        <v>0</v>
      </c>
      <c r="AA84">
        <f t="shared" si="16"/>
        <v>0</v>
      </c>
      <c r="AC84" s="94">
        <f t="shared" si="22"/>
        <v>0</v>
      </c>
      <c r="AD84">
        <f>AC84*E84*10000*VLOOKUP(A84,[1]kcal!$A$2:$C$49,3,FALSE)/1000000000000</f>
        <v>0</v>
      </c>
    </row>
    <row r="85" spans="1:30" x14ac:dyDescent="0.25">
      <c r="A85" s="171" t="str">
        <f t="shared" si="11"/>
        <v>Pyrolyseolie</v>
      </c>
      <c r="B85" s="171" t="str">
        <f t="shared" si="12"/>
        <v>Pyrolyseprodukter</v>
      </c>
      <c r="C85" s="171" t="str">
        <f>IFERROR(VLOOKUP(A85,'Kategorisering af kcal'!$A$2:$B$19,2,FALSE),"")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4"/>
        <v>0</v>
      </c>
      <c r="F85" s="171">
        <f t="shared" si="13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si="17"/>
        <v>0</v>
      </c>
      <c r="P85" s="94">
        <f t="shared" si="18"/>
        <v>0</v>
      </c>
      <c r="Q85" s="180">
        <f t="shared" si="19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20"/>
        <v>0</v>
      </c>
      <c r="V85" s="169">
        <f>P85*IFERROR(VLOOKUP(A85,[1]Tørstofindhold!A$2:B$24,2,FALSE),0)</f>
        <v>0</v>
      </c>
      <c r="W85">
        <f>IF(F85=År1,Q85,SUM(P85,Q85))*IFERROR(VLOOKUP(A85,[1]Tørstofindhold!A$2:B$24,2,FALSE),0)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21"/>
        <v>0</v>
      </c>
      <c r="Z85">
        <f t="shared" si="15"/>
        <v>0</v>
      </c>
      <c r="AA85">
        <f t="shared" si="16"/>
        <v>0</v>
      </c>
      <c r="AC85" s="94">
        <f t="shared" si="22"/>
        <v>0</v>
      </c>
      <c r="AD85">
        <f>AC85*E85*10000*VLOOKUP(A85,[1]kcal!$A$2:$C$49,3,FALSE)/1000000000000</f>
        <v>0</v>
      </c>
    </row>
    <row r="86" spans="1:30" x14ac:dyDescent="0.25">
      <c r="A86" s="171" t="str">
        <f t="shared" si="11"/>
        <v>Råmælk</v>
      </c>
      <c r="B86" s="171" t="str">
        <f t="shared" si="12"/>
        <v/>
      </c>
      <c r="C86" s="171" t="str">
        <f>IFERROR(VLOOKUP(A86,'Kategorisering af kcal'!$A$2:$B$19,2,FALSE),"")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4"/>
        <v>0</v>
      </c>
      <c r="F86" s="171">
        <f t="shared" si="13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2274008.9680147558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7"/>
        <v>2274008.9680147558</v>
      </c>
      <c r="P86" s="94">
        <f t="shared" si="18"/>
        <v>0</v>
      </c>
      <c r="Q86" s="180">
        <f t="shared" si="19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0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1"/>
        <v>0</v>
      </c>
      <c r="Z86">
        <f t="shared" si="15"/>
        <v>0</v>
      </c>
      <c r="AA86">
        <f t="shared" si="16"/>
        <v>1</v>
      </c>
      <c r="AC86" s="94">
        <f t="shared" si="22"/>
        <v>2274008.9680147558</v>
      </c>
      <c r="AD86">
        <f>AC86*E86*10000*VLOOKUP(A86,[1]kcal!$A$2:$C$49,3,FALSE)/1000000000000</f>
        <v>0</v>
      </c>
    </row>
    <row r="87" spans="1:30" x14ac:dyDescent="0.25">
      <c r="A87" s="171" t="str">
        <f t="shared" si="11"/>
        <v>Raps</v>
      </c>
      <c r="B87" s="171" t="str">
        <f t="shared" si="12"/>
        <v/>
      </c>
      <c r="C87" s="171" t="str">
        <f>IFERROR(VLOOKUP(A87,'Kategorisering af kcal'!$A$2:$B$19,2,FALSE),"")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4"/>
        <v>0</v>
      </c>
      <c r="F87" s="171">
        <f t="shared" si="13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962027.98664553557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962027.98664553557</v>
      </c>
      <c r="O87" s="179">
        <f t="shared" si="17"/>
        <v>0</v>
      </c>
      <c r="P87" s="94">
        <f t="shared" si="18"/>
        <v>0</v>
      </c>
      <c r="Q87" s="180">
        <f t="shared" si="19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0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1"/>
        <v>0</v>
      </c>
      <c r="Z87">
        <f t="shared" si="15"/>
        <v>0</v>
      </c>
      <c r="AA87">
        <f t="shared" si="16"/>
        <v>0</v>
      </c>
      <c r="AC87" s="94">
        <f t="shared" si="22"/>
        <v>0</v>
      </c>
      <c r="AD87">
        <f>AC87*E87*10000*VLOOKUP(A87,[1]kcal!$A$2:$C$49,3,FALSE)/1000000000000</f>
        <v>0</v>
      </c>
    </row>
    <row r="88" spans="1:30" x14ac:dyDescent="0.25">
      <c r="A88" s="171" t="str">
        <f t="shared" si="11"/>
        <v>Rapskage</v>
      </c>
      <c r="B88" s="171" t="str">
        <f t="shared" si="12"/>
        <v/>
      </c>
      <c r="C88" s="171" t="str">
        <f>IFERROR(VLOOKUP(A88,'Kategorisering af kcal'!$A$2:$B$19,2,FALSE),"")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4"/>
        <v>0</v>
      </c>
      <c r="F88" s="171">
        <f t="shared" si="13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481013.99332276778</v>
      </c>
      <c r="H88" s="94">
        <f>SUMIFS('Resultat-Produktion &amp; forbrug'!H$4:H$291,'Resultat-Produktion &amp; forbrug'!$A$4:$A$291,'Produktion &amp; forbrug'!$A88,'Resultat-Produktion &amp; forbrug'!$E$4:$E$291,'Produktion &amp; forbrug'!$F88)</f>
        <v>210917.49793923233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si="17"/>
        <v>270096.49538353545</v>
      </c>
      <c r="P88" s="94">
        <f t="shared" si="18"/>
        <v>0</v>
      </c>
      <c r="Q88" s="180">
        <f t="shared" si="19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0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1"/>
        <v>0</v>
      </c>
      <c r="Z88">
        <f t="shared" si="15"/>
        <v>0</v>
      </c>
      <c r="AA88">
        <f t="shared" si="16"/>
        <v>1</v>
      </c>
      <c r="AC88" s="94">
        <f t="shared" si="22"/>
        <v>270096.49538353545</v>
      </c>
      <c r="AD88">
        <f>AC88*E88*10000*VLOOKUP(A88,[1]kcal!$A$2:$C$49,3,FALSE)/1000000000000</f>
        <v>0</v>
      </c>
    </row>
    <row r="89" spans="1:30" x14ac:dyDescent="0.25">
      <c r="A89" s="171" t="str">
        <f t="shared" si="11"/>
        <v>Rapsolie</v>
      </c>
      <c r="B89" s="171" t="str">
        <f t="shared" si="12"/>
        <v>Rapsolie</v>
      </c>
      <c r="C89" s="171" t="str">
        <f>IFERROR(VLOOKUP(A89,'Kategorisering af kcal'!$A$2:$B$19,2,FALSE),"")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4"/>
        <v>1</v>
      </c>
      <c r="F89" s="171">
        <f t="shared" si="13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307848.95572657138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307848.95572657138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7"/>
        <v>0</v>
      </c>
      <c r="P89" s="94">
        <f t="shared" si="18"/>
        <v>0</v>
      </c>
      <c r="Q89" s="180">
        <f t="shared" si="19"/>
        <v>307848.95572657138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10.774713450429998</v>
      </c>
      <c r="T89">
        <f>IFERROR(VLOOKUP(A89,[1]Biogasudbytte!$A$2:$B$18,2,FALSE)*[1]Energiindhold!$C$10,0)*K89*IFERROR(VLOOKUP(A89,Biogasanlæg!$F$3:$G$8,2,FALSE),1)</f>
        <v>0</v>
      </c>
      <c r="U89" s="170">
        <f t="shared" si="20"/>
        <v>10.774713450429998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1"/>
        <v>0</v>
      </c>
      <c r="Z89">
        <f t="shared" si="15"/>
        <v>0</v>
      </c>
      <c r="AA89">
        <f t="shared" si="16"/>
        <v>0</v>
      </c>
      <c r="AC89" s="94">
        <f t="shared" si="22"/>
        <v>307848.95572657138</v>
      </c>
      <c r="AD89">
        <f>AC89*E89*10000*VLOOKUP(A89,[1]kcal!$A$2:$C$49,3,FALSE)/1000000000000</f>
        <v>2.7706406015391423</v>
      </c>
    </row>
    <row r="90" spans="1:30" x14ac:dyDescent="0.25">
      <c r="A90" s="171" t="str">
        <f t="shared" si="11"/>
        <v>Roer</v>
      </c>
      <c r="B90" s="171" t="str">
        <f t="shared" si="12"/>
        <v>Græs og urter</v>
      </c>
      <c r="C90" s="171" t="str">
        <f>IFERROR(VLOOKUP(A90,'Kategorisering af kcal'!$A$2:$B$19,2,FALSE),"")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4"/>
        <v>1</v>
      </c>
      <c r="F90" s="171">
        <f t="shared" si="13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2498151.9864618396</v>
      </c>
      <c r="H90" s="94">
        <f>SUMIFS('Resultat-Produktion &amp; forbrug'!H$4:H$291,'Resultat-Produktion &amp; forbrug'!$A$4:$A$291,'Produktion &amp; forbrug'!$A90,'Resultat-Produktion &amp; forbrug'!$E$4:$E$291,'Produktion &amp; forbrug'!$F90)</f>
        <v>660847.44577433064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si="17"/>
        <v>1837304.5406875089</v>
      </c>
      <c r="P90" s="94">
        <f t="shared" si="18"/>
        <v>1837304.5406875089</v>
      </c>
      <c r="Q90" s="180">
        <f t="shared" si="19"/>
        <v>0</v>
      </c>
      <c r="R90">
        <f>IFERROR(VLOOKUP(A90,[1]Energiindhold!$A$2:$C$11,3,FALSE),IFERROR(VLOOKUP(A90,[1]Biogasudbytte!$A$2:$B$18,2,FALSE)*[1]Energiindhold!$C$10,0))*P90</f>
        <v>4.9865180156075271</v>
      </c>
      <c r="S90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4.9865180156075271</v>
      </c>
      <c r="T90">
        <f>IFERROR(VLOOKUP(A90,[1]Biogasudbytte!$A$2:$B$18,2,FALSE)*[1]Energiindhold!$C$10,0)*K90*IFERROR(VLOOKUP(A90,Biogasanlæg!$F$3:$G$8,2,FALSE),1)</f>
        <v>0</v>
      </c>
      <c r="U90" s="170">
        <f t="shared" si="20"/>
        <v>4.9865180156075271</v>
      </c>
      <c r="V90" s="169">
        <f>P90*IFERROR(VLOOKUP(A90,[1]Tørstofindhold!A$2:B$24,2,FALSE),0)</f>
        <v>367460.9081375018</v>
      </c>
      <c r="W90">
        <f>IF(F90=År1,Q90,SUM(P90,Q90))*IFERROR(VLOOKUP(A90,[1]Tørstofindhold!A$2:B$24,2,FALSE),0)</f>
        <v>367460.9081375018</v>
      </c>
      <c r="X90">
        <f>K90*IFERROR(VLOOKUP(A90,[1]Tørstofindhold!A$2:B$24,2,FALSE),0)</f>
        <v>0</v>
      </c>
      <c r="Y90" s="170">
        <f t="shared" si="21"/>
        <v>367460.9081375018</v>
      </c>
      <c r="Z90">
        <f t="shared" si="15"/>
        <v>0</v>
      </c>
      <c r="AA90">
        <f t="shared" si="16"/>
        <v>1</v>
      </c>
      <c r="AC90" s="94">
        <f t="shared" si="22"/>
        <v>1837304.5406875089</v>
      </c>
      <c r="AD90">
        <f>AC90*E90*10000*VLOOKUP(A90,[1]kcal!$A$2:$C$49,3,FALSE)/1000000000000</f>
        <v>0.55119136220625264</v>
      </c>
    </row>
    <row r="91" spans="1:30" x14ac:dyDescent="0.25">
      <c r="A91" s="171" t="str">
        <f t="shared" si="11"/>
        <v>Slagteriaffald til andet</v>
      </c>
      <c r="B91" s="171" t="str">
        <f t="shared" si="12"/>
        <v/>
      </c>
      <c r="C91" s="171" t="str">
        <f>IFERROR(VLOOKUP(A91,'Kategorisering af kcal'!$A$2:$B$19,2,FALSE),"")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4"/>
        <v>0</v>
      </c>
      <c r="F91" s="171">
        <f t="shared" si="13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157887.36784693503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7"/>
        <v>157887.36784693503</v>
      </c>
      <c r="P91" s="94">
        <f t="shared" si="18"/>
        <v>0</v>
      </c>
      <c r="Q91" s="180">
        <f t="shared" si="19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0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1"/>
        <v>0</v>
      </c>
      <c r="Z91">
        <f t="shared" si="15"/>
        <v>0</v>
      </c>
      <c r="AA91">
        <f t="shared" si="16"/>
        <v>1</v>
      </c>
      <c r="AC91" s="94">
        <f t="shared" si="22"/>
        <v>157887.36784693503</v>
      </c>
      <c r="AD91">
        <f>AC91*E91*10000*VLOOKUP(A91,[1]kcal!$A$2:$C$49,3,FALSE)/1000000000000</f>
        <v>0</v>
      </c>
    </row>
    <row r="92" spans="1:30" x14ac:dyDescent="0.25">
      <c r="A92" s="171" t="str">
        <f t="shared" si="11"/>
        <v>Slagteriaffald til foder</v>
      </c>
      <c r="B92" s="171" t="str">
        <f t="shared" si="12"/>
        <v/>
      </c>
      <c r="C92" s="171" t="str">
        <f>IFERROR(VLOOKUP(A92,'Kategorisering af kcal'!$A$2:$B$19,2,FALSE),"")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4"/>
        <v>0</v>
      </c>
      <c r="F92" s="171">
        <f t="shared" si="13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103223.33796901105</v>
      </c>
      <c r="H92" s="94">
        <f>SUMIFS('Resultat-Produktion &amp; forbrug'!H$4:H$291,'Resultat-Produktion &amp; forbrug'!$A$4:$A$291,'Produktion &amp; forbrug'!$A92,'Resultat-Produktion &amp; forbrug'!$E$4:$E$291,'Produktion &amp; forbrug'!$F92)</f>
        <v>30966.227491022946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si="17"/>
        <v>72257.110477988099</v>
      </c>
      <c r="P92" s="94">
        <f t="shared" si="18"/>
        <v>0</v>
      </c>
      <c r="Q92" s="180">
        <f t="shared" si="19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0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1"/>
        <v>0</v>
      </c>
      <c r="Z92">
        <f t="shared" si="15"/>
        <v>0</v>
      </c>
      <c r="AA92">
        <f t="shared" si="16"/>
        <v>1</v>
      </c>
      <c r="AC92" s="94">
        <f t="shared" si="22"/>
        <v>72257.110477988099</v>
      </c>
      <c r="AD92">
        <f>AC92*E92*10000*VLOOKUP(A92,[1]kcal!$A$2:$C$49,3,FALSE)/1000000000000</f>
        <v>0</v>
      </c>
    </row>
    <row r="93" spans="1:30" x14ac:dyDescent="0.25">
      <c r="A93" s="171" t="str">
        <f t="shared" si="11"/>
        <v>Spildevandsslam</v>
      </c>
      <c r="B93" s="171" t="str">
        <f t="shared" si="12"/>
        <v>Bionedbrydeligt affald</v>
      </c>
      <c r="C93" s="171" t="str">
        <f>IFERROR(VLOOKUP(A93,'Kategorisering af kcal'!$A$2:$B$19,2,FALSE),"")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4"/>
        <v>0</v>
      </c>
      <c r="F93" s="171">
        <f t="shared" si="13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7244400.4966166709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>SUMIFS('Resultat-Produktion &amp; forbrug'!K$4:K$291,'Resultat-Produktion &amp; forbrug'!$A$4:$A$291,'Produktion &amp; forbrug'!$A93,'Resultat-Produktion &amp; forbrug'!$E$4:$E$291,'Produktion &amp; forbrug'!$F93)</f>
        <v>2747430.5145796794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si="17"/>
        <v>4496969.982036991</v>
      </c>
      <c r="P93" s="94">
        <f t="shared" si="18"/>
        <v>4496969.982036991</v>
      </c>
      <c r="Q93" s="180">
        <f t="shared" si="19"/>
        <v>2747430.5145796794</v>
      </c>
      <c r="R93">
        <f>IFERROR(VLOOKUP(A93,[1]Energiindhold!$A$2:$C$11,3,FALSE),IFERROR(VLOOKUP(A93,[1]Biogasudbytte!$A$2:$B$18,2,FALSE)*[1]Energiindhold!$C$10,0))*P93</f>
        <v>2.244032990736279</v>
      </c>
      <c r="S93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3.6150282918166852</v>
      </c>
      <c r="T93">
        <f>IFERROR(VLOOKUP(A93,[1]Biogasudbytte!$A$2:$B$18,2,FALSE)*[1]Energiindhold!$C$10,0)*K93*IFERROR(VLOOKUP(A93,Biogasanlæg!$F$3:$G$8,2,FALSE),1)</f>
        <v>1.3709953010804059</v>
      </c>
      <c r="U93" s="170">
        <f t="shared" si="20"/>
        <v>2.2440329907362795</v>
      </c>
      <c r="V93" s="169">
        <f>P93*IFERROR(VLOOKUP(A93,[1]Tørstofindhold!A$2:B$24,2,FALSE),0)</f>
        <v>269818.19892221945</v>
      </c>
      <c r="W93">
        <f>IF(F93=År1,Q93,SUM(P93,Q93))*IFERROR(VLOOKUP(A93,[1]Tørstofindhold!A$2:B$24,2,FALSE),0)</f>
        <v>434664.02979700023</v>
      </c>
      <c r="X93">
        <f>K93*IFERROR(VLOOKUP(A93,[1]Tørstofindhold!A$2:B$24,2,FALSE),0)</f>
        <v>164845.83087478075</v>
      </c>
      <c r="Y93" s="170">
        <f t="shared" si="21"/>
        <v>269818.19892221945</v>
      </c>
      <c r="Z93">
        <f t="shared" si="15"/>
        <v>0</v>
      </c>
      <c r="AA93">
        <f t="shared" si="16"/>
        <v>1</v>
      </c>
      <c r="AC93" s="94">
        <f t="shared" si="22"/>
        <v>4496969.982036991</v>
      </c>
      <c r="AD93">
        <f>AC93*E93*10000*VLOOKUP(A93,[1]kcal!$A$2:$C$49,3,FALSE)/1000000000000</f>
        <v>0</v>
      </c>
    </row>
    <row r="94" spans="1:30" x14ac:dyDescent="0.25">
      <c r="A94" s="171" t="str">
        <f t="shared" si="11"/>
        <v>Svinegylle</v>
      </c>
      <c r="B94" s="171" t="str">
        <f t="shared" si="12"/>
        <v>Husdyrgødning</v>
      </c>
      <c r="C94" s="171" t="str">
        <f>IFERROR(VLOOKUP(A94,'Kategorisering af kcal'!$A$2:$B$19,2,FALSE),"")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4"/>
        <v>0</v>
      </c>
      <c r="F94" s="171">
        <f t="shared" si="13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12018151.612903224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9013613.7096774187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3004537.9032258061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7"/>
        <v>0</v>
      </c>
      <c r="P94" s="94">
        <f t="shared" si="18"/>
        <v>0</v>
      </c>
      <c r="Q94" s="180">
        <f t="shared" si="19"/>
        <v>9013613.7096774187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3.8830647861290326</v>
      </c>
      <c r="T94">
        <f>IFERROR(VLOOKUP(A94,[1]Biogasudbytte!$A$2:$B$18,2,FALSE)*[1]Energiindhold!$C$10,0)*K94*IFERROR(VLOOKUP(A94,Biogasanlæg!$F$3:$G$8,2,FALSE),1)</f>
        <v>3.8830647861290326</v>
      </c>
      <c r="U94" s="170">
        <f t="shared" si="20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450680.68548387097</v>
      </c>
      <c r="X94">
        <f>K94*IFERROR(VLOOKUP(A94,[1]Tørstofindhold!A$2:B$24,2,FALSE),0)</f>
        <v>450680.68548387097</v>
      </c>
      <c r="Y94" s="170">
        <f t="shared" si="21"/>
        <v>0</v>
      </c>
      <c r="Z94">
        <f t="shared" si="15"/>
        <v>0</v>
      </c>
      <c r="AA94">
        <f t="shared" si="16"/>
        <v>0</v>
      </c>
      <c r="AC94" s="94">
        <f t="shared" si="22"/>
        <v>0</v>
      </c>
      <c r="AD94">
        <f>AC94*E94*10000*VLOOKUP(A94,[1]kcal!$A$2:$C$49,3,FALSE)/1000000000000</f>
        <v>0</v>
      </c>
    </row>
    <row r="95" spans="1:30" x14ac:dyDescent="0.25">
      <c r="A95" s="171" t="str">
        <f t="shared" si="11"/>
        <v>Svinekød</v>
      </c>
      <c r="B95" s="171" t="str">
        <f t="shared" si="12"/>
        <v/>
      </c>
      <c r="C95" s="171" t="str">
        <f>IFERROR(VLOOKUP(A95,'Kategorisering af kcal'!$A$2:$B$19,2,FALSE),"")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4"/>
        <v>1</v>
      </c>
      <c r="F95" s="171">
        <f t="shared" si="13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1089799.8193435918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227401.98389822827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7"/>
        <v>862397.83544536354</v>
      </c>
      <c r="P95" s="94">
        <f t="shared" si="18"/>
        <v>0</v>
      </c>
      <c r="Q95" s="180">
        <f t="shared" si="19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0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1"/>
        <v>0</v>
      </c>
      <c r="Z95">
        <f t="shared" si="15"/>
        <v>0</v>
      </c>
      <c r="AA95">
        <f t="shared" si="16"/>
        <v>1</v>
      </c>
      <c r="AC95" s="94">
        <f t="shared" si="22"/>
        <v>1089799.8193435918</v>
      </c>
      <c r="AD95">
        <f>AC95*E95*10000*VLOOKUP(A95,[1]kcal!$A$2:$C$49,3,FALSE)/1000000000000</f>
        <v>2.125109647720004</v>
      </c>
    </row>
    <row r="96" spans="1:30" x14ac:dyDescent="0.25">
      <c r="A96" s="171" t="str">
        <f t="shared" si="11"/>
        <v>Tang</v>
      </c>
      <c r="B96" s="171" t="str">
        <f t="shared" si="12"/>
        <v>Havbiomasse</v>
      </c>
      <c r="C96" s="171" t="str">
        <f>IFERROR(VLOOKUP(A96,'Kategorisering af kcal'!$A$2:$B$19,2,FALSE),"")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4"/>
        <v>1</v>
      </c>
      <c r="F96" s="171">
        <f t="shared" si="13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382.5</v>
      </c>
      <c r="H96" s="94">
        <f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si="17"/>
        <v>382.5</v>
      </c>
      <c r="P96" s="94">
        <f t="shared" si="18"/>
        <v>382.5</v>
      </c>
      <c r="Q96" s="180">
        <f t="shared" si="19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0"/>
        <v>3.4329375000000003E-4</v>
      </c>
      <c r="V96" s="169">
        <f>P96*IFERROR(VLOOKUP(A96,[1]Tørstofindhold!A$2:B$24,2,FALSE),0)</f>
        <v>57.375</v>
      </c>
      <c r="W96">
        <f>IF(F96=År1,Q96,SUM(P96,Q96))*IFERROR(VLOOKUP(A96,[1]Tørstofindhold!A$2:B$24,2,FALSE),0)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1"/>
        <v>57.375</v>
      </c>
      <c r="Z96">
        <f t="shared" si="15"/>
        <v>0</v>
      </c>
      <c r="AA96">
        <f t="shared" si="16"/>
        <v>1</v>
      </c>
      <c r="AC96" s="94">
        <f t="shared" si="22"/>
        <v>382.5</v>
      </c>
      <c r="AD96">
        <f>AC96*E96*10000*VLOOKUP(A96,[1]kcal!$A$2:$C$49,3,FALSE)/1000000000000</f>
        <v>1.5605999999999999E-4</v>
      </c>
    </row>
    <row r="97" spans="1:30" x14ac:dyDescent="0.25">
      <c r="A97" s="171" t="str">
        <f t="shared" si="11"/>
        <v>Total til biogas</v>
      </c>
      <c r="B97" s="171" t="str">
        <f t="shared" si="12"/>
        <v/>
      </c>
      <c r="C97" s="171" t="str">
        <f>IFERROR(VLOOKUP(A97,'Kategorisering af kcal'!$A$2:$B$19,2,FALSE),"")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4"/>
        <v>0</v>
      </c>
      <c r="F97" s="171">
        <f t="shared" si="13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7"/>
        <v>0</v>
      </c>
      <c r="P97" s="94">
        <f t="shared" si="18"/>
        <v>0</v>
      </c>
      <c r="Q97" s="180">
        <f t="shared" si="19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0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1"/>
        <v>0</v>
      </c>
      <c r="Z97">
        <f t="shared" si="15"/>
        <v>0</v>
      </c>
      <c r="AA97">
        <f t="shared" si="16"/>
        <v>0</v>
      </c>
      <c r="AC97" s="94">
        <f t="shared" si="22"/>
        <v>0</v>
      </c>
      <c r="AD97">
        <f>AC97*E97*10000*VLOOKUP(A97,[1]kcal!$A$2:$C$49,3,FALSE)/1000000000000</f>
        <v>0</v>
      </c>
    </row>
    <row r="98" spans="1:30" x14ac:dyDescent="0.25">
      <c r="A98" s="171" t="str">
        <f t="shared" si="11"/>
        <v>Træ til energi</v>
      </c>
      <c r="B98" s="171" t="str">
        <f t="shared" si="12"/>
        <v>Vedmasse</v>
      </c>
      <c r="C98" s="171" t="str">
        <f>IFERROR(VLOOKUP(A98,'Kategorisering af kcal'!$A$2:$B$19,2,FALSE),"")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4"/>
        <v>0</v>
      </c>
      <c r="F98" s="171">
        <f t="shared" si="13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2874839.9680931582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2874839.9680931582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7"/>
        <v>0</v>
      </c>
      <c r="P98" s="94">
        <f t="shared" ca="1" si="18"/>
        <v>0</v>
      </c>
      <c r="Q98" s="180">
        <f t="shared" ca="1" si="19"/>
        <v>2874839.9680931582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41.66669115626091</v>
      </c>
      <c r="T98">
        <f>IFERROR(VLOOKUP(A98,[1]Biogasudbytte!$A$2:$B$18,2,FALSE)*[1]Energiindhold!$C$10,0)*K98*IFERROR(VLOOKUP(A98,Biogasanlæg!$F$3:$G$8,2,FALSE),1)</f>
        <v>0</v>
      </c>
      <c r="U98" s="170">
        <f t="shared" ca="1" si="20"/>
        <v>41.66669115626091</v>
      </c>
      <c r="V98" s="169">
        <f ca="1">P98*IFERROR(VLOOKUP(A98,[1]Tørstofindhold!A$2:B$24,2,FALSE),0)</f>
        <v>0</v>
      </c>
      <c r="W98">
        <f ca="1">IF(F98=År1,Q98,SUM(P98,Q98))*IFERROR(VLOOKUP(A98,[1]Tørstofindhold!A$2:B$24,2,FALSE),0)</f>
        <v>1421847.9342194078</v>
      </c>
      <c r="X98">
        <f>K98*IFERROR(VLOOKUP(A98,[1]Tørstofindhold!A$2:B$24,2,FALSE),0)</f>
        <v>0</v>
      </c>
      <c r="Y98" s="170">
        <f t="shared" ca="1" si="21"/>
        <v>1421847.9342194078</v>
      </c>
      <c r="Z98">
        <f t="shared" ca="1" si="15"/>
        <v>0</v>
      </c>
      <c r="AA98">
        <f t="shared" ca="1" si="16"/>
        <v>0</v>
      </c>
      <c r="AC98" s="94">
        <f t="shared" ca="1" si="22"/>
        <v>2874839.9680931582</v>
      </c>
      <c r="AD98">
        <f ca="1">AC98*E98*10000*VLOOKUP(A98,[1]kcal!$A$2:$C$49,3,FALSE)/1000000000000</f>
        <v>0</v>
      </c>
    </row>
    <row r="99" spans="1:30" x14ac:dyDescent="0.25">
      <c r="A99" s="171" t="str">
        <f t="shared" si="11"/>
        <v>Træmaterialer</v>
      </c>
      <c r="B99" s="171" t="str">
        <f t="shared" si="12"/>
        <v/>
      </c>
      <c r="C99" s="171" t="str">
        <f>IFERROR(VLOOKUP(A99,'Kategorisering af kcal'!$A$2:$B$19,2,FALSE),"")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4"/>
        <v>0</v>
      </c>
      <c r="F99" s="171">
        <f t="shared" si="13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792057.93807476689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792057.93807476689</v>
      </c>
      <c r="O99" s="179">
        <f t="shared" ca="1" si="17"/>
        <v>0</v>
      </c>
      <c r="P99" s="94">
        <f t="shared" si="18"/>
        <v>0</v>
      </c>
      <c r="Q99" s="180">
        <f t="shared" si="19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0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1"/>
        <v>0</v>
      </c>
      <c r="Z99">
        <f t="shared" ca="1" si="15"/>
        <v>0</v>
      </c>
      <c r="AA99">
        <f t="shared" ca="1" si="16"/>
        <v>0</v>
      </c>
      <c r="AC99" s="94">
        <f t="shared" ca="1" si="22"/>
        <v>0</v>
      </c>
      <c r="AD99">
        <f ca="1">AC99*E99*10000*VLOOKUP(A99,[1]kcal!$A$2:$C$49,3,FALSE)/1000000000000</f>
        <v>0</v>
      </c>
    </row>
    <row r="100" spans="1:30" x14ac:dyDescent="0.25">
      <c r="A100" s="171" t="str">
        <f t="shared" si="11"/>
        <v>Æg</v>
      </c>
      <c r="B100" s="171" t="str">
        <f t="shared" si="12"/>
        <v/>
      </c>
      <c r="C100" s="171" t="str">
        <f>IFERROR(VLOOKUP(A100,'Kategorisering af kcal'!$A$2:$B$19,2,FALSE),"")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4"/>
        <v>1</v>
      </c>
      <c r="F100" s="171">
        <f t="shared" ref="F100:F147" si="23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42217.628788690155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63381.970906546776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7"/>
        <v>-21164.34211785662</v>
      </c>
      <c r="P100" s="94">
        <f t="shared" si="18"/>
        <v>0</v>
      </c>
      <c r="Q100" s="180">
        <f t="shared" si="19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0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1"/>
        <v>0</v>
      </c>
      <c r="Z100">
        <f t="shared" ref="Z100:Z131" si="24">IF(SUMIFS($O$4:$O$147,$A$4:$A$147,A100,$F$4:$F$147,F100)&lt;0,1,0)</f>
        <v>1</v>
      </c>
      <c r="AA100">
        <f t="shared" ref="AA100:AA131" si="25">IF(SUMIFS($O$4:$O$147,$A$4:$A$147,A100,$F$4:$F$147,F100)&gt;0,1,0)</f>
        <v>0</v>
      </c>
      <c r="AC100" s="94">
        <f t="shared" si="22"/>
        <v>42217.628788690155</v>
      </c>
      <c r="AD100">
        <f>AC100*E100*10000*VLOOKUP(A100,[1]kcal!$A$2:$C$49,3,FALSE)/1000000000000</f>
        <v>5.8260327728392416E-2</v>
      </c>
    </row>
    <row r="101" spans="1:30" x14ac:dyDescent="0.25">
      <c r="A101" s="171" t="str">
        <f t="shared" si="11"/>
        <v>Bælgsæd</v>
      </c>
      <c r="B101" s="171" t="str">
        <f t="shared" si="12"/>
        <v/>
      </c>
      <c r="C101" s="171" t="str">
        <f>IFERROR(VLOOKUP(A101,'Kategorisering af kcal'!$A$2:$B$19,2,FALSE),"")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4"/>
        <v>1</v>
      </c>
      <c r="F101" s="171">
        <f t="shared" si="23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1311141.8578415348</v>
      </c>
      <c r="H101" s="94">
        <f>SUMIFS('Resultat-Produktion &amp; forbrug'!H$4:H$291,'Resultat-Produktion &amp; forbrug'!$A$4:$A$291,'Produktion &amp; forbrug'!$A101,'Resultat-Produktion &amp; forbrug'!$E$4:$E$291,'Produktion &amp; forbrug'!$F101)</f>
        <v>125649.85975467187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si="17"/>
        <v>1185491.998086863</v>
      </c>
      <c r="P101" s="94">
        <f t="shared" si="18"/>
        <v>0</v>
      </c>
      <c r="Q101" s="180">
        <f t="shared" si="19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0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1"/>
        <v>0</v>
      </c>
      <c r="Z101">
        <f t="shared" si="24"/>
        <v>0</v>
      </c>
      <c r="AA101">
        <f t="shared" si="25"/>
        <v>1</v>
      </c>
      <c r="AC101" s="94">
        <f t="shared" si="22"/>
        <v>1185491.998086863</v>
      </c>
      <c r="AD101">
        <f>AC101*E101*10000*VLOOKUP(A101,[1]kcal!$A$2:$C$49,3,FALSE)/1000000000000</f>
        <v>8.2332419267132622</v>
      </c>
    </row>
    <row r="102" spans="1:30" x14ac:dyDescent="0.25">
      <c r="A102" s="171" t="str">
        <f t="shared" si="11"/>
        <v>Bioaffald</v>
      </c>
      <c r="B102" s="171" t="str">
        <f t="shared" si="12"/>
        <v>Bionedbrydeligt affald</v>
      </c>
      <c r="C102" s="171" t="str">
        <f>IFERROR(VLOOKUP(A102,'Kategorisering af kcal'!$A$2:$B$19,2,FALSE),"")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4"/>
        <v>0</v>
      </c>
      <c r="F102" s="171">
        <f t="shared" si="23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 ca="1"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7"/>
        <v>0</v>
      </c>
      <c r="P102" s="94">
        <f t="shared" ca="1" si="18"/>
        <v>0</v>
      </c>
      <c r="Q102" s="180">
        <f t="shared" ca="1" si="19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0"/>
        <v>6.6013372467689999</v>
      </c>
      <c r="V102" s="169">
        <f ca="1">P102*IFERROR(VLOOKUP(A102,[1]Tørstofindhold!A$2:B$24,2,FALSE),0)</f>
        <v>0</v>
      </c>
      <c r="W102">
        <f ca="1">IF(F102=År1,Q102,SUM(P102,Q102))*IFERROR(VLOOKUP(A102,[1]Tørstofindhold!A$2:B$24,2,FALSE),0)</f>
        <v>103537.50823068788</v>
      </c>
      <c r="X102">
        <f ca="1">K102*IFERROR(VLOOKUP(A102,[1]Tørstofindhold!A$2:B$24,2,FALSE),0)</f>
        <v>0</v>
      </c>
      <c r="Y102" s="170">
        <f t="shared" ca="1" si="21"/>
        <v>103537.50823068788</v>
      </c>
      <c r="Z102">
        <f t="shared" ca="1" si="24"/>
        <v>0</v>
      </c>
      <c r="AA102">
        <f t="shared" ca="1" si="25"/>
        <v>0</v>
      </c>
      <c r="AC102" s="94">
        <f t="shared" ca="1" si="22"/>
        <v>369776.8151095995</v>
      </c>
      <c r="AD102">
        <f ca="1">AC102*E102*10000*VLOOKUP(A102,[1]kcal!$A$2:$C$49,3,FALSE)/1000000000000</f>
        <v>0</v>
      </c>
    </row>
    <row r="103" spans="1:30" x14ac:dyDescent="0.25">
      <c r="A103" s="171" t="str">
        <f t="shared" si="11"/>
        <v>Biogas</v>
      </c>
      <c r="B103" s="171" t="str">
        <f t="shared" si="12"/>
        <v/>
      </c>
      <c r="C103" s="171" t="str">
        <f>IFERROR(VLOOKUP(A103,'Kategorisering af kcal'!$A$2:$B$19,2,FALSE),"")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4"/>
        <v>0</v>
      </c>
      <c r="F103" s="171">
        <f t="shared" si="23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131701151.87345947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131701151.87345947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7"/>
        <v>0</v>
      </c>
      <c r="P103" s="94">
        <f t="shared" ca="1" si="18"/>
        <v>0</v>
      </c>
      <c r="Q103" s="180">
        <f t="shared" ca="1" si="19"/>
        <v>131701151.87345947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0"/>
        <v>0</v>
      </c>
      <c r="V103" s="169">
        <f ca="1">P103*IFERROR(VLOOKUP(A103,[1]Tørstofindhold!A$2:B$24,2,FALSE),0)</f>
        <v>0</v>
      </c>
      <c r="W103">
        <f ca="1"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1"/>
        <v>0</v>
      </c>
      <c r="Z103">
        <f t="shared" ca="1" si="24"/>
        <v>0</v>
      </c>
      <c r="AA103">
        <f t="shared" ca="1" si="25"/>
        <v>0</v>
      </c>
      <c r="AC103" s="94">
        <f t="shared" ca="1" si="22"/>
        <v>131701151.87345947</v>
      </c>
      <c r="AD103">
        <f ca="1">AC103*E103*10000*VLOOKUP(A103,[1]kcal!$A$2:$C$49,3,FALSE)/1000000000000</f>
        <v>0</v>
      </c>
    </row>
    <row r="104" spans="1:30" x14ac:dyDescent="0.25">
      <c r="A104" s="171" t="str">
        <f t="shared" si="11"/>
        <v>Biogasgylle</v>
      </c>
      <c r="B104" s="171" t="str">
        <f t="shared" si="12"/>
        <v/>
      </c>
      <c r="C104" s="171" t="str">
        <f>IFERROR(VLOOKUP(A104,'Kategorisering af kcal'!$A$2:$B$19,2,FALSE),"")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4"/>
        <v>0</v>
      </c>
      <c r="F104" s="171">
        <f t="shared" si="23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0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 t="e">
        <f ca="1">SUMIFS('Resultat-Produktion &amp; forbrug'!L$4:L$291,'Resultat-Produktion &amp; forbrug'!$A$4:$A$291,'Produktion &amp; forbrug'!$A104,'Resultat-Produktion &amp; forbrug'!$E$4:$E$291,'Produktion &amp; forbrug'!$F104)</f>
        <v>#DIV/0!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 t="e">
        <f t="shared" ca="1" si="17"/>
        <v>#DIV/0!</v>
      </c>
      <c r="P104" s="94">
        <f t="shared" si="18"/>
        <v>0</v>
      </c>
      <c r="Q104" s="180">
        <f t="shared" si="19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0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1"/>
        <v>0</v>
      </c>
      <c r="Z104" t="e">
        <f t="shared" ca="1" si="24"/>
        <v>#DIV/0!</v>
      </c>
      <c r="AA104" t="e">
        <f t="shared" ca="1" si="25"/>
        <v>#DIV/0!</v>
      </c>
      <c r="AC104" s="94" t="e">
        <f t="shared" ca="1" si="22"/>
        <v>#DIV/0!</v>
      </c>
      <c r="AD104" t="e">
        <f ca="1">AC104*E104*10000*VLOOKUP(A104,[1]kcal!$A$2:$C$49,3,FALSE)/1000000000000</f>
        <v>#DIV/0!</v>
      </c>
    </row>
    <row r="105" spans="1:30" x14ac:dyDescent="0.25">
      <c r="A105" s="171" t="str">
        <f t="shared" si="11"/>
        <v>Brun saft</v>
      </c>
      <c r="B105" s="171" t="str">
        <f t="shared" si="12"/>
        <v>Bionedbrydeligt affald</v>
      </c>
      <c r="C105" s="171" t="str">
        <f>IFERROR(VLOOKUP(A105,'Kategorisering af kcal'!$A$2:$B$19,2,FALSE),"")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4"/>
        <v>0</v>
      </c>
      <c r="F105" s="171">
        <f t="shared" si="23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3319207.1060311096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>SUMIFS('Resultat-Produktion &amp; forbrug'!K$4:K$291,'Resultat-Produktion &amp; forbrug'!$A$4:$A$291,'Produktion &amp; forbrug'!$A105,'Resultat-Produktion &amp; forbrug'!$E$4:$E$291,'Produktion &amp; forbrug'!$F105)</f>
        <v>2987286.3954279986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si="17"/>
        <v>331920.71060311096</v>
      </c>
      <c r="P105" s="94">
        <f t="shared" si="18"/>
        <v>331920.71060311096</v>
      </c>
      <c r="Q105" s="180">
        <f t="shared" si="19"/>
        <v>2987286.3954279986</v>
      </c>
      <c r="R105">
        <f>IFERROR(VLOOKUP(A105,[1]Energiindhold!$A$2:$C$11,3,FALSE),IFERROR(VLOOKUP(A105,[1]Biogasudbytte!$A$2:$B$18,2,FALSE)*[1]Energiindhold!$C$10,0))*P105</f>
        <v>0.18853961909875291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1.8853961909875292</v>
      </c>
      <c r="T105">
        <f>IFERROR(VLOOKUP(A105,[1]Biogasudbytte!$A$2:$B$18,2,FALSE)*[1]Energiindhold!$C$10,0)*K105*IFERROR(VLOOKUP(A105,Biogasanlæg!$F$3:$G$8,2,FALSE),1)</f>
        <v>1.6968565718887763</v>
      </c>
      <c r="U105" s="170">
        <f t="shared" si="20"/>
        <v>0.18853961909875294</v>
      </c>
      <c r="V105" s="169">
        <f>P105*IFERROR(VLOOKUP(A105,[1]Tørstofindhold!A$2:B$24,2,FALSE),0)</f>
        <v>14194.053986204388</v>
      </c>
      <c r="W105">
        <f>IF(F105=År1,Q105,SUM(P105,Q105))*IFERROR(VLOOKUP(A105,[1]Tørstofindhold!A$2:B$24,2,FALSE),0)</f>
        <v>141940.53986204389</v>
      </c>
      <c r="X105">
        <f>K105*IFERROR(VLOOKUP(A105,[1]Tørstofindhold!A$2:B$24,2,FALSE),0)</f>
        <v>127746.4858758395</v>
      </c>
      <c r="Y105" s="170">
        <f t="shared" si="21"/>
        <v>14194.053986204395</v>
      </c>
      <c r="Z105">
        <f t="shared" si="24"/>
        <v>0</v>
      </c>
      <c r="AA105">
        <f t="shared" si="25"/>
        <v>1</v>
      </c>
      <c r="AC105" s="94">
        <f t="shared" si="22"/>
        <v>331920.71060311096</v>
      </c>
      <c r="AD105">
        <f>AC105*E105*10000*VLOOKUP(A105,[1]kcal!$A$2:$C$49,3,FALSE)/1000000000000</f>
        <v>0</v>
      </c>
    </row>
    <row r="106" spans="1:30" x14ac:dyDescent="0.25">
      <c r="A106" s="171" t="str">
        <f t="shared" si="11"/>
        <v>Dybstrøelse</v>
      </c>
      <c r="B106" s="171" t="str">
        <f t="shared" si="12"/>
        <v>Husdyrgødning</v>
      </c>
      <c r="C106" s="171" t="str">
        <f>IFERROR(VLOOKUP(A106,'Kategorisering af kcal'!$A$2:$B$19,2,FALSE),"")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4"/>
        <v>0</v>
      </c>
      <c r="F106" s="171">
        <f t="shared" si="23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657661.09779742733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>SUMIFS('Resultat-Produktion &amp; forbrug'!K$4:K$291,'Resultat-Produktion &amp; forbrug'!$A$4:$A$291,'Produktion &amp; forbrug'!$A106,'Resultat-Produktion &amp; forbrug'!$E$4:$E$291,'Produktion &amp; forbrug'!$F106)</f>
        <v>591894.98801768455</v>
      </c>
      <c r="L106" s="94">
        <f>SUMIFS('Resultat-Produktion &amp; forbrug'!L$4:L$291,'Resultat-Produktion &amp; forbrug'!$A$4:$A$291,'Produktion &amp; forbrug'!$A106,'Resultat-Produktion &amp; forbrug'!$E$4:$E$291,'Produktion &amp; forbrug'!$F106)</f>
        <v>24897.170130902599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si="17"/>
        <v>40868.939648840227</v>
      </c>
      <c r="P106" s="94">
        <f t="shared" si="18"/>
        <v>40868.939648840227</v>
      </c>
      <c r="Q106" s="180">
        <f t="shared" si="19"/>
        <v>591894.98801768455</v>
      </c>
      <c r="R106">
        <f>IFERROR(VLOOKUP(A106,[1]Energiindhold!$A$2:$C$11,3,FALSE),IFERROR(VLOOKUP(A106,[1]Biogasudbytte!$A$2:$B$18,2,FALSE)*[1]Energiindhold!$C$10,0))*P106</f>
        <v>8.8031696003601848E-2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1.3629735001936945</v>
      </c>
      <c r="T106">
        <f>IFERROR(VLOOKUP(A106,[1]Biogasudbytte!$A$2:$B$18,2,FALSE)*[1]Energiindhold!$C$10,0)*K106*IFERROR(VLOOKUP(A106,Biogasanlæg!$F$3:$G$8,2,FALSE),1)</f>
        <v>1.2749418041900926</v>
      </c>
      <c r="U106" s="170">
        <f t="shared" si="20"/>
        <v>8.8031696003601834E-2</v>
      </c>
      <c r="V106" s="169">
        <f>P106*IFERROR(VLOOKUP(A106,[1]Tørstofindhold!A$2:B$24,2,FALSE),0)</f>
        <v>12260.681894652067</v>
      </c>
      <c r="W106">
        <f>IF(F106=År1,Q106,SUM(P106,Q106))*IFERROR(VLOOKUP(A106,[1]Tørstofindhold!A$2:B$24,2,FALSE),0)</f>
        <v>189829.17829995742</v>
      </c>
      <c r="X106">
        <f>K106*IFERROR(VLOOKUP(A106,[1]Tørstofindhold!A$2:B$24,2,FALSE),0)</f>
        <v>177568.49640530537</v>
      </c>
      <c r="Y106" s="170">
        <f t="shared" si="21"/>
        <v>12260.681894652051</v>
      </c>
      <c r="Z106">
        <f t="shared" si="24"/>
        <v>0</v>
      </c>
      <c r="AA106">
        <f t="shared" si="25"/>
        <v>1</v>
      </c>
      <c r="AC106" s="94">
        <f t="shared" si="22"/>
        <v>40868.939648840227</v>
      </c>
      <c r="AD106">
        <f>AC106*E106*10000*VLOOKUP(A106,[1]kcal!$A$2:$C$49,3,FALSE)/1000000000000</f>
        <v>0</v>
      </c>
    </row>
    <row r="107" spans="1:30" x14ac:dyDescent="0.25">
      <c r="A107" s="171" t="str">
        <f t="shared" si="11"/>
        <v>Fiberfraktion</v>
      </c>
      <c r="B107" s="171" t="str">
        <f t="shared" si="12"/>
        <v/>
      </c>
      <c r="C107" s="171" t="str">
        <f>IFERROR(VLOOKUP(A107,'Kategorisering af kcal'!$A$2:$B$19,2,FALSE),"")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4"/>
        <v>0</v>
      </c>
      <c r="F107" s="171">
        <f t="shared" si="23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2337844.1859630761</v>
      </c>
      <c r="H107" s="94">
        <f>SUMIFS('Resultat-Produktion &amp; forbrug'!H$4:H$291,'Resultat-Produktion &amp; forbrug'!$A$4:$A$291,'Produktion &amp; forbrug'!$A107,'Resultat-Produktion &amp; forbrug'!$E$4:$E$291,'Produktion &amp; forbrug'!$F107)</f>
        <v>2336288.8054452171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si="17"/>
        <v>1555.3805178590119</v>
      </c>
      <c r="P107" s="94">
        <f t="shared" si="18"/>
        <v>0</v>
      </c>
      <c r="Q107" s="180">
        <f t="shared" si="19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0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1"/>
        <v>0</v>
      </c>
      <c r="Z107">
        <f t="shared" si="24"/>
        <v>0</v>
      </c>
      <c r="AA107">
        <f t="shared" si="25"/>
        <v>1</v>
      </c>
      <c r="AC107" s="94">
        <f t="shared" si="22"/>
        <v>1555.3805178590119</v>
      </c>
      <c r="AD107">
        <f>AC107*E107*10000*VLOOKUP(A107,[1]kcal!$A$2:$C$49,3,FALSE)/1000000000000</f>
        <v>0</v>
      </c>
    </row>
    <row r="108" spans="1:30" x14ac:dyDescent="0.25">
      <c r="A108" s="171" t="str">
        <f t="shared" si="11"/>
        <v>Fjerkrægylle</v>
      </c>
      <c r="B108" s="171" t="str">
        <f t="shared" si="12"/>
        <v>Husdyrgødning</v>
      </c>
      <c r="C108" s="171" t="str">
        <f>IFERROR(VLOOKUP(A108,'Kategorisering af kcal'!$A$2:$B$19,2,FALSE),"")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4"/>
        <v>0</v>
      </c>
      <c r="F108" s="171">
        <f t="shared" si="23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6089.9666820052507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>SUMIFS('Resultat-Produktion &amp; forbrug'!K$4:K$291,'Resultat-Produktion &amp; forbrug'!$A$4:$A$291,'Produktion &amp; forbrug'!$A108,'Resultat-Produktion &amp; forbrug'!$E$4:$E$291,'Produktion &amp; forbrug'!$F108)</f>
        <v>5480.9700138047265</v>
      </c>
      <c r="L108" s="94">
        <f>SUMIFS('Resultat-Produktion &amp; forbrug'!L$4:L$291,'Resultat-Produktion &amp; forbrug'!$A$4:$A$291,'Produktion &amp; forbrug'!$A108,'Resultat-Produktion &amp; forbrug'!$E$4:$E$291,'Produktion &amp; forbrug'!$F108)</f>
        <v>608.99666820052505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si="17"/>
        <v>0</v>
      </c>
      <c r="P108" s="94">
        <f t="shared" si="18"/>
        <v>0</v>
      </c>
      <c r="Q108" s="180">
        <f t="shared" si="19"/>
        <v>5480.9700138047265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2.5776453877922249E-3</v>
      </c>
      <c r="T108">
        <f>IFERROR(VLOOKUP(A108,[1]Biogasudbytte!$A$2:$B$18,2,FALSE)*[1]Energiindhold!$C$10,0)*K108*IFERROR(VLOOKUP(A108,Biogasanlæg!$F$3:$G$8,2,FALSE),1)</f>
        <v>2.5776453877922249E-3</v>
      </c>
      <c r="U108" s="170">
        <f t="shared" si="20"/>
        <v>0</v>
      </c>
      <c r="V108" s="169">
        <f>P108*IFERROR(VLOOKUP(A108,[1]Tørstofindhold!A$2:B$24,2,FALSE),0)</f>
        <v>0</v>
      </c>
      <c r="W108">
        <f>IF(F108=År1,Q108,SUM(P108,Q108))*IFERROR(VLOOKUP(A108,[1]Tørstofindhold!A$2:B$24,2,FALSE),0)</f>
        <v>345.30111086969777</v>
      </c>
      <c r="X108">
        <f>K108*IFERROR(VLOOKUP(A108,[1]Tørstofindhold!A$2:B$24,2,FALSE),0)</f>
        <v>345.30111086969777</v>
      </c>
      <c r="Y108" s="170">
        <f t="shared" si="21"/>
        <v>0</v>
      </c>
      <c r="Z108">
        <f t="shared" si="24"/>
        <v>0</v>
      </c>
      <c r="AA108">
        <f t="shared" si="25"/>
        <v>0</v>
      </c>
      <c r="AC108" s="94">
        <f t="shared" si="22"/>
        <v>0</v>
      </c>
      <c r="AD108">
        <f>AC108*E108*10000*VLOOKUP(A108,[1]kcal!$A$2:$C$49,3,FALSE)/1000000000000</f>
        <v>0</v>
      </c>
    </row>
    <row r="109" spans="1:30" x14ac:dyDescent="0.25">
      <c r="A109" s="171" t="str">
        <f t="shared" si="11"/>
        <v>Fjerkrækød</v>
      </c>
      <c r="B109" s="171" t="str">
        <f t="shared" si="12"/>
        <v/>
      </c>
      <c r="C109" s="171" t="str">
        <f>IFERROR(VLOOKUP(A109,'Kategorisering af kcal'!$A$2:$B$19,2,FALSE),"")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4"/>
        <v>1</v>
      </c>
      <c r="F109" s="171">
        <f t="shared" si="23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6505.3390543143432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68663.801815425672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7"/>
        <v>-62158.462761111325</v>
      </c>
      <c r="P109" s="94">
        <f t="shared" si="18"/>
        <v>0</v>
      </c>
      <c r="Q109" s="180">
        <f t="shared" si="19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0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1"/>
        <v>0</v>
      </c>
      <c r="Z109">
        <f t="shared" si="24"/>
        <v>1</v>
      </c>
      <c r="AA109">
        <f t="shared" si="25"/>
        <v>0</v>
      </c>
      <c r="AC109" s="94">
        <f t="shared" si="22"/>
        <v>6505.3390543143432</v>
      </c>
      <c r="AD109">
        <f>AC109*E109*10000*VLOOKUP(A109,[1]kcal!$A$2:$C$49,3,FALSE)/1000000000000</f>
        <v>9.8881153625578009E-3</v>
      </c>
    </row>
    <row r="110" spans="1:30" x14ac:dyDescent="0.25">
      <c r="A110" s="171" t="str">
        <f t="shared" si="11"/>
        <v>Frø</v>
      </c>
      <c r="B110" s="171" t="str">
        <f t="shared" si="12"/>
        <v/>
      </c>
      <c r="C110" s="171" t="str">
        <f>IFERROR(VLOOKUP(A110,'Kategorisering af kcal'!$A$2:$B$19,2,FALSE),"")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4"/>
        <v>0</v>
      </c>
      <c r="F110" s="171">
        <f t="shared" si="23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0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7"/>
        <v>0</v>
      </c>
      <c r="P110" s="94">
        <f t="shared" si="18"/>
        <v>0</v>
      </c>
      <c r="Q110" s="180">
        <f t="shared" si="19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0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1"/>
        <v>0</v>
      </c>
      <c r="Z110">
        <f t="shared" si="24"/>
        <v>0</v>
      </c>
      <c r="AA110">
        <f t="shared" si="25"/>
        <v>0</v>
      </c>
      <c r="AC110" s="94">
        <f t="shared" si="22"/>
        <v>0</v>
      </c>
      <c r="AD110">
        <f>AC110*E110*10000*VLOOKUP(A110,[1]kcal!$A$2:$C$49,3,FALSE)/1000000000000</f>
        <v>0</v>
      </c>
    </row>
    <row r="111" spans="1:30" x14ac:dyDescent="0.25">
      <c r="A111" s="171" t="str">
        <f t="shared" si="11"/>
        <v>Frugt</v>
      </c>
      <c r="B111" s="171" t="str">
        <f t="shared" si="12"/>
        <v/>
      </c>
      <c r="C111" s="171" t="str">
        <f>IFERROR(VLOOKUP(A111,'Kategorisering af kcal'!$A$2:$B$19,2,FALSE),"")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4"/>
        <v>1</v>
      </c>
      <c r="F111" s="171">
        <f t="shared" si="23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1609127.400187155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501773.93634349527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7"/>
        <v>1107353.4638436597</v>
      </c>
      <c r="P111" s="94">
        <f t="shared" si="18"/>
        <v>0</v>
      </c>
      <c r="Q111" s="180">
        <f t="shared" si="19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0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1"/>
        <v>0</v>
      </c>
      <c r="Z111">
        <f t="shared" si="24"/>
        <v>0</v>
      </c>
      <c r="AA111">
        <f t="shared" si="25"/>
        <v>1</v>
      </c>
      <c r="AC111" s="94">
        <f t="shared" si="22"/>
        <v>1609127.400187155</v>
      </c>
      <c r="AD111">
        <f>AC111*E111*10000*VLOOKUP(A111,[1]kcal!$A$2:$C$49,3,FALSE)/1000000000000</f>
        <v>0.83674624809732057</v>
      </c>
    </row>
    <row r="112" spans="1:30" x14ac:dyDescent="0.25">
      <c r="A112" s="171" t="str">
        <f t="shared" si="11"/>
        <v>Glycerin</v>
      </c>
      <c r="B112" s="171" t="str">
        <f t="shared" si="12"/>
        <v>Glycerin</v>
      </c>
      <c r="C112" s="171" t="str">
        <f>IFERROR(VLOOKUP(A112,'Kategorisering af kcal'!$A$2:$B$19,2,FALSE),"")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4"/>
        <v>0</v>
      </c>
      <c r="F112" s="171">
        <f t="shared" si="23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0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7"/>
        <v>0</v>
      </c>
      <c r="P112" s="94">
        <f t="shared" si="18"/>
        <v>0</v>
      </c>
      <c r="Q112" s="180">
        <f t="shared" si="19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0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0</v>
      </c>
      <c r="X112">
        <f>K112*IFERROR(VLOOKUP(A112,[1]Tørstofindhold!A$2:B$24,2,FALSE),0)</f>
        <v>0</v>
      </c>
      <c r="Y112" s="170">
        <f t="shared" si="21"/>
        <v>0</v>
      </c>
      <c r="Z112">
        <f t="shared" si="24"/>
        <v>0</v>
      </c>
      <c r="AA112">
        <f t="shared" si="25"/>
        <v>0</v>
      </c>
      <c r="AC112" s="94">
        <f t="shared" si="22"/>
        <v>0</v>
      </c>
      <c r="AD112">
        <f>AC112*E112*10000*VLOOKUP(A112,[1]kcal!$A$2:$C$49,3,FALSE)/1000000000000</f>
        <v>0</v>
      </c>
    </row>
    <row r="113" spans="1:30" x14ac:dyDescent="0.25">
      <c r="A113" s="171" t="str">
        <f t="shared" si="11"/>
        <v>Græs</v>
      </c>
      <c r="B113" s="171" t="str">
        <f t="shared" si="12"/>
        <v>Græs og urter</v>
      </c>
      <c r="C113" s="171" t="str">
        <f>IFERROR(VLOOKUP(A113,'Kategorisering af kcal'!$A$2:$B$19,2,FALSE),"")</f>
        <v>Græs</v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4"/>
        <v>1</v>
      </c>
      <c r="F113" s="171">
        <f t="shared" si="23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34773018.351034001</v>
      </c>
      <c r="H113" s="94">
        <f>SUMIFS('Resultat-Produktion &amp; forbrug'!H$4:H$291,'Resultat-Produktion &amp; forbrug'!$A$4:$A$291,'Produktion &amp; forbrug'!$A113,'Resultat-Produktion &amp; forbrug'!$E$4:$E$291,'Produktion &amp; forbrug'!$F113)</f>
        <v>2351900.9893273683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>SUMIFS('Resultat-Produktion &amp; forbrug'!N$4:N$291,'Resultat-Produktion &amp; forbrug'!$A$4:$A$291,'Produktion &amp; forbrug'!$A113,'Resultat-Produktion &amp; forbrug'!$E$4:$E$291,'Produktion &amp; forbrug'!$F113)</f>
        <v>6792575.6108905366</v>
      </c>
      <c r="O113" s="179">
        <f t="shared" si="17"/>
        <v>25628541.750816096</v>
      </c>
      <c r="P113" s="94">
        <f t="shared" si="18"/>
        <v>25628541.750816096</v>
      </c>
      <c r="Q113" s="180">
        <f t="shared" si="19"/>
        <v>0</v>
      </c>
      <c r="R113">
        <f>IFERROR(VLOOKUP(A113,[1]Energiindhold!$A$2:$C$11,3,FALSE),IFERROR(VLOOKUP(A113,[1]Biogasudbytte!$A$2:$B$18,2,FALSE)*[1]Energiindhold!$C$10,0))*P113</f>
        <v>47.15331325378277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47.15331325378277</v>
      </c>
      <c r="T113">
        <f>IFERROR(VLOOKUP(A113,[1]Biogasudbytte!$A$2:$B$18,2,FALSE)*[1]Energiindhold!$C$10,0)*K113*IFERROR(VLOOKUP(A113,Biogasanlæg!$F$3:$G$8,2,FALSE),1)</f>
        <v>0</v>
      </c>
      <c r="U113" s="170">
        <f t="shared" si="20"/>
        <v>47.15331325378277</v>
      </c>
      <c r="V113" s="169">
        <f>P113*IFERROR(VLOOKUP(A113,[1]Tørstofindhold!A$2:B$24,2,FALSE),0)</f>
        <v>7175991.6902285079</v>
      </c>
      <c r="W113">
        <f>IF(F113=År1,Q113,SUM(P113,Q113))*IFERROR(VLOOKUP(A113,[1]Tørstofindhold!A$2:B$24,2,FALSE),0)</f>
        <v>7175991.6902285079</v>
      </c>
      <c r="X113">
        <f>K113*IFERROR(VLOOKUP(A113,[1]Tørstofindhold!A$2:B$24,2,FALSE),0)</f>
        <v>0</v>
      </c>
      <c r="Y113" s="170">
        <f t="shared" si="21"/>
        <v>7175991.6902285079</v>
      </c>
      <c r="Z113">
        <f t="shared" si="24"/>
        <v>0</v>
      </c>
      <c r="AA113">
        <f t="shared" si="25"/>
        <v>1</v>
      </c>
      <c r="AC113" s="94">
        <f>G113-SUMPRODUCT($H$2:$N$2,H113:N113)</f>
        <v>25628541.750816096</v>
      </c>
      <c r="AD113">
        <f>AC113*E113*10000*VLOOKUP(A113,[1]kcal!$A$2:$C$49,3,FALSE)/1000000000000</f>
        <v>4.3568520976387362</v>
      </c>
    </row>
    <row r="114" spans="1:30" x14ac:dyDescent="0.25">
      <c r="A114" s="171" t="str">
        <f t="shared" si="11"/>
        <v>Græsprotein</v>
      </c>
      <c r="B114" s="171" t="str">
        <f t="shared" si="12"/>
        <v/>
      </c>
      <c r="C114" s="171" t="str">
        <f>IFERROR(VLOOKUP(A114,'Kategorisering af kcal'!$A$2:$B$19,2,FALSE),"")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4"/>
        <v>0</v>
      </c>
      <c r="F114" s="171">
        <f t="shared" si="23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1135524.3188963511</v>
      </c>
      <c r="H114" s="94">
        <f>SUMIFS('Resultat-Produktion &amp; forbrug'!H$4:H$291,'Resultat-Produktion &amp; forbrug'!$A$4:$A$291,'Produktion &amp; forbrug'!$A114,'Resultat-Produktion &amp; forbrug'!$E$4:$E$291,'Produktion &amp; forbrug'!$F114)</f>
        <v>1135524.3188963511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si="17"/>
        <v>0</v>
      </c>
      <c r="P114" s="94">
        <f t="shared" si="18"/>
        <v>0</v>
      </c>
      <c r="Q114" s="180">
        <f t="shared" si="19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0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1"/>
        <v>0</v>
      </c>
      <c r="Z114">
        <f t="shared" si="24"/>
        <v>0</v>
      </c>
      <c r="AA114">
        <f t="shared" si="25"/>
        <v>0</v>
      </c>
      <c r="AC114" s="94">
        <f t="shared" si="22"/>
        <v>0</v>
      </c>
      <c r="AD114">
        <f>AC114*E114*10000*VLOOKUP(A114,[1]kcal!$A$2:$C$49,3,FALSE)/1000000000000</f>
        <v>0</v>
      </c>
    </row>
    <row r="115" spans="1:30" x14ac:dyDescent="0.25">
      <c r="A115" s="171" t="str">
        <f t="shared" si="11"/>
        <v>Grøntsager</v>
      </c>
      <c r="B115" s="171" t="str">
        <f t="shared" si="12"/>
        <v/>
      </c>
      <c r="C115" s="171" t="str">
        <f>IFERROR(VLOOKUP(A115,'Kategorisering af kcal'!$A$2:$B$19,2,FALSE),"")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4"/>
        <v>1</v>
      </c>
      <c r="F115" s="171">
        <f t="shared" si="23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2025526.4544641112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525542.17543345026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7"/>
        <v>1499984.2790306611</v>
      </c>
      <c r="P115" s="94">
        <f t="shared" si="18"/>
        <v>0</v>
      </c>
      <c r="Q115" s="180">
        <f t="shared" si="19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0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1"/>
        <v>0</v>
      </c>
      <c r="Z115">
        <f t="shared" si="24"/>
        <v>0</v>
      </c>
      <c r="AA115">
        <f t="shared" si="25"/>
        <v>1</v>
      </c>
      <c r="AC115" s="94">
        <f t="shared" si="22"/>
        <v>2025526.4544641112</v>
      </c>
      <c r="AD115">
        <f>AC115*E115*10000*VLOOKUP(A115,[1]kcal!$A$2:$C$49,3,FALSE)/1000000000000</f>
        <v>0.78995531724100343</v>
      </c>
    </row>
    <row r="116" spans="1:30" x14ac:dyDescent="0.25">
      <c r="A116" s="171" t="str">
        <f t="shared" ref="A116:A147" si="26">A68</f>
        <v>Halm</v>
      </c>
      <c r="B116" s="171" t="str">
        <f t="shared" ref="B116:B147" si="27">IF(B68&lt;&gt;"",B68,"")</f>
        <v>Halm og strå</v>
      </c>
      <c r="C116" s="171" t="str">
        <f>IFERROR(VLOOKUP(A116,'Kategorisering af kcal'!$A$2:$B$19,2,FALSE),"")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4"/>
        <v>0</v>
      </c>
      <c r="F116" s="171">
        <f t="shared" si="23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1034105.6634401137</v>
      </c>
      <c r="H116" s="94">
        <f>SUMIFS('Resultat-Produktion &amp; forbrug'!H$4:H$291,'Resultat-Produktion &amp; forbrug'!$A$4:$A$291,'Produktion &amp; forbrug'!$A116,'Resultat-Produktion &amp; forbrug'!$E$4:$E$291,'Produktion &amp; forbrug'!$F116)</f>
        <v>91437.297709456223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79956.439530000003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>SUMIFS('Resultat-Produktion &amp; forbrug'!M$4:M$291,'Resultat-Produktion &amp; forbrug'!$A$4:$A$291,'Produktion &amp; forbrug'!$A116,'Resultat-Produktion &amp; forbrug'!$E$4:$E$291,'Produktion &amp; forbrug'!$F116)</f>
        <v>862711.9262006575</v>
      </c>
      <c r="N116" s="94">
        <f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si="17"/>
        <v>0</v>
      </c>
      <c r="P116" s="94">
        <f t="shared" si="18"/>
        <v>0</v>
      </c>
      <c r="Q116" s="180">
        <f t="shared" si="19"/>
        <v>862711.9262006575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8.9168233956715746</v>
      </c>
      <c r="T116">
        <f>IFERROR(VLOOKUP(A116,[1]Biogasudbytte!$A$2:$B$18,2,FALSE)*[1]Energiindhold!$C$10,0)*K116*IFERROR(VLOOKUP(A116,Biogasanlæg!$F$3:$G$8,2,FALSE),1)</f>
        <v>0</v>
      </c>
      <c r="U116" s="170">
        <f t="shared" si="20"/>
        <v>8.9168233956715746</v>
      </c>
      <c r="V116" s="169">
        <f>P116*IFERROR(VLOOKUP(A116,[1]Tørstofindhold!A$2:B$24,2,FALSE),0)</f>
        <v>0</v>
      </c>
      <c r="W116">
        <f>IF(F116=År1,Q116,SUM(P116,Q116))*IFERROR(VLOOKUP(A116,[1]Tørstofindhold!A$2:B$24,2,FALSE),0)</f>
        <v>733305.13727055886</v>
      </c>
      <c r="X116">
        <f>K116*IFERROR(VLOOKUP(A116,[1]Tørstofindhold!A$2:B$24,2,FALSE),0)</f>
        <v>0</v>
      </c>
      <c r="Y116" s="170">
        <f t="shared" si="21"/>
        <v>733305.13727055886</v>
      </c>
      <c r="Z116">
        <f t="shared" si="24"/>
        <v>0</v>
      </c>
      <c r="AA116">
        <f t="shared" si="25"/>
        <v>0</v>
      </c>
      <c r="AC116" s="94">
        <f t="shared" si="22"/>
        <v>862711.92620065738</v>
      </c>
      <c r="AD116">
        <f>AC116*E116*10000*VLOOKUP(A116,[1]kcal!$A$2:$C$49,3,FALSE)/1000000000000</f>
        <v>0</v>
      </c>
    </row>
    <row r="117" spans="1:30" x14ac:dyDescent="0.25">
      <c r="A117" s="171" t="str">
        <f t="shared" si="26"/>
        <v>Have/parkaffald</v>
      </c>
      <c r="B117" s="171" t="str">
        <f t="shared" si="27"/>
        <v>Bionedbrydeligt affald</v>
      </c>
      <c r="C117" s="171" t="str">
        <f>IFERROR(VLOOKUP(A117,'Kategorisering af kcal'!$A$2:$B$19,2,FALSE),"")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28">E69</f>
        <v>0</v>
      </c>
      <c r="F117" s="171">
        <f t="shared" si="23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982809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7"/>
        <v>0</v>
      </c>
      <c r="P117" s="94">
        <f t="shared" si="18"/>
        <v>0</v>
      </c>
      <c r="Q117" s="180">
        <f t="shared" si="19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17.545322997702911</v>
      </c>
      <c r="T117">
        <f>IFERROR(VLOOKUP(A117,[1]Biogasudbytte!$A$2:$B$18,2,FALSE)*[1]Energiindhold!$C$10,0)*K117*IFERROR(VLOOKUP(A117,Biogasanlæg!$F$3:$G$8,2,FALSE),1)</f>
        <v>0</v>
      </c>
      <c r="U117" s="170">
        <f t="shared" si="20"/>
        <v>17.545322997702911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0</v>
      </c>
      <c r="Y117" s="170">
        <f t="shared" si="21"/>
        <v>294842.7</v>
      </c>
      <c r="Z117">
        <f t="shared" si="24"/>
        <v>0</v>
      </c>
      <c r="AA117">
        <f t="shared" si="25"/>
        <v>0</v>
      </c>
      <c r="AC117" s="94">
        <f t="shared" si="22"/>
        <v>982809</v>
      </c>
      <c r="AD117">
        <f>AC117*E117*10000*VLOOKUP(A117,[1]kcal!$A$2:$C$49,3,FALSE)/1000000000000</f>
        <v>0</v>
      </c>
    </row>
    <row r="118" spans="1:30" x14ac:dyDescent="0.25">
      <c r="A118" s="171" t="str">
        <f t="shared" si="26"/>
        <v>Import af foder</v>
      </c>
      <c r="B118" s="171" t="str">
        <f t="shared" si="27"/>
        <v/>
      </c>
      <c r="C118" s="171" t="str">
        <f>IFERROR(VLOOKUP(A118,'Kategorisering af kcal'!$A$2:$B$19,2,FALSE),"")</f>
        <v>Olieafgrøder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28"/>
        <v>1</v>
      </c>
      <c r="F118" s="171">
        <f t="shared" si="23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>SUMIFS('Resultat-Produktion &amp; forbrug'!H$4:H$291,'Resultat-Produktion &amp; forbrug'!$A$4:$A$291,'Produktion &amp; forbrug'!$A118,'Resultat-Produktion &amp; forbrug'!$E$4:$E$291,'Produktion &amp; forbrug'!$F118)</f>
        <v>0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si="17"/>
        <v>0</v>
      </c>
      <c r="P118" s="94">
        <f t="shared" si="18"/>
        <v>0</v>
      </c>
      <c r="Q118" s="180">
        <f t="shared" si="19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0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1"/>
        <v>0</v>
      </c>
      <c r="Z118">
        <f t="shared" si="24"/>
        <v>0</v>
      </c>
      <c r="AA118">
        <f t="shared" si="25"/>
        <v>0</v>
      </c>
      <c r="AC118" s="94">
        <f t="shared" si="22"/>
        <v>0</v>
      </c>
      <c r="AD118">
        <f>AC118*E118*10000*VLOOKUP(A118,[1]kcal!$A$2:$C$49,3,FALSE)/1000000000000</f>
        <v>0</v>
      </c>
    </row>
    <row r="119" spans="1:30" x14ac:dyDescent="0.25">
      <c r="A119" s="171" t="str">
        <f t="shared" si="26"/>
        <v>Industriaffald</v>
      </c>
      <c r="B119" s="171" t="str">
        <f t="shared" si="27"/>
        <v>Bionedbrydeligt affald</v>
      </c>
      <c r="C119" s="171" t="str">
        <f>IFERROR(VLOOKUP(A119,'Kategorisering af kcal'!$A$2:$B$19,2,FALSE),"")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28"/>
        <v>0</v>
      </c>
      <c r="F119" s="171">
        <f t="shared" si="23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386055.55758656352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si="17"/>
        <v>386055.55758656352</v>
      </c>
      <c r="P119" s="94">
        <f t="shared" si="18"/>
        <v>386055.55758656352</v>
      </c>
      <c r="Q119" s="180">
        <f t="shared" si="19"/>
        <v>0</v>
      </c>
      <c r="R119">
        <f>IFERROR(VLOOKUP(A119,[1]Energiindhold!$A$2:$C$11,3,FALSE),IFERROR(VLOOKUP(A119,[1]Biogasudbytte!$A$2:$B$18,2,FALSE)*[1]Energiindhold!$C$10,0))*P119</f>
        <v>1.6728289182450662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1.6728289182450662</v>
      </c>
      <c r="T119">
        <f>IFERROR(VLOOKUP(A119,[1]Biogasudbytte!$A$2:$B$18,2,FALSE)*[1]Energiindhold!$C$10,0)*K119*IFERROR(VLOOKUP(A119,Biogasanlæg!$F$3:$G$8,2,FALSE),1)</f>
        <v>0</v>
      </c>
      <c r="U119" s="170">
        <f t="shared" si="20"/>
        <v>1.6728289182450662</v>
      </c>
      <c r="V119" s="169">
        <f>P119*IFERROR(VLOOKUP(A119,[1]Tørstofindhold!A$2:B$24,2,FALSE),0)</f>
        <v>162143.33418635666</v>
      </c>
      <c r="W119">
        <f>IF(F119=År1,Q119,SUM(P119,Q119))*IFERROR(VLOOKUP(A119,[1]Tørstofindhold!A$2:B$24,2,FALSE),0)</f>
        <v>162143.33418635666</v>
      </c>
      <c r="X119">
        <f>K119*IFERROR(VLOOKUP(A119,[1]Tørstofindhold!A$2:B$24,2,FALSE),0)</f>
        <v>0</v>
      </c>
      <c r="Y119" s="170">
        <f t="shared" si="21"/>
        <v>162143.33418635666</v>
      </c>
      <c r="Z119">
        <f t="shared" si="24"/>
        <v>0</v>
      </c>
      <c r="AA119">
        <f t="shared" si="25"/>
        <v>1</v>
      </c>
      <c r="AC119" s="94">
        <f t="shared" si="22"/>
        <v>386055.55758656352</v>
      </c>
      <c r="AD119">
        <f>AC119*E119*10000*VLOOKUP(A119,[1]kcal!$A$2:$C$49,3,FALSE)/1000000000000</f>
        <v>0</v>
      </c>
    </row>
    <row r="120" spans="1:30" x14ac:dyDescent="0.25">
      <c r="A120" s="171" t="str">
        <f t="shared" si="26"/>
        <v>Juletræer</v>
      </c>
      <c r="B120" s="171" t="str">
        <f t="shared" si="27"/>
        <v/>
      </c>
      <c r="C120" s="171" t="str">
        <f>IFERROR(VLOOKUP(A120,'Kategorisering af kcal'!$A$2:$B$19,2,FALSE),"")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28"/>
        <v>0</v>
      </c>
      <c r="F120" s="171">
        <f t="shared" si="23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515416.99573239626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7"/>
        <v>515416.99573239626</v>
      </c>
      <c r="P120" s="94">
        <f t="shared" si="18"/>
        <v>0</v>
      </c>
      <c r="Q120" s="180">
        <f t="shared" si="19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0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1"/>
        <v>0</v>
      </c>
      <c r="Z120">
        <f t="shared" si="24"/>
        <v>0</v>
      </c>
      <c r="AA120">
        <f t="shared" si="25"/>
        <v>1</v>
      </c>
      <c r="AC120" s="94">
        <f t="shared" si="22"/>
        <v>515416.99573239626</v>
      </c>
      <c r="AD120">
        <f>AC120*E120*10000*VLOOKUP(A120,[1]kcal!$A$2:$C$49,3,FALSE)/1000000000000</f>
        <v>0</v>
      </c>
    </row>
    <row r="121" spans="1:30" x14ac:dyDescent="0.25">
      <c r="A121" s="171" t="str">
        <f t="shared" si="26"/>
        <v>Kartofler</v>
      </c>
      <c r="B121" s="171" t="str">
        <f t="shared" si="27"/>
        <v/>
      </c>
      <c r="C121" s="171" t="str">
        <f>IFERROR(VLOOKUP(A121,'Kategorisering af kcal'!$A$2:$B$19,2,FALSE),"")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28"/>
        <v>1</v>
      </c>
      <c r="F121" s="171">
        <f t="shared" si="23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1263583.871628813</v>
      </c>
      <c r="H121" s="94">
        <f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240323.30635398987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si="17"/>
        <v>1023260.5652748231</v>
      </c>
      <c r="P121" s="94">
        <f t="shared" si="18"/>
        <v>0</v>
      </c>
      <c r="Q121" s="180">
        <f t="shared" si="19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0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1"/>
        <v>0</v>
      </c>
      <c r="Z121">
        <f t="shared" si="24"/>
        <v>0</v>
      </c>
      <c r="AA121">
        <f t="shared" si="25"/>
        <v>1</v>
      </c>
      <c r="AC121" s="94">
        <f t="shared" si="22"/>
        <v>1263583.871628813</v>
      </c>
      <c r="AD121">
        <f>AC121*E121*10000*VLOOKUP(A121,[1]kcal!$A$2:$C$49,3,FALSE)/1000000000000</f>
        <v>0.98559541987047417</v>
      </c>
    </row>
    <row r="122" spans="1:30" x14ac:dyDescent="0.25">
      <c r="A122" s="171" t="str">
        <f t="shared" si="26"/>
        <v>Korn</v>
      </c>
      <c r="B122" s="171" t="str">
        <f t="shared" si="27"/>
        <v>Halm og strå</v>
      </c>
      <c r="C122" s="171" t="str">
        <f>IFERROR(VLOOKUP(A122,'Kategorisering af kcal'!$A$2:$B$19,2,FALSE),"")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28"/>
        <v>1</v>
      </c>
      <c r="F122" s="171">
        <f t="shared" si="23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559770.92661797442</v>
      </c>
      <c r="H122" s="94">
        <f>SUMIFS('Resultat-Produktion &amp; forbrug'!H$4:H$291,'Resultat-Produktion &amp; forbrug'!$A$4:$A$291,'Produktion &amp; forbrug'!$A122,'Resultat-Produktion &amp; forbrug'!$E$4:$E$291,'Produktion &amp; forbrug'!$F122)</f>
        <v>0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575719.56906779984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si="17"/>
        <v>-15948.64244982542</v>
      </c>
      <c r="P122" s="94">
        <f t="shared" si="18"/>
        <v>0</v>
      </c>
      <c r="Q122" s="180">
        <f t="shared" si="19"/>
        <v>0</v>
      </c>
      <c r="R122">
        <f>IFERROR(VLOOKUP(A122,[1]Energiindhold!$A$2:$C$11,3,FALSE),IFERROR(VLOOKUP(A122,[1]Biogasudbytte!$A$2:$B$18,2,FALSE)*[1]Energiindhold!$C$10,0))*P122</f>
        <v>0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0</v>
      </c>
      <c r="T122">
        <f>IFERROR(VLOOKUP(A122,[1]Biogasudbytte!$A$2:$B$18,2,FALSE)*[1]Energiindhold!$C$10,0)*K122*IFERROR(VLOOKUP(A122,Biogasanlæg!$F$3:$G$8,2,FALSE),1)</f>
        <v>0</v>
      </c>
      <c r="U122" s="170">
        <f t="shared" si="20"/>
        <v>0</v>
      </c>
      <c r="V122" s="169">
        <f>P122*IFERROR(VLOOKUP(A122,[1]Tørstofindhold!A$2:B$24,2,FALSE),0)</f>
        <v>0</v>
      </c>
      <c r="W122">
        <f>IF(F122=År1,Q122,SUM(P122,Q122))*IFERROR(VLOOKUP(A122,[1]Tørstofindhold!A$2:B$24,2,FALSE),0)</f>
        <v>0</v>
      </c>
      <c r="X122">
        <f>K122*IFERROR(VLOOKUP(A122,[1]Tørstofindhold!A$2:B$24,2,FALSE),0)</f>
        <v>0</v>
      </c>
      <c r="Y122" s="170">
        <f t="shared" si="21"/>
        <v>0</v>
      </c>
      <c r="Z122">
        <f t="shared" si="24"/>
        <v>1</v>
      </c>
      <c r="AA122">
        <f t="shared" si="25"/>
        <v>0</v>
      </c>
      <c r="AC122" s="94">
        <f t="shared" si="22"/>
        <v>559770.92661797442</v>
      </c>
      <c r="AD122">
        <f>AC122*E122*10000*VLOOKUP(A122,[1]kcal!$A$2:$C$49,3,FALSE)/1000000000000</f>
        <v>1.3009853730207237</v>
      </c>
    </row>
    <row r="123" spans="1:30" x14ac:dyDescent="0.25">
      <c r="A123" s="171" t="str">
        <f t="shared" si="26"/>
        <v>Kunstgødning</v>
      </c>
      <c r="B123" s="171" t="str">
        <f t="shared" si="27"/>
        <v/>
      </c>
      <c r="C123" s="171" t="str">
        <f>IFERROR(VLOOKUP(A123,'Kategorisering af kcal'!$A$2:$B$19,2,FALSE),"")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28"/>
        <v>0</v>
      </c>
      <c r="F123" s="171">
        <f t="shared" si="23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 t="e">
        <f ca="1">SUMIFS('Resultat-Produktion &amp; forbrug'!L$4:L$291,'Resultat-Produktion &amp; forbrug'!$A$4:$A$291,'Produktion &amp; forbrug'!$A123,'Resultat-Produktion &amp; forbrug'!$E$4:$E$291,'Produktion &amp; forbrug'!$F123)</f>
        <v>#DIV/0!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 t="e">
        <f t="shared" ca="1" si="17"/>
        <v>#DIV/0!</v>
      </c>
      <c r="P123" s="94">
        <f t="shared" si="18"/>
        <v>0</v>
      </c>
      <c r="Q123" s="180">
        <f t="shared" si="19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0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1"/>
        <v>0</v>
      </c>
      <c r="Z123" t="e">
        <f t="shared" ca="1" si="24"/>
        <v>#DIV/0!</v>
      </c>
      <c r="AA123" t="e">
        <f t="shared" ca="1" si="25"/>
        <v>#DIV/0!</v>
      </c>
      <c r="AC123" s="94" t="e">
        <f t="shared" ca="1" si="22"/>
        <v>#DIV/0!</v>
      </c>
      <c r="AD123" t="e">
        <f ca="1">AC123*E123*10000*VLOOKUP(A123,[1]kcal!$A$2:$C$49,3,FALSE)/1000000000000</f>
        <v>#DIV/0!</v>
      </c>
    </row>
    <row r="124" spans="1:30" x14ac:dyDescent="0.25">
      <c r="A124" s="171" t="str">
        <f t="shared" si="26"/>
        <v>Kvæggylle</v>
      </c>
      <c r="B124" s="171" t="str">
        <f t="shared" si="27"/>
        <v>Husdyrgødning</v>
      </c>
      <c r="C124" s="171" t="str">
        <f>IFERROR(VLOOKUP(A124,'Kategorisering af kcal'!$A$2:$B$19,2,FALSE),"")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28"/>
        <v>0</v>
      </c>
      <c r="F124" s="171">
        <f t="shared" si="23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736307.92601451301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>SUMIFS('Resultat-Produktion &amp; forbrug'!K$4:K$291,'Resultat-Produktion &amp; forbrug'!$A$4:$A$291,'Produktion &amp; forbrug'!$A124,'Resultat-Produktion &amp; forbrug'!$E$4:$E$291,'Produktion &amp; forbrug'!$F124)</f>
        <v>662677.13341306173</v>
      </c>
      <c r="L124" s="94">
        <f>SUMIFS('Resultat-Produktion &amp; forbrug'!L$4:L$291,'Resultat-Produktion &amp; forbrug'!$A$4:$A$291,'Produktion &amp; forbrug'!$A124,'Resultat-Produktion &amp; forbrug'!$E$4:$E$291,'Produktion &amp; forbrug'!$F124)</f>
        <v>73630.792601451278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si="17"/>
        <v>0</v>
      </c>
      <c r="P124" s="94">
        <f t="shared" si="18"/>
        <v>0</v>
      </c>
      <c r="Q124" s="180">
        <f t="shared" si="19"/>
        <v>662677.13341306173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0.33544053816235775</v>
      </c>
      <c r="T124">
        <f>IFERROR(VLOOKUP(A124,[1]Biogasudbytte!$A$2:$B$18,2,FALSE)*[1]Energiindhold!$C$10,0)*K124*IFERROR(VLOOKUP(A124,Biogasanlæg!$F$3:$G$8,2,FALSE),1)</f>
        <v>0.33544053816235775</v>
      </c>
      <c r="U124" s="170">
        <f t="shared" si="20"/>
        <v>0</v>
      </c>
      <c r="V124" s="169">
        <f>P124*IFERROR(VLOOKUP(A124,[1]Tørstofindhold!A$2:B$24,2,FALSE),0)</f>
        <v>0</v>
      </c>
      <c r="W124">
        <f>IF(F124=År1,Q124,SUM(P124,Q124))*IFERROR(VLOOKUP(A124,[1]Tørstofindhold!A$2:B$24,2,FALSE),0)</f>
        <v>50363.462139392694</v>
      </c>
      <c r="X124">
        <f>K124*IFERROR(VLOOKUP(A124,[1]Tørstofindhold!A$2:B$24,2,FALSE),0)</f>
        <v>50363.462139392694</v>
      </c>
      <c r="Y124" s="170">
        <f t="shared" si="21"/>
        <v>0</v>
      </c>
      <c r="Z124">
        <f t="shared" si="24"/>
        <v>0</v>
      </c>
      <c r="AA124">
        <f t="shared" si="25"/>
        <v>0</v>
      </c>
      <c r="AC124" s="94">
        <f t="shared" si="22"/>
        <v>0</v>
      </c>
      <c r="AD124">
        <f>AC124*E124*10000*VLOOKUP(A124,[1]kcal!$A$2:$C$49,3,FALSE)/1000000000000</f>
        <v>0</v>
      </c>
    </row>
    <row r="125" spans="1:30" x14ac:dyDescent="0.25">
      <c r="A125" s="171" t="str">
        <f t="shared" si="26"/>
        <v>Mælk til foder</v>
      </c>
      <c r="B125" s="171" t="str">
        <f t="shared" si="27"/>
        <v/>
      </c>
      <c r="C125" s="171" t="str">
        <f>IFERROR(VLOOKUP(A125,'Kategorisering af kcal'!$A$2:$B$19,2,FALSE),"")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28"/>
        <v>0</v>
      </c>
      <c r="F125" s="171">
        <f t="shared" si="23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0</v>
      </c>
      <c r="H125" s="94">
        <f>SUMIFS('Resultat-Produktion &amp; forbrug'!H$4:H$291,'Resultat-Produktion &amp; forbrug'!$A$4:$A$291,'Produktion &amp; forbrug'!$A125,'Resultat-Produktion &amp; forbrug'!$E$4:$E$291,'Produktion &amp; forbrug'!$F125)</f>
        <v>0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si="17"/>
        <v>0</v>
      </c>
      <c r="P125" s="94">
        <f t="shared" si="18"/>
        <v>0</v>
      </c>
      <c r="Q125" s="180">
        <f t="shared" si="19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0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1"/>
        <v>0</v>
      </c>
      <c r="Z125">
        <f t="shared" si="24"/>
        <v>0</v>
      </c>
      <c r="AA125">
        <f t="shared" si="25"/>
        <v>0</v>
      </c>
      <c r="AC125" s="94">
        <f t="shared" si="22"/>
        <v>0</v>
      </c>
      <c r="AD125">
        <f>AC125*E125*10000*VLOOKUP(A125,[1]kcal!$A$2:$C$49,3,FALSE)/1000000000000</f>
        <v>0</v>
      </c>
    </row>
    <row r="126" spans="1:30" x14ac:dyDescent="0.25">
      <c r="A126" s="171" t="str">
        <f t="shared" si="26"/>
        <v>Majs</v>
      </c>
      <c r="B126" s="171" t="str">
        <f t="shared" si="27"/>
        <v>Græs og urter</v>
      </c>
      <c r="C126" s="171" t="str">
        <f>IFERROR(VLOOKUP(A126,'Kategorisering af kcal'!$A$2:$B$19,2,FALSE),"")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28"/>
        <v>1</v>
      </c>
      <c r="F126" s="171">
        <f t="shared" si="23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0</v>
      </c>
      <c r="H126" s="94">
        <f>SUMIFS('Resultat-Produktion &amp; forbrug'!H$4:H$291,'Resultat-Produktion &amp; forbrug'!$A$4:$A$291,'Produktion &amp; forbrug'!$A126,'Resultat-Produktion &amp; forbrug'!$E$4:$E$291,'Produktion &amp; forbrug'!$F126)</f>
        <v>0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 t="e">
        <f>SUMIFS('Resultat-Produktion &amp; forbrug'!K$4:K$291,'Resultat-Produktion &amp; forbrug'!$A$4:$A$291,'Produktion &amp; forbrug'!$A126,'Resultat-Produktion &amp; forbrug'!$E$4:$E$291,'Produktion &amp; forbrug'!$F126)</f>
        <v>#DIV/0!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 t="e">
        <f t="shared" si="17"/>
        <v>#DIV/0!</v>
      </c>
      <c r="P126" s="94" t="e">
        <f t="shared" si="18"/>
        <v>#DIV/0!</v>
      </c>
      <c r="Q126" s="180" t="e">
        <f t="shared" si="19"/>
        <v>#DIV/0!</v>
      </c>
      <c r="R126" t="e">
        <f>IFERROR(VLOOKUP(A126,[1]Energiindhold!$A$2:$C$11,3,FALSE),IFERROR(VLOOKUP(A126,[1]Biogasudbytte!$A$2:$B$18,2,FALSE)*[1]Energiindhold!$C$10,0))*P126</f>
        <v>#DIV/0!</v>
      </c>
      <c r="S126" t="e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#DIV/0!</v>
      </c>
      <c r="T126" t="e">
        <f>IFERROR(VLOOKUP(A126,[1]Biogasudbytte!$A$2:$B$18,2,FALSE)*[1]Energiindhold!$C$10,0)*K126*IFERROR(VLOOKUP(A126,Biogasanlæg!$F$3:$G$8,2,FALSE),1)</f>
        <v>#DIV/0!</v>
      </c>
      <c r="U126" s="170" t="e">
        <f t="shared" si="20"/>
        <v>#DIV/0!</v>
      </c>
      <c r="V126" s="169" t="e">
        <f>P126*IFERROR(VLOOKUP(A126,[1]Tørstofindhold!A$2:B$24,2,FALSE),0)</f>
        <v>#DIV/0!</v>
      </c>
      <c r="W126" t="e">
        <f>IF(F126=År1,Q126,SUM(P126,Q126))*IFERROR(VLOOKUP(A126,[1]Tørstofindhold!A$2:B$24,2,FALSE),0)</f>
        <v>#DIV/0!</v>
      </c>
      <c r="X126" t="e">
        <f>K126*IFERROR(VLOOKUP(A126,[1]Tørstofindhold!A$2:B$24,2,FALSE),0)</f>
        <v>#DIV/0!</v>
      </c>
      <c r="Y126" s="170" t="e">
        <f t="shared" si="21"/>
        <v>#DIV/0!</v>
      </c>
      <c r="Z126" t="e">
        <f t="shared" si="24"/>
        <v>#DIV/0!</v>
      </c>
      <c r="AA126" t="e">
        <f t="shared" si="25"/>
        <v>#DIV/0!</v>
      </c>
      <c r="AC126" s="94" t="e">
        <f t="shared" si="22"/>
        <v>#DIV/0!</v>
      </c>
      <c r="AD126" t="e">
        <f>AC126*E126*10000*VLOOKUP(A126,[1]kcal!$A$2:$C$49,3,FALSE)/1000000000000</f>
        <v>#DIV/0!</v>
      </c>
    </row>
    <row r="127" spans="1:30" x14ac:dyDescent="0.25">
      <c r="A127" s="171" t="str">
        <f t="shared" si="26"/>
        <v>Mejeriprodukter</v>
      </c>
      <c r="B127" s="171" t="str">
        <f t="shared" si="27"/>
        <v/>
      </c>
      <c r="C127" s="171" t="str">
        <f>IFERROR(VLOOKUP(A127,'Kategorisering af kcal'!$A$2:$B$19,2,FALSE),"")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28"/>
        <v>1</v>
      </c>
      <c r="F127" s="171">
        <f t="shared" si="23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0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919038.57814492821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7"/>
        <v>-919038.57814492821</v>
      </c>
      <c r="P127" s="94">
        <f t="shared" si="18"/>
        <v>0</v>
      </c>
      <c r="Q127" s="180">
        <f t="shared" si="19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0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1"/>
        <v>0</v>
      </c>
      <c r="Z127">
        <f t="shared" si="24"/>
        <v>1</v>
      </c>
      <c r="AA127">
        <f t="shared" si="25"/>
        <v>0</v>
      </c>
      <c r="AC127" s="94">
        <f t="shared" si="22"/>
        <v>0</v>
      </c>
      <c r="AD127">
        <f>AC127*E127*10000*VLOOKUP(A127,[1]kcal!$A$2:$C$49,3,FALSE)/1000000000000</f>
        <v>0</v>
      </c>
    </row>
    <row r="128" spans="1:30" x14ac:dyDescent="0.25">
      <c r="A128" s="171" t="str">
        <f t="shared" si="26"/>
        <v>Muslinger</v>
      </c>
      <c r="B128" s="171" t="str">
        <f t="shared" si="27"/>
        <v>Havbiomasse</v>
      </c>
      <c r="C128" s="171" t="str">
        <f>IFERROR(VLOOKUP(A128,'Kategorisering af kcal'!$A$2:$B$19,2,FALSE),"")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28"/>
        <v>1</v>
      </c>
      <c r="F128" s="171">
        <f t="shared" si="23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si="17"/>
        <v>880.09999999999991</v>
      </c>
      <c r="P128" s="94">
        <f t="shared" si="18"/>
        <v>880.09999999999991</v>
      </c>
      <c r="Q128" s="180">
        <f t="shared" si="19"/>
        <v>0</v>
      </c>
      <c r="R128">
        <f>IFERROR(VLOOKUP(A128,[1]Energiindhold!$A$2:$C$11,3,FALSE),IFERROR(VLOOKUP(A128,[1]Biogasudbytte!$A$2:$B$18,2,FALSE)*[1]Energiindhold!$C$10,0))*P128</f>
        <v>7.8988975000000004E-4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0"/>
        <v>7.8988975000000004E-4</v>
      </c>
      <c r="V128" s="169">
        <f>P128*IFERROR(VLOOKUP(A128,[1]Tørstofindhold!A$2:B$24,2,FALSE),0)</f>
        <v>132.01499999999999</v>
      </c>
      <c r="W128">
        <f>IF(F128=År1,Q128,SUM(P128,Q128))*IFERROR(VLOOKUP(A128,[1]Tørstofindhold!A$2:B$24,2,FALSE),0)</f>
        <v>132.01499999999999</v>
      </c>
      <c r="X128">
        <f>K128*IFERROR(VLOOKUP(A128,[1]Tørstofindhold!A$2:B$24,2,FALSE),0)</f>
        <v>0</v>
      </c>
      <c r="Y128" s="170">
        <f t="shared" si="21"/>
        <v>132.01499999999999</v>
      </c>
      <c r="Z128">
        <f t="shared" si="24"/>
        <v>0</v>
      </c>
      <c r="AA128">
        <f t="shared" si="25"/>
        <v>1</v>
      </c>
      <c r="AC128" s="94">
        <f t="shared" si="22"/>
        <v>880.09999999999991</v>
      </c>
      <c r="AD128">
        <f>AC128*E128*10000*VLOOKUP(A128,[1]kcal!$A$2:$C$49,3,FALSE)/1000000000000</f>
        <v>7.3048299999999998E-4</v>
      </c>
    </row>
    <row r="129" spans="1:30" x14ac:dyDescent="0.25">
      <c r="A129" s="171" t="str">
        <f t="shared" si="26"/>
        <v>Oksekød</v>
      </c>
      <c r="B129" s="171" t="str">
        <f t="shared" si="27"/>
        <v/>
      </c>
      <c r="C129" s="171" t="str">
        <f>IFERROR(VLOOKUP(A129,'Kategorisering af kcal'!$A$2:$B$19,2,FALSE),"")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28"/>
        <v>1</v>
      </c>
      <c r="F129" s="171">
        <f t="shared" si="23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4193.3637747548428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116781.28139531243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7"/>
        <v>-112587.91762055758</v>
      </c>
      <c r="P129" s="94">
        <f t="shared" si="18"/>
        <v>0</v>
      </c>
      <c r="Q129" s="180">
        <f t="shared" si="19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0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1"/>
        <v>0</v>
      </c>
      <c r="Z129">
        <f t="shared" si="24"/>
        <v>1</v>
      </c>
      <c r="AA129">
        <f t="shared" si="25"/>
        <v>0</v>
      </c>
      <c r="AC129" s="94">
        <f t="shared" si="22"/>
        <v>4193.3637747548428</v>
      </c>
      <c r="AD129">
        <f>AC129*E129*10000*VLOOKUP(A129,[1]kcal!$A$2:$C$49,3,FALSE)/1000000000000</f>
        <v>8.177059360771944E-3</v>
      </c>
    </row>
    <row r="130" spans="1:30" x14ac:dyDescent="0.25">
      <c r="A130" s="171" t="str">
        <f t="shared" si="26"/>
        <v>Øvrige</v>
      </c>
      <c r="B130" s="171" t="str">
        <f t="shared" si="27"/>
        <v/>
      </c>
      <c r="C130" s="171" t="str">
        <f>IFERROR(VLOOKUP(A130,'Kategorisering af kcal'!$A$2:$B$19,2,FALSE),"")</f>
        <v>Øvrige</v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28"/>
        <v>1</v>
      </c>
      <c r="F130" s="171">
        <f t="shared" si="23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0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7"/>
        <v>0</v>
      </c>
      <c r="P130" s="94">
        <f t="shared" si="18"/>
        <v>0</v>
      </c>
      <c r="Q130" s="180">
        <f t="shared" si="19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0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1"/>
        <v>0</v>
      </c>
      <c r="Z130">
        <f t="shared" si="24"/>
        <v>0</v>
      </c>
      <c r="AA130">
        <f t="shared" si="25"/>
        <v>0</v>
      </c>
      <c r="AC130" s="94">
        <f t="shared" si="22"/>
        <v>0</v>
      </c>
      <c r="AD130">
        <f>AC130*E130*10000*VLOOKUP(A130,[1]kcal!$A$2:$C$49,3,FALSE)/1000000000000</f>
        <v>0</v>
      </c>
    </row>
    <row r="131" spans="1:30" x14ac:dyDescent="0.25">
      <c r="A131" s="171" t="str">
        <f t="shared" si="26"/>
        <v>Pil &amp; poppel</v>
      </c>
      <c r="B131" s="171" t="str">
        <f t="shared" si="27"/>
        <v>Vedmasse</v>
      </c>
      <c r="C131" s="171" t="str">
        <f>IFERROR(VLOOKUP(A131,'Kategorisering af kcal'!$A$2:$B$19,2,FALSE),"")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28"/>
        <v>0</v>
      </c>
      <c r="F131" s="171">
        <f t="shared" si="23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1753629.766003873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1753629.766003873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7"/>
        <v>0</v>
      </c>
      <c r="P131" s="94">
        <f t="shared" si="18"/>
        <v>0</v>
      </c>
      <c r="Q131" s="180">
        <f t="shared" si="19"/>
        <v>1753629.766003873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32.266787694471255</v>
      </c>
      <c r="T131">
        <f>IFERROR(VLOOKUP(A131,[1]Biogasudbytte!$A$2:$B$18,2,FALSE)*[1]Energiindhold!$C$10,0)*K131*IFERROR(VLOOKUP(A131,Biogasanlæg!$F$3:$G$8,2,FALSE),1)</f>
        <v>0</v>
      </c>
      <c r="U131" s="170">
        <f t="shared" si="20"/>
        <v>32.266787694471255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727756.35289160733</v>
      </c>
      <c r="X131">
        <f>K131*IFERROR(VLOOKUP(A131,[1]Tørstofindhold!A$2:B$24,2,FALSE),0)</f>
        <v>0</v>
      </c>
      <c r="Y131" s="170">
        <f t="shared" si="21"/>
        <v>727756.35289160733</v>
      </c>
      <c r="Z131">
        <f t="shared" si="24"/>
        <v>0</v>
      </c>
      <c r="AA131">
        <f t="shared" si="25"/>
        <v>0</v>
      </c>
      <c r="AC131" s="94">
        <f t="shared" si="22"/>
        <v>1753629.766003873</v>
      </c>
      <c r="AD131">
        <f>AC131*E131*10000*VLOOKUP(A131,[1]kcal!$A$2:$C$49,3,FALSE)/1000000000000</f>
        <v>0</v>
      </c>
    </row>
    <row r="132" spans="1:30" x14ac:dyDescent="0.25">
      <c r="A132" s="171" t="str">
        <f t="shared" si="26"/>
        <v>Pyrolysegas</v>
      </c>
      <c r="B132" s="171" t="str">
        <f t="shared" si="27"/>
        <v>Pyrolyseprodukter</v>
      </c>
      <c r="C132" s="171" t="str">
        <f>IFERROR(VLOOKUP(A132,'Kategorisering af kcal'!$A$2:$B$19,2,FALSE),"")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28"/>
        <v>0</v>
      </c>
      <c r="F132" s="171">
        <f t="shared" si="23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si="17"/>
        <v>0</v>
      </c>
      <c r="P132" s="94">
        <f t="shared" si="18"/>
        <v>0</v>
      </c>
      <c r="Q132" s="180">
        <f t="shared" si="19"/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si="20"/>
        <v>0</v>
      </c>
      <c r="V132" s="169">
        <f>P132*IFERROR(VLOOKUP(A132,[1]Tørstofindhold!A$2:B$24,2,FALSE),0)</f>
        <v>0</v>
      </c>
      <c r="W132">
        <f>IF(F132=År1,Q132,SUM(P132,Q132))*IFERROR(VLOOKUP(A132,[1]Tørstofindhold!A$2:B$24,2,FALSE),0)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si="21"/>
        <v>0</v>
      </c>
      <c r="Z132">
        <f t="shared" ref="Z132:Z147" si="29">IF(SUMIFS($O$4:$O$147,$A$4:$A$147,A132,$F$4:$F$147,F132)&lt;0,1,0)</f>
        <v>0</v>
      </c>
      <c r="AA132">
        <f t="shared" ref="AA132:AA147" si="30">IF(SUMIFS($O$4:$O$147,$A$4:$A$147,A132,$F$4:$F$147,F132)&gt;0,1,0)</f>
        <v>0</v>
      </c>
      <c r="AC132" s="94">
        <f t="shared" si="22"/>
        <v>0</v>
      </c>
      <c r="AD132">
        <f>AC132*E132*10000*VLOOKUP(A132,[1]kcal!$A$2:$C$49,3,FALSE)/1000000000000</f>
        <v>0</v>
      </c>
    </row>
    <row r="133" spans="1:30" x14ac:dyDescent="0.25">
      <c r="A133" s="171" t="str">
        <f t="shared" si="26"/>
        <v>Pyrolyseolie</v>
      </c>
      <c r="B133" s="171" t="str">
        <f t="shared" si="27"/>
        <v>Pyrolyseprodukter</v>
      </c>
      <c r="C133" s="171" t="str">
        <f>IFERROR(VLOOKUP(A133,'Kategorisering af kcal'!$A$2:$B$19,2,FALSE),"")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28"/>
        <v>0</v>
      </c>
      <c r="F133" s="171">
        <f t="shared" si="23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si="17"/>
        <v>0</v>
      </c>
      <c r="P133" s="94">
        <f t="shared" ref="P133:P147" si="31">IF(D133=1,MAX(O133,0),0)</f>
        <v>0</v>
      </c>
      <c r="Q133" s="180">
        <f t="shared" si="19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20"/>
        <v>0</v>
      </c>
      <c r="V133" s="169">
        <f>P133*IFERROR(VLOOKUP(A133,[1]Tørstofindhold!A$2:B$24,2,FALSE),0)</f>
        <v>0</v>
      </c>
      <c r="W133">
        <f>IF(F133=År1,Q133,SUM(P133,Q133))*IFERROR(VLOOKUP(A133,[1]Tørstofindhold!A$2:B$24,2,FALSE),0)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21"/>
        <v>0</v>
      </c>
      <c r="Z133">
        <f t="shared" si="29"/>
        <v>0</v>
      </c>
      <c r="AA133">
        <f t="shared" si="30"/>
        <v>0</v>
      </c>
      <c r="AC133" s="94">
        <f t="shared" ref="AC133:AC147" si="32">G133-SUMPRODUCT($H$2:$N$2,H133:N133)</f>
        <v>0</v>
      </c>
      <c r="AD133">
        <f>AC133*E133*10000*VLOOKUP(A133,[1]kcal!$A$2:$C$49,3,FALSE)/1000000000000</f>
        <v>0</v>
      </c>
    </row>
    <row r="134" spans="1:30" x14ac:dyDescent="0.25">
      <c r="A134" s="171" t="str">
        <f t="shared" si="26"/>
        <v>Råmælk</v>
      </c>
      <c r="B134" s="171" t="str">
        <f t="shared" si="27"/>
        <v/>
      </c>
      <c r="C134" s="171" t="str">
        <f>IFERROR(VLOOKUP(A134,'Kategorisering af kcal'!$A$2:$B$19,2,FALSE),"")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28"/>
        <v>0</v>
      </c>
      <c r="F134" s="171">
        <f t="shared" si="23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0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7"/>
        <v>0</v>
      </c>
      <c r="P134" s="94">
        <f t="shared" si="31"/>
        <v>0</v>
      </c>
      <c r="Q134" s="180">
        <f t="shared" si="19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0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1"/>
        <v>0</v>
      </c>
      <c r="Z134">
        <f t="shared" si="29"/>
        <v>0</v>
      </c>
      <c r="AA134">
        <f t="shared" si="30"/>
        <v>0</v>
      </c>
      <c r="AC134" s="94">
        <f t="shared" si="32"/>
        <v>0</v>
      </c>
      <c r="AD134">
        <f>AC134*E134*10000*VLOOKUP(A134,[1]kcal!$A$2:$C$49,3,FALSE)/1000000000000</f>
        <v>0</v>
      </c>
    </row>
    <row r="135" spans="1:30" x14ac:dyDescent="0.25">
      <c r="A135" s="171" t="str">
        <f t="shared" si="26"/>
        <v>Raps</v>
      </c>
      <c r="B135" s="171" t="str">
        <f t="shared" si="27"/>
        <v/>
      </c>
      <c r="C135" s="171" t="str">
        <f>IFERROR(VLOOKUP(A135,'Kategorisering af kcal'!$A$2:$B$19,2,FALSE),"")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28"/>
        <v>0</v>
      </c>
      <c r="F135" s="171">
        <f t="shared" si="23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865274.96481497539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865274.96481497539</v>
      </c>
      <c r="O135" s="179">
        <f t="shared" ref="O135:O147" si="33">G135-SUM(H135:N135)</f>
        <v>0</v>
      </c>
      <c r="P135" s="94">
        <f t="shared" si="31"/>
        <v>0</v>
      </c>
      <c r="Q135" s="180">
        <f t="shared" ref="Q135:Q147" si="34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5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6">W135-X135</f>
        <v>0</v>
      </c>
      <c r="Z135">
        <f t="shared" si="29"/>
        <v>0</v>
      </c>
      <c r="AA135">
        <f t="shared" si="30"/>
        <v>0</v>
      </c>
      <c r="AC135" s="94">
        <f t="shared" si="32"/>
        <v>0</v>
      </c>
      <c r="AD135">
        <f>AC135*E135*10000*VLOOKUP(A135,[1]kcal!$A$2:$C$49,3,FALSE)/1000000000000</f>
        <v>0</v>
      </c>
    </row>
    <row r="136" spans="1:30" x14ac:dyDescent="0.25">
      <c r="A136" s="171" t="str">
        <f t="shared" si="26"/>
        <v>Rapskage</v>
      </c>
      <c r="B136" s="171" t="str">
        <f t="shared" si="27"/>
        <v/>
      </c>
      <c r="C136" s="171" t="str">
        <f>IFERROR(VLOOKUP(A136,'Kategorisering af kcal'!$A$2:$B$19,2,FALSE),"")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28"/>
        <v>0</v>
      </c>
      <c r="F136" s="171">
        <f t="shared" si="23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432637.4824074877</v>
      </c>
      <c r="H136" s="94">
        <f>SUMIFS('Resultat-Produktion &amp; forbrug'!H$4:H$291,'Resultat-Produktion &amp; forbrug'!$A$4:$A$291,'Produktion &amp; forbrug'!$A136,'Resultat-Produktion &amp; forbrug'!$E$4:$E$291,'Produktion &amp; forbrug'!$F136)</f>
        <v>43445.395141640969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si="33"/>
        <v>389192.08726584673</v>
      </c>
      <c r="P136" s="94">
        <f t="shared" si="31"/>
        <v>0</v>
      </c>
      <c r="Q136" s="180">
        <f t="shared" si="34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5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6"/>
        <v>0</v>
      </c>
      <c r="Z136">
        <f t="shared" si="29"/>
        <v>0</v>
      </c>
      <c r="AA136">
        <f t="shared" si="30"/>
        <v>1</v>
      </c>
      <c r="AC136" s="94">
        <f t="shared" si="32"/>
        <v>389192.08726584673</v>
      </c>
      <c r="AD136">
        <f>AC136*E136*10000*VLOOKUP(A136,[1]kcal!$A$2:$C$49,3,FALSE)/1000000000000</f>
        <v>0</v>
      </c>
    </row>
    <row r="137" spans="1:30" x14ac:dyDescent="0.25">
      <c r="A137" s="171" t="str">
        <f t="shared" si="26"/>
        <v>Rapsolie</v>
      </c>
      <c r="B137" s="171" t="str">
        <f t="shared" si="27"/>
        <v>Rapsolie</v>
      </c>
      <c r="C137" s="171" t="str">
        <f>IFERROR(VLOOKUP(A137,'Kategorisering af kcal'!$A$2:$B$19,2,FALSE),"")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28"/>
        <v>1</v>
      </c>
      <c r="F137" s="171">
        <f t="shared" si="23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276887.98874079209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276887.98874079209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3"/>
        <v>0</v>
      </c>
      <c r="P137" s="94">
        <f t="shared" si="31"/>
        <v>0</v>
      </c>
      <c r="Q137" s="180">
        <f t="shared" si="34"/>
        <v>276887.98874079209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9.6910796059277224</v>
      </c>
      <c r="T137">
        <f>IFERROR(VLOOKUP(A137,[1]Biogasudbytte!$A$2:$B$18,2,FALSE)*[1]Energiindhold!$C$10,0)*K137*IFERROR(VLOOKUP(A137,Biogasanlæg!$F$3:$G$8,2,FALSE),1)</f>
        <v>0</v>
      </c>
      <c r="U137" s="170">
        <f t="shared" si="35"/>
        <v>9.6910796059277224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6"/>
        <v>0</v>
      </c>
      <c r="Z137">
        <f t="shared" si="29"/>
        <v>0</v>
      </c>
      <c r="AA137">
        <f t="shared" si="30"/>
        <v>0</v>
      </c>
      <c r="AC137" s="94">
        <f t="shared" si="32"/>
        <v>276887.98874079209</v>
      </c>
      <c r="AD137">
        <f>AC137*E137*10000*VLOOKUP(A137,[1]kcal!$A$2:$C$49,3,FALSE)/1000000000000</f>
        <v>2.4919918986671288</v>
      </c>
    </row>
    <row r="138" spans="1:30" x14ac:dyDescent="0.25">
      <c r="A138" s="171" t="str">
        <f t="shared" si="26"/>
        <v>Roer</v>
      </c>
      <c r="B138" s="171" t="str">
        <f t="shared" si="27"/>
        <v>Græs og urter</v>
      </c>
      <c r="C138" s="171" t="str">
        <f>IFERROR(VLOOKUP(A138,'Kategorisering af kcal'!$A$2:$B$19,2,FALSE),"")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28"/>
        <v>1</v>
      </c>
      <c r="F138" s="171">
        <f t="shared" si="23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1486735.5223291777</v>
      </c>
      <c r="H138" s="94">
        <f>SUMIFS('Resultat-Produktion &amp; forbrug'!H$4:H$291,'Resultat-Produktion &amp; forbrug'!$A$4:$A$291,'Produktion &amp; forbrug'!$A138,'Resultat-Produktion &amp; forbrug'!$E$4:$E$291,'Produktion &amp; forbrug'!$F138)</f>
        <v>99489.713266720035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si="33"/>
        <v>1387245.8090624576</v>
      </c>
      <c r="P138" s="94">
        <f t="shared" si="31"/>
        <v>1387245.8090624576</v>
      </c>
      <c r="Q138" s="180">
        <f t="shared" si="34"/>
        <v>0</v>
      </c>
      <c r="R138">
        <f>IFERROR(VLOOKUP(A138,[1]Energiindhold!$A$2:$C$11,3,FALSE),IFERROR(VLOOKUP(A138,[1]Biogasudbytte!$A$2:$B$18,2,FALSE)*[1]Energiindhold!$C$10,0))*P138</f>
        <v>3.7650406156278726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3.7650406156278726</v>
      </c>
      <c r="T138">
        <f>IFERROR(VLOOKUP(A138,[1]Biogasudbytte!$A$2:$B$18,2,FALSE)*[1]Energiindhold!$C$10,0)*K138*IFERROR(VLOOKUP(A138,Biogasanlæg!$F$3:$G$8,2,FALSE),1)</f>
        <v>0</v>
      </c>
      <c r="U138" s="170">
        <f t="shared" si="35"/>
        <v>3.7650406156278726</v>
      </c>
      <c r="V138" s="169">
        <f>P138*IFERROR(VLOOKUP(A138,[1]Tørstofindhold!A$2:B$24,2,FALSE),0)</f>
        <v>277449.16181249154</v>
      </c>
      <c r="W138">
        <f>IF(F138=År1,Q138,SUM(P138,Q138))*IFERROR(VLOOKUP(A138,[1]Tørstofindhold!A$2:B$24,2,FALSE),0)</f>
        <v>277449.16181249154</v>
      </c>
      <c r="X138">
        <f>K138*IFERROR(VLOOKUP(A138,[1]Tørstofindhold!A$2:B$24,2,FALSE),0)</f>
        <v>0</v>
      </c>
      <c r="Y138" s="170">
        <f t="shared" si="36"/>
        <v>277449.16181249154</v>
      </c>
      <c r="Z138">
        <f t="shared" si="29"/>
        <v>0</v>
      </c>
      <c r="AA138">
        <f t="shared" si="30"/>
        <v>1</v>
      </c>
      <c r="AC138" s="94">
        <f t="shared" si="32"/>
        <v>1387245.8090624576</v>
      </c>
      <c r="AD138">
        <f>AC138*E138*10000*VLOOKUP(A138,[1]kcal!$A$2:$C$49,3,FALSE)/1000000000000</f>
        <v>0.41617374271873731</v>
      </c>
    </row>
    <row r="139" spans="1:30" x14ac:dyDescent="0.25">
      <c r="A139" s="171" t="str">
        <f t="shared" si="26"/>
        <v>Slagteriaffald til andet</v>
      </c>
      <c r="B139" s="171" t="str">
        <f t="shared" si="27"/>
        <v/>
      </c>
      <c r="C139" s="171" t="str">
        <f>IFERROR(VLOOKUP(A139,'Kategorisering af kcal'!$A$2:$B$19,2,FALSE),"")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28"/>
        <v>0</v>
      </c>
      <c r="F139" s="171">
        <f t="shared" si="23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7693.1684467145769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3"/>
        <v>7693.1684467145769</v>
      </c>
      <c r="P139" s="94">
        <f t="shared" si="31"/>
        <v>0</v>
      </c>
      <c r="Q139" s="180">
        <f t="shared" si="34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5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6"/>
        <v>0</v>
      </c>
      <c r="Z139">
        <f t="shared" si="29"/>
        <v>0</v>
      </c>
      <c r="AA139">
        <f t="shared" si="30"/>
        <v>1</v>
      </c>
      <c r="AC139" s="94">
        <f t="shared" si="32"/>
        <v>7693.1684467145769</v>
      </c>
      <c r="AD139">
        <f>AC139*E139*10000*VLOOKUP(A139,[1]kcal!$A$2:$C$49,3,FALSE)/1000000000000</f>
        <v>0</v>
      </c>
    </row>
    <row r="140" spans="1:30" x14ac:dyDescent="0.25">
      <c r="A140" s="171" t="str">
        <f t="shared" si="26"/>
        <v>Slagteriaffald til foder</v>
      </c>
      <c r="B140" s="171" t="str">
        <f t="shared" si="27"/>
        <v/>
      </c>
      <c r="C140" s="171" t="str">
        <f>IFERROR(VLOOKUP(A140,'Kategorisering af kcal'!$A$2:$B$19,2,FALSE),"")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28"/>
        <v>0</v>
      </c>
      <c r="F140" s="171">
        <f t="shared" si="23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5268.7991071934384</v>
      </c>
      <c r="H140" s="94">
        <f>SUMIFS('Resultat-Produktion &amp; forbrug'!H$4:H$291,'Resultat-Produktion &amp; forbrug'!$A$4:$A$291,'Produktion &amp; forbrug'!$A140,'Resultat-Produktion &amp; forbrug'!$E$4:$E$291,'Produktion &amp; forbrug'!$F140)</f>
        <v>4661.92479631063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si="33"/>
        <v>606.87431088280846</v>
      </c>
      <c r="P140" s="94">
        <f t="shared" si="31"/>
        <v>0</v>
      </c>
      <c r="Q140" s="180">
        <f t="shared" si="34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5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6"/>
        <v>0</v>
      </c>
      <c r="Z140">
        <f t="shared" si="29"/>
        <v>0</v>
      </c>
      <c r="AA140">
        <f t="shared" si="30"/>
        <v>1</v>
      </c>
      <c r="AC140" s="94">
        <f t="shared" si="32"/>
        <v>606.87431088280846</v>
      </c>
      <c r="AD140">
        <f>AC140*E140*10000*VLOOKUP(A140,[1]kcal!$A$2:$C$49,3,FALSE)/1000000000000</f>
        <v>0</v>
      </c>
    </row>
    <row r="141" spans="1:30" x14ac:dyDescent="0.25">
      <c r="A141" s="171" t="str">
        <f t="shared" si="26"/>
        <v>Spildevandsslam</v>
      </c>
      <c r="B141" s="171" t="str">
        <f t="shared" si="27"/>
        <v>Bionedbrydeligt affald</v>
      </c>
      <c r="C141" s="171" t="str">
        <f>IFERROR(VLOOKUP(A141,'Kategorisering af kcal'!$A$2:$B$19,2,FALSE),"")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28"/>
        <v>0</v>
      </c>
      <c r="F141" s="171">
        <f t="shared" si="23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7494121.763909651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>SUMIFS('Resultat-Produktion &amp; forbrug'!K$4:K$291,'Resultat-Produktion &amp; forbrug'!$A$4:$A$291,'Produktion &amp; forbrug'!$A141,'Resultat-Produktion &amp; forbrug'!$E$4:$E$291,'Produktion &amp; forbrug'!$F141)</f>
        <v>2842137.0165491202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si="33"/>
        <v>4651984.7473605312</v>
      </c>
      <c r="P141" s="94">
        <f t="shared" si="31"/>
        <v>4651984.7473605312</v>
      </c>
      <c r="Q141" s="180">
        <f t="shared" si="34"/>
        <v>2842137.0165491202</v>
      </c>
      <c r="R141">
        <f>IFERROR(VLOOKUP(A141,[1]Energiindhold!$A$2:$C$11,3,FALSE),IFERROR(VLOOKUP(A141,[1]Biogasudbytte!$A$2:$B$18,2,FALSE)*[1]Energiindhold!$C$10,0))*P141</f>
        <v>2.3213869087803789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3.7396417014085559</v>
      </c>
      <c r="T141">
        <f>IFERROR(VLOOKUP(A141,[1]Biogasudbytte!$A$2:$B$18,2,FALSE)*[1]Energiindhold!$C$10,0)*K141*IFERROR(VLOOKUP(A141,Biogasanlæg!$F$3:$G$8,2,FALSE),1)</f>
        <v>1.4182547926281768</v>
      </c>
      <c r="U141" s="170">
        <f t="shared" si="35"/>
        <v>2.3213869087803793</v>
      </c>
      <c r="V141" s="169">
        <f>P141*IFERROR(VLOOKUP(A141,[1]Tørstofindhold!A$2:B$24,2,FALSE),0)</f>
        <v>279119.08484163188</v>
      </c>
      <c r="W141">
        <f>IF(F141=År1,Q141,SUM(P141,Q141))*IFERROR(VLOOKUP(A141,[1]Tørstofindhold!A$2:B$24,2,FALSE),0)</f>
        <v>449647.30583457905</v>
      </c>
      <c r="X141">
        <f>K141*IFERROR(VLOOKUP(A141,[1]Tørstofindhold!A$2:B$24,2,FALSE),0)</f>
        <v>170528.2209929472</v>
      </c>
      <c r="Y141" s="170">
        <f t="shared" si="36"/>
        <v>279119.08484163182</v>
      </c>
      <c r="Z141">
        <f t="shared" si="29"/>
        <v>0</v>
      </c>
      <c r="AA141">
        <f t="shared" si="30"/>
        <v>1</v>
      </c>
      <c r="AC141" s="94">
        <f t="shared" si="32"/>
        <v>4651984.7473605312</v>
      </c>
      <c r="AD141">
        <f>AC141*E141*10000*VLOOKUP(A141,[1]kcal!$A$2:$C$49,3,FALSE)/1000000000000</f>
        <v>0</v>
      </c>
    </row>
    <row r="142" spans="1:30" x14ac:dyDescent="0.25">
      <c r="A142" s="171" t="str">
        <f t="shared" si="26"/>
        <v>Svinegylle</v>
      </c>
      <c r="B142" s="171" t="str">
        <f t="shared" si="27"/>
        <v>Husdyrgødning</v>
      </c>
      <c r="C142" s="171" t="str">
        <f>IFERROR(VLOOKUP(A142,'Kategorisering af kcal'!$A$2:$B$19,2,FALSE),"")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28"/>
        <v>0</v>
      </c>
      <c r="F142" s="171">
        <f t="shared" si="23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0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0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0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3"/>
        <v>0</v>
      </c>
      <c r="P142" s="94">
        <f t="shared" si="31"/>
        <v>0</v>
      </c>
      <c r="Q142" s="180">
        <f t="shared" si="34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35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36"/>
        <v>0</v>
      </c>
      <c r="Z142">
        <f t="shared" si="29"/>
        <v>0</v>
      </c>
      <c r="AA142">
        <f t="shared" si="30"/>
        <v>0</v>
      </c>
      <c r="AC142" s="94">
        <f t="shared" si="32"/>
        <v>0</v>
      </c>
      <c r="AD142">
        <f>AC142*E142*10000*VLOOKUP(A142,[1]kcal!$A$2:$C$49,3,FALSE)/1000000000000</f>
        <v>0</v>
      </c>
    </row>
    <row r="143" spans="1:30" x14ac:dyDescent="0.25">
      <c r="A143" s="171" t="str">
        <f t="shared" si="26"/>
        <v>Svinekød</v>
      </c>
      <c r="B143" s="171" t="str">
        <f t="shared" si="27"/>
        <v/>
      </c>
      <c r="C143" s="171" t="str">
        <f>IFERROR(VLOOKUP(A143,'Kategorisering af kcal'!$A$2:$B$19,2,FALSE),"")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28"/>
        <v>1</v>
      </c>
      <c r="F143" s="171">
        <f t="shared" si="23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56067.802327067431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237101.38949957371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3"/>
        <v>-181033.58717250626</v>
      </c>
      <c r="P143" s="94">
        <f t="shared" si="31"/>
        <v>0</v>
      </c>
      <c r="Q143" s="180">
        <f t="shared" si="34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5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6"/>
        <v>0</v>
      </c>
      <c r="Z143">
        <f t="shared" si="29"/>
        <v>1</v>
      </c>
      <c r="AA143">
        <f t="shared" si="30"/>
        <v>0</v>
      </c>
      <c r="AC143" s="94">
        <f t="shared" si="32"/>
        <v>56067.802327067431</v>
      </c>
      <c r="AD143">
        <f>AC143*E143*10000*VLOOKUP(A143,[1]kcal!$A$2:$C$49,3,FALSE)/1000000000000</f>
        <v>0.1093322145377815</v>
      </c>
    </row>
    <row r="144" spans="1:30" x14ac:dyDescent="0.25">
      <c r="A144" s="171" t="str">
        <f t="shared" si="26"/>
        <v>Tang</v>
      </c>
      <c r="B144" s="171" t="str">
        <f t="shared" si="27"/>
        <v>Havbiomasse</v>
      </c>
      <c r="C144" s="171" t="str">
        <f>IFERROR(VLOOKUP(A144,'Kategorisering af kcal'!$A$2:$B$19,2,FALSE),"")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28"/>
        <v>1</v>
      </c>
      <c r="F144" s="171">
        <f t="shared" si="23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382.5</v>
      </c>
      <c r="H144" s="94">
        <f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si="33"/>
        <v>382.5</v>
      </c>
      <c r="P144" s="94">
        <f t="shared" si="31"/>
        <v>382.5</v>
      </c>
      <c r="Q144" s="180">
        <f t="shared" si="34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35"/>
        <v>3.4329375000000003E-4</v>
      </c>
      <c r="V144" s="169">
        <f>P144*IFERROR(VLOOKUP(A144,[1]Tørstofindhold!A$2:B$24,2,FALSE),0)</f>
        <v>57.375</v>
      </c>
      <c r="W144">
        <f>IF(F144=År1,Q144,SUM(P144,Q144))*IFERROR(VLOOKUP(A144,[1]Tørstofindhold!A$2:B$24,2,FALSE),0)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36"/>
        <v>57.375</v>
      </c>
      <c r="Z144">
        <f t="shared" si="29"/>
        <v>0</v>
      </c>
      <c r="AA144">
        <f t="shared" si="30"/>
        <v>1</v>
      </c>
      <c r="AC144" s="94">
        <f t="shared" si="32"/>
        <v>382.5</v>
      </c>
      <c r="AD144">
        <f>AC144*E144*10000*VLOOKUP(A144,[1]kcal!$A$2:$C$49,3,FALSE)/1000000000000</f>
        <v>1.5605999999999999E-4</v>
      </c>
    </row>
    <row r="145" spans="1:30" x14ac:dyDescent="0.25">
      <c r="A145" s="171" t="str">
        <f t="shared" si="26"/>
        <v>Total til biogas</v>
      </c>
      <c r="B145" s="171" t="str">
        <f t="shared" si="27"/>
        <v/>
      </c>
      <c r="C145" s="171" t="str">
        <f>IFERROR(VLOOKUP(A145,'Kategorisering af kcal'!$A$2:$B$19,2,FALSE),"")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28"/>
        <v>0</v>
      </c>
      <c r="F145" s="171">
        <f t="shared" si="23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3"/>
        <v>0</v>
      </c>
      <c r="P145" s="94">
        <f t="shared" si="31"/>
        <v>0</v>
      </c>
      <c r="Q145" s="180">
        <f t="shared" si="34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5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6"/>
        <v>0</v>
      </c>
      <c r="Z145">
        <f t="shared" si="29"/>
        <v>0</v>
      </c>
      <c r="AA145">
        <f t="shared" si="30"/>
        <v>0</v>
      </c>
      <c r="AC145" s="94">
        <f t="shared" si="32"/>
        <v>0</v>
      </c>
      <c r="AD145">
        <f>AC145*E145*10000*VLOOKUP(A145,[1]kcal!$A$2:$C$49,3,FALSE)/1000000000000</f>
        <v>0</v>
      </c>
    </row>
    <row r="146" spans="1:30" x14ac:dyDescent="0.25">
      <c r="A146" s="171" t="str">
        <f t="shared" si="26"/>
        <v>Træ til energi</v>
      </c>
      <c r="B146" s="171" t="str">
        <f t="shared" si="27"/>
        <v>Vedmasse</v>
      </c>
      <c r="C146" s="171" t="str">
        <f>IFERROR(VLOOKUP(A146,'Kategorisering af kcal'!$A$2:$B$19,2,FALSE),"")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28"/>
        <v>0</v>
      </c>
      <c r="F146" s="171">
        <f t="shared" si="23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2954639.3356608618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2954639.3356608618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3"/>
        <v>0</v>
      </c>
      <c r="P146" s="94">
        <f t="shared" ca="1" si="31"/>
        <v>0</v>
      </c>
      <c r="Q146" s="180">
        <f t="shared" ca="1" si="34"/>
        <v>2954639.3356608618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42.823268788341714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5"/>
        <v>42.823268788341714</v>
      </c>
      <c r="V146" s="169">
        <f ca="1">P146*IFERROR(VLOOKUP(A146,[1]Tørstofindhold!A$2:B$24,2,FALSE),0)</f>
        <v>0</v>
      </c>
      <c r="W146">
        <f ca="1">IF(F146=År1,Q146,SUM(P146,Q146))*IFERROR(VLOOKUP(A146,[1]Tørstofindhold!A$2:B$24,2,FALSE),0)</f>
        <v>1461315.3714289346</v>
      </c>
      <c r="X146">
        <f>K146*IFERROR(VLOOKUP(A146,[1]Tørstofindhold!A$2:B$24,2,FALSE),0)</f>
        <v>0</v>
      </c>
      <c r="Y146" s="170">
        <f t="shared" ca="1" si="36"/>
        <v>1461315.3714289346</v>
      </c>
      <c r="Z146">
        <f t="shared" ca="1" si="29"/>
        <v>0</v>
      </c>
      <c r="AA146">
        <f t="shared" ca="1" si="30"/>
        <v>0</v>
      </c>
      <c r="AC146" s="94">
        <f t="shared" ca="1" si="32"/>
        <v>2954639.3356608618</v>
      </c>
      <c r="AD146">
        <f ca="1">AC146*E146*10000*VLOOKUP(A146,[1]kcal!$A$2:$C$49,3,FALSE)/1000000000000</f>
        <v>0</v>
      </c>
    </row>
    <row r="147" spans="1:30" x14ac:dyDescent="0.25">
      <c r="A147" s="171" t="str">
        <f t="shared" si="26"/>
        <v>Træmaterialer</v>
      </c>
      <c r="B147" s="171" t="str">
        <f t="shared" si="27"/>
        <v/>
      </c>
      <c r="C147" s="171" t="str">
        <f>IFERROR(VLOOKUP(A147,'Kategorisering af kcal'!$A$2:$B$19,2,FALSE),"")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28"/>
        <v>0</v>
      </c>
      <c r="F147" s="171">
        <f t="shared" si="23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859926.76116467617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859926.76116467617</v>
      </c>
      <c r="O147" s="179">
        <f t="shared" ca="1" si="33"/>
        <v>0</v>
      </c>
      <c r="P147" s="94">
        <f t="shared" si="31"/>
        <v>0</v>
      </c>
      <c r="Q147" s="180">
        <f t="shared" si="34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5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6"/>
        <v>0</v>
      </c>
      <c r="Z147">
        <f t="shared" ca="1" si="29"/>
        <v>0</v>
      </c>
      <c r="AA147">
        <f t="shared" ca="1" si="30"/>
        <v>0</v>
      </c>
      <c r="AC147" s="94">
        <f t="shared" ca="1" si="32"/>
        <v>0</v>
      </c>
      <c r="AD147">
        <f ca="1">AC147*E147*10000*VLOOKUP(A147,[1]kcal!$A$2:$C$49,3,FALSE)/1000000000000</f>
        <v>0</v>
      </c>
    </row>
  </sheetData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0CDD-8503-476E-AA3F-D816E7154D82}">
  <sheetPr codeName="Sheet39"/>
  <dimension ref="B1:F35"/>
  <sheetViews>
    <sheetView topLeftCell="A12" workbookViewId="0">
      <selection activeCell="F31" sqref="F31"/>
    </sheetView>
  </sheetViews>
  <sheetFormatPr defaultRowHeight="15" x14ac:dyDescent="0.25"/>
  <cols>
    <col min="2" max="2" width="21.7109375" customWidth="1"/>
    <col min="3" max="3" width="13.85546875" customWidth="1"/>
    <col min="4" max="4" width="12.7109375" customWidth="1"/>
  </cols>
  <sheetData>
    <row r="1" spans="2:6" x14ac:dyDescent="0.25">
      <c r="B1" s="454" t="str">
        <f>'Produktion &amp; forbrug'!B3</f>
        <v>Biomassekategori</v>
      </c>
      <c r="C1" s="454"/>
      <c r="D1" s="454"/>
    </row>
    <row r="2" spans="2:6" x14ac:dyDescent="0.25">
      <c r="C2" s="459" t="s">
        <v>382</v>
      </c>
      <c r="D2" s="459"/>
    </row>
    <row r="3" spans="2:6" ht="15.75" thickBot="1" x14ac:dyDescent="0.3">
      <c r="C3">
        <f>År1</f>
        <v>2019</v>
      </c>
      <c r="D3">
        <f>År3</f>
        <v>2050</v>
      </c>
    </row>
    <row r="4" spans="2:6" x14ac:dyDescent="0.25">
      <c r="B4" s="91" t="str" cm="1">
        <f t="array" ref="B4:B12">IFERROR(_xlfn.UNIQUE(_xlfn._xlws.FILTER('Produktion &amp; forbrug'!B4:B147,'Produktion &amp; forbrug'!B4:B147&lt;&gt;"")), "")</f>
        <v>Bionedbrydeligt affald</v>
      </c>
      <c r="C4" s="406">
        <f ca="1">SUMIFS('Produktion &amp; forbrug'!$AC$4:$AC$147,'Produktion &amp; forbrug'!$F$4:$F$147,C$3,'Produktion &amp; forbrug'!B$4:B$147,$B4)</f>
        <v>4698263.1968560591</v>
      </c>
      <c r="D4" s="410">
        <f ca="1">SUMIFS('Produktion &amp; forbrug'!$AC$4:$AC$147,'Produktion &amp; forbrug'!$F$4:$F$147,D$3,'Produktion &amp; forbrug'!$B$4:$B$147,$B4)</f>
        <v>6722546.8306598049</v>
      </c>
    </row>
    <row r="5" spans="2:6" x14ac:dyDescent="0.25">
      <c r="B5" s="91" t="str">
        <v>Husdyrgødning</v>
      </c>
      <c r="C5" s="179">
        <f>SUMIFS('Produktion &amp; forbrug'!$AC$4:$AC$147,'Produktion &amp; forbrug'!$F$4:$F$147,C$3,'Produktion &amp; forbrug'!B$4:B$147,$B5)</f>
        <v>1352218.0071428572</v>
      </c>
      <c r="D5" s="180">
        <f>SUMIFS('Produktion &amp; forbrug'!$AC$4:$AC$147,'Produktion &amp; forbrug'!$F$4:$F$147,D$3,'Produktion &amp; forbrug'!$B$4:$B$147,$B5)</f>
        <v>40868.939648840227</v>
      </c>
    </row>
    <row r="6" spans="2:6" x14ac:dyDescent="0.25">
      <c r="B6" s="91" t="str">
        <v>Glycerin</v>
      </c>
      <c r="C6" s="179">
        <f>SUMIFS('Produktion &amp; forbrug'!$AC$4:$AC$147,'Produktion &amp; forbrug'!$F$4:$F$147,C$3,'Produktion &amp; forbrug'!B$4:B$147,$B6)</f>
        <v>-142742</v>
      </c>
      <c r="D6" s="180">
        <f>SUMIFS('Produktion &amp; forbrug'!$AC$4:$AC$147,'Produktion &amp; forbrug'!$F$4:$F$147,D$3,'Produktion &amp; forbrug'!$B$4:$B$147,$B6)</f>
        <v>0</v>
      </c>
    </row>
    <row r="7" spans="2:6" x14ac:dyDescent="0.25">
      <c r="B7" s="91" t="str">
        <v>Græs og urter</v>
      </c>
      <c r="C7" s="179">
        <f>SUMIFS('Produktion &amp; forbrug'!$AC$4:$AC$147,'Produktion &amp; forbrug'!$F$4:$F$147,C$3,'Produktion &amp; forbrug'!B$4:B$147,$B7)</f>
        <v>6999835.1830202974</v>
      </c>
      <c r="D7" s="180" t="e">
        <f>SUMIFS('Produktion &amp; forbrug'!$AC$4:$AC$147,'Produktion &amp; forbrug'!$F$4:$F$147,D$3,'Produktion &amp; forbrug'!$B$4:$B$147,$B7)</f>
        <v>#DIV/0!</v>
      </c>
    </row>
    <row r="8" spans="2:6" x14ac:dyDescent="0.25">
      <c r="B8" s="91" t="str">
        <v>Halm og strå</v>
      </c>
      <c r="C8" s="179">
        <f>SUMIFS('Produktion &amp; forbrug'!$AC$4:$AC$147,'Produktion &amp; forbrug'!$F$4:$F$147,C$3,'Produktion &amp; forbrug'!B$4:B$147,$B8)</f>
        <v>4402957.5587320747</v>
      </c>
      <c r="D8" s="180">
        <f>SUMIFS('Produktion &amp; forbrug'!$AC$4:$AC$147,'Produktion &amp; forbrug'!$F$4:$F$147,D$3,'Produktion &amp; forbrug'!$B$4:$B$147,$B8)</f>
        <v>1422482.8528186318</v>
      </c>
    </row>
    <row r="9" spans="2:6" x14ac:dyDescent="0.25">
      <c r="B9" s="91" t="str">
        <v>Havbiomasse</v>
      </c>
      <c r="C9" s="179">
        <f>SUMIFS('Produktion &amp; forbrug'!$AC$4:$AC$147,'Produktion &amp; forbrug'!$F$4:$F$147,C$3,'Produktion &amp; forbrug'!B$4:B$147,$B9)</f>
        <v>956.59999999999991</v>
      </c>
      <c r="D9" s="180">
        <f>SUMIFS('Produktion &amp; forbrug'!$AC$4:$AC$147,'Produktion &amp; forbrug'!$F$4:$F$147,D$3,'Produktion &amp; forbrug'!$B$4:$B$147,$B9)</f>
        <v>1262.5999999999999</v>
      </c>
    </row>
    <row r="10" spans="2:6" x14ac:dyDescent="0.25">
      <c r="B10" s="91" t="str">
        <v>Vedmasse</v>
      </c>
      <c r="C10" s="179">
        <f ca="1">SUMIFS('Produktion &amp; forbrug'!$AC$4:$AC$147,'Produktion &amp; forbrug'!$F$4:$F$147,C$3,'Produktion &amp; forbrug'!B$4:B$147,$B10)</f>
        <v>3220159.2034965986</v>
      </c>
      <c r="D10" s="180">
        <f ca="1">SUMIFS('Produktion &amp; forbrug'!$AC$4:$AC$147,'Produktion &amp; forbrug'!$F$4:$F$147,D$3,'Produktion &amp; forbrug'!$B$4:$B$147,$B10)</f>
        <v>4708269.101664735</v>
      </c>
    </row>
    <row r="11" spans="2:6" x14ac:dyDescent="0.25">
      <c r="B11" s="91" t="str">
        <v>Pyrolyseprodukter</v>
      </c>
      <c r="C11" s="179">
        <f>SUMIFS('Produktion &amp; forbrug'!$AC$4:$AC$147,'Produktion &amp; forbrug'!$F$4:$F$147,C$3,'Produktion &amp; forbrug'!B$4:B$147,$B11)</f>
        <v>0</v>
      </c>
      <c r="D11" s="180">
        <f>SUMIFS('Produktion &amp; forbrug'!$AC$4:$AC$147,'Produktion &amp; forbrug'!$F$4:$F$147,D$3,'Produktion &amp; forbrug'!$B$4:$B$147,$B11)</f>
        <v>0</v>
      </c>
    </row>
    <row r="12" spans="2:6" ht="15.75" thickBot="1" x14ac:dyDescent="0.3">
      <c r="B12" s="91" t="str">
        <v>Rapsolie</v>
      </c>
      <c r="C12" s="181">
        <f>SUMIFS('Produktion &amp; forbrug'!$AC$4:$AC$147,'Produktion &amp; forbrug'!$F$4:$F$147,C$3,'Produktion &amp; forbrug'!B$4:B$147,$B12)</f>
        <v>112873.31802427147</v>
      </c>
      <c r="D12" s="183">
        <f>SUMIFS('Produktion &amp; forbrug'!$AC$4:$AC$147,'Produktion &amp; forbrug'!$F$4:$F$147,D$3,'Produktion &amp; forbrug'!$B$4:$B$147,$B12)</f>
        <v>276887.98874079209</v>
      </c>
    </row>
    <row r="13" spans="2:6" x14ac:dyDescent="0.25">
      <c r="C13" s="94">
        <f ca="1">SUM(C4:C12)</f>
        <v>20644521.067272156</v>
      </c>
      <c r="D13" s="94" t="e">
        <f ca="1">SUM(D4:D12)</f>
        <v>#DIV/0!</v>
      </c>
    </row>
    <row r="15" spans="2:6" x14ac:dyDescent="0.25">
      <c r="B15" s="454" t="str">
        <f>'Produktion &amp; forbrug'!C3</f>
        <v>Kategori til kalorier</v>
      </c>
      <c r="C15" s="454"/>
      <c r="D15" s="454"/>
      <c r="E15" s="454"/>
      <c r="F15" s="454"/>
    </row>
    <row r="16" spans="2:6" x14ac:dyDescent="0.25">
      <c r="C16" s="459" t="s">
        <v>382</v>
      </c>
      <c r="D16" s="459"/>
      <c r="E16" s="459" t="s">
        <v>383</v>
      </c>
      <c r="F16" s="459"/>
    </row>
    <row r="17" spans="2:6" ht="15.75" thickBot="1" x14ac:dyDescent="0.3">
      <c r="C17">
        <f>År1</f>
        <v>2019</v>
      </c>
      <c r="D17">
        <f>År3</f>
        <v>2050</v>
      </c>
      <c r="E17">
        <f>År1</f>
        <v>2019</v>
      </c>
      <c r="F17">
        <f>År3</f>
        <v>2050</v>
      </c>
    </row>
    <row r="18" spans="2:6" x14ac:dyDescent="0.25">
      <c r="B18" s="91" t="str" cm="1">
        <f t="array" ref="B18:B30">IFERROR(_xlfn.UNIQUE(_xlfn._xlws.FILTER('Produktion &amp; forbrug'!C4:C147,'Produktion &amp; forbrug'!C4:C147&lt;&gt;"")), "")</f>
        <v>Æg</v>
      </c>
      <c r="C18" s="411">
        <f>SUMIFS('Produktion &amp; forbrug'!$AC$4:$AC$147,'Produktion &amp; forbrug'!$F$4:$F$147,C$3,'Produktion &amp; forbrug'!$C$4:$C$147,$B18)</f>
        <v>235000</v>
      </c>
      <c r="D18" s="410">
        <f>SUMIFS('Produktion &amp; forbrug'!$AC$4:$AC$147,'Produktion &amp; forbrug'!$F$4:$F$147,D$3,'Produktion &amp; forbrug'!$C$4:$C$147,$B18)</f>
        <v>42217.628788690155</v>
      </c>
      <c r="E18" s="414">
        <f>SUMIFS('Produktion &amp; forbrug'!$AD$4:$AD$147,'Produktion &amp; forbrug'!$F$4:$F$147,E$17,'Produktion &amp; forbrug'!$C$4:$C$147,$B18)</f>
        <v>0.32429999999999998</v>
      </c>
      <c r="F18" s="407">
        <f>SUMIFS('Produktion &amp; forbrug'!$AD$4:$AD$147,'Produktion &amp; forbrug'!$F$4:$F$147,F$17,'Produktion &amp; forbrug'!$C$4:$C$147,$B18)</f>
        <v>5.8260327728392416E-2</v>
      </c>
    </row>
    <row r="19" spans="2:6" x14ac:dyDescent="0.25">
      <c r="B19" s="91" t="str">
        <v>Bælgsæd</v>
      </c>
      <c r="C19" s="412">
        <f>SUMIFS('Produktion &amp; forbrug'!$AC$4:$AC$147,'Produktion &amp; forbrug'!$F$4:$F$147,C$3,'Produktion &amp; forbrug'!$C$4:$C$147,$B19)</f>
        <v>212954.76453418657</v>
      </c>
      <c r="D19" s="180">
        <f>SUMIFS('Produktion &amp; forbrug'!$AC$4:$AC$147,'Produktion &amp; forbrug'!$F$4:$F$147,D$3,'Produktion &amp; forbrug'!$C$4:$C$147,$B19)</f>
        <v>1185491.998086863</v>
      </c>
      <c r="E19" s="415">
        <f>SUMIFS('Produktion &amp; forbrug'!$AD$4:$AD$147,'Produktion &amp; forbrug'!$F$4:$F$147,E$17,'Produktion &amp; forbrug'!$C$4:$C$147,$B19)</f>
        <v>1.4789708396899257</v>
      </c>
      <c r="F19" s="408">
        <f>SUMIFS('Produktion &amp; forbrug'!$AD$4:$AD$147,'Produktion &amp; forbrug'!$F$4:$F$147,F$17,'Produktion &amp; forbrug'!$C$4:$C$147,$B19)</f>
        <v>8.2332419267132622</v>
      </c>
    </row>
    <row r="20" spans="2:6" x14ac:dyDescent="0.25">
      <c r="B20" s="91" t="str">
        <v>Kød</v>
      </c>
      <c r="C20" s="412">
        <f>SUMIFS('Produktion &amp; forbrug'!$AC$4:$AC$147,'Produktion &amp; forbrug'!$F$4:$F$147,C$3,'Produktion &amp; forbrug'!$C$4:$C$147,$B20)</f>
        <v>1918344.9215345967</v>
      </c>
      <c r="D20" s="180">
        <f>SUMIFS('Produktion &amp; forbrug'!$AC$4:$AC$147,'Produktion &amp; forbrug'!$F$4:$F$147,D$3,'Produktion &amp; forbrug'!$C$4:$C$147,$B20)</f>
        <v>66766.505156136613</v>
      </c>
      <c r="E20" s="415">
        <f>SUMIFS('Produktion &amp; forbrug'!$AD$4:$AD$147,'Produktion &amp; forbrug'!$F$4:$F$147,E$17,'Produktion &amp; forbrug'!$C$4:$C$147,$B20)</f>
        <v>3.654108115551467</v>
      </c>
      <c r="F20" s="408">
        <f>SUMIFS('Produktion &amp; forbrug'!$AD$4:$AD$147,'Produktion &amp; forbrug'!$F$4:$F$147,F$17,'Produktion &amp; forbrug'!$C$4:$C$147,$B20)</f>
        <v>0.12739738926111124</v>
      </c>
    </row>
    <row r="21" spans="2:6" x14ac:dyDescent="0.25">
      <c r="B21" s="91" t="str">
        <v>Frugt</v>
      </c>
      <c r="C21" s="412">
        <f>SUMIFS('Produktion &amp; forbrug'!$AC$4:$AC$147,'Produktion &amp; forbrug'!$F$4:$F$147,C$3,'Produktion &amp; forbrug'!$C$4:$C$147,$B21)</f>
        <v>41728.949017214291</v>
      </c>
      <c r="D21" s="180">
        <f>SUMIFS('Produktion &amp; forbrug'!$AC$4:$AC$147,'Produktion &amp; forbrug'!$F$4:$F$147,D$3,'Produktion &amp; forbrug'!$C$4:$C$147,$B21)</f>
        <v>1609127.400187155</v>
      </c>
      <c r="E21" s="415">
        <f>SUMIFS('Produktion &amp; forbrug'!$AD$4:$AD$147,'Produktion &amp; forbrug'!$F$4:$F$147,E$17,'Produktion &amp; forbrug'!$C$4:$C$147,$B21)</f>
        <v>2.1699053488951431E-2</v>
      </c>
      <c r="F21" s="408">
        <f>SUMIFS('Produktion &amp; forbrug'!$AD$4:$AD$147,'Produktion &amp; forbrug'!$F$4:$F$147,F$17,'Produktion &amp; forbrug'!$C$4:$C$147,$B21)</f>
        <v>0.83674624809732057</v>
      </c>
    </row>
    <row r="22" spans="2:6" x14ac:dyDescent="0.25">
      <c r="B22" s="91" t="str">
        <v>Græs</v>
      </c>
      <c r="C22" s="412">
        <f>SUMIFS('Produktion &amp; forbrug'!$AC$4:$AC$147,'Produktion &amp; forbrug'!$F$4:$F$147,C$3,'Produktion &amp; forbrug'!$C$4:$C$147,$B22)</f>
        <v>4087571.5535632987</v>
      </c>
      <c r="D22" s="180">
        <f>SUMIFS('Produktion &amp; forbrug'!$AC$4:$AC$147,'Produktion &amp; forbrug'!$F$4:$F$147,D$3,'Produktion &amp; forbrug'!$C$4:$C$147,$B22)</f>
        <v>25628541.750816096</v>
      </c>
      <c r="E22" s="415">
        <f>SUMIFS('Produktion &amp; forbrug'!$AD$4:$AD$147,'Produktion &amp; forbrug'!$F$4:$F$147,E$17,'Produktion &amp; forbrug'!$C$4:$C$147,$B22)</f>
        <v>0.69488716410576079</v>
      </c>
      <c r="F22" s="408">
        <f>SUMIFS('Produktion &amp; forbrug'!$AD$4:$AD$147,'Produktion &amp; forbrug'!$F$4:$F$147,F$17,'Produktion &amp; forbrug'!$C$4:$C$147,$B22)</f>
        <v>4.3568520976387362</v>
      </c>
    </row>
    <row r="23" spans="2:6" x14ac:dyDescent="0.25">
      <c r="B23" s="91" t="str">
        <v>Grøntsager</v>
      </c>
      <c r="C23" s="412">
        <f>SUMIFS('Produktion &amp; forbrug'!$AC$4:$AC$147,'Produktion &amp; forbrug'!$F$4:$F$147,C$3,'Produktion &amp; forbrug'!$C$4:$C$147,$B23)</f>
        <v>280322.43675931642</v>
      </c>
      <c r="D23" s="180">
        <f>SUMIFS('Produktion &amp; forbrug'!$AC$4:$AC$147,'Produktion &amp; forbrug'!$F$4:$F$147,D$3,'Produktion &amp; forbrug'!$C$4:$C$147,$B23)</f>
        <v>2025526.4544641112</v>
      </c>
      <c r="E23" s="415">
        <f>SUMIFS('Produktion &amp; forbrug'!$AD$4:$AD$147,'Produktion &amp; forbrug'!$F$4:$F$147,E$17,'Produktion &amp; forbrug'!$C$4:$C$147,$B23)</f>
        <v>0.10932575033613341</v>
      </c>
      <c r="F23" s="408">
        <f>SUMIFS('Produktion &amp; forbrug'!$AD$4:$AD$147,'Produktion &amp; forbrug'!$F$4:$F$147,F$17,'Produktion &amp; forbrug'!$C$4:$C$147,$B23)</f>
        <v>0.78995531724100343</v>
      </c>
    </row>
    <row r="24" spans="2:6" x14ac:dyDescent="0.25">
      <c r="B24" s="91" t="str">
        <v>Olieafgrøder</v>
      </c>
      <c r="C24" s="412">
        <f>SUMIFS('Produktion &amp; forbrug'!$AC$4:$AC$147,'Produktion &amp; forbrug'!$F$4:$F$147,C$3,'Produktion &amp; forbrug'!$C$4:$C$147,$B24)</f>
        <v>-5308200.9474471733</v>
      </c>
      <c r="D24" s="180">
        <f>SUMIFS('Produktion &amp; forbrug'!$AC$4:$AC$147,'Produktion &amp; forbrug'!$F$4:$F$147,D$3,'Produktion &amp; forbrug'!$C$4:$C$147,$B24)</f>
        <v>276887.98874079209</v>
      </c>
      <c r="E24" s="415">
        <f>SUMIFS('Produktion &amp; forbrug'!$AD$4:$AD$147,'Produktion &amp; forbrug'!$F$4:$F$147,E$17,'Produktion &amp; forbrug'!$C$4:$C$147,$B24)</f>
        <v>-2.0741524691002806</v>
      </c>
      <c r="F24" s="408">
        <f>SUMIFS('Produktion &amp; forbrug'!$AD$4:$AD$147,'Produktion &amp; forbrug'!$F$4:$F$147,F$17,'Produktion &amp; forbrug'!$C$4:$C$147,$B24)</f>
        <v>2.4919918986671288</v>
      </c>
    </row>
    <row r="25" spans="2:6" x14ac:dyDescent="0.25">
      <c r="B25" s="91" t="str">
        <v>Kartofler</v>
      </c>
      <c r="C25" s="412">
        <f>SUMIFS('Produktion &amp; forbrug'!$AC$4:$AC$147,'Produktion &amp; forbrug'!$F$4:$F$147,C$3,'Produktion &amp; forbrug'!$C$4:$C$147,$B25)</f>
        <v>2263176.157376945</v>
      </c>
      <c r="D25" s="180">
        <f>SUMIFS('Produktion &amp; forbrug'!$AC$4:$AC$147,'Produktion &amp; forbrug'!$F$4:$F$147,D$3,'Produktion &amp; forbrug'!$C$4:$C$147,$B25)</f>
        <v>1263583.871628813</v>
      </c>
      <c r="E25" s="415">
        <f>SUMIFS('Produktion &amp; forbrug'!$AD$4:$AD$147,'Produktion &amp; forbrug'!$F$4:$F$147,E$17,'Produktion &amp; forbrug'!$C$4:$C$147,$B25)</f>
        <v>1.765277402754017</v>
      </c>
      <c r="F25" s="408">
        <f>SUMIFS('Produktion &amp; forbrug'!$AD$4:$AD$147,'Produktion &amp; forbrug'!$F$4:$F$147,F$17,'Produktion &amp; forbrug'!$C$4:$C$147,$B25)</f>
        <v>0.98559541987047417</v>
      </c>
    </row>
    <row r="26" spans="2:6" x14ac:dyDescent="0.25">
      <c r="B26" s="91" t="str">
        <v>Korn</v>
      </c>
      <c r="C26" s="412">
        <f>SUMIFS('Produktion &amp; forbrug'!$AC$4:$AC$147,'Produktion &amp; forbrug'!$F$4:$F$147,C$3,'Produktion &amp; forbrug'!$C$4:$C$147,$B26)</f>
        <v>3781951.1214967929</v>
      </c>
      <c r="D26" s="180" t="e">
        <f>SUMIFS('Produktion &amp; forbrug'!$AC$4:$AC$147,'Produktion &amp; forbrug'!$F$4:$F$147,D$3,'Produktion &amp; forbrug'!$C$4:$C$147,$B26)</f>
        <v>#DIV/0!</v>
      </c>
      <c r="E26" s="415">
        <f>SUMIFS('Produktion &amp; forbrug'!$AD$4:$AD$147,'Produktion &amp; forbrug'!$F$4:$F$147,E$17,'Produktion &amp; forbrug'!$C$4:$C$147,$B26)</f>
        <v>6.9874764884350302</v>
      </c>
      <c r="F26" s="408" t="e">
        <f>SUMIFS('Produktion &amp; forbrug'!$AD$4:$AD$147,'Produktion &amp; forbrug'!$F$4:$F$147,F$17,'Produktion &amp; forbrug'!$C$4:$C$147,$B26)</f>
        <v>#DIV/0!</v>
      </c>
    </row>
    <row r="27" spans="2:6" x14ac:dyDescent="0.25">
      <c r="B27" s="91" t="str">
        <v>Mejeriprodukter</v>
      </c>
      <c r="C27" s="412">
        <f>SUMIFS('Produktion &amp; forbrug'!$AC$4:$AC$147,'Produktion &amp; forbrug'!$F$4:$F$147,C$3,'Produktion &amp; forbrug'!$C$4:$C$147,$B27)</f>
        <v>3383628.2</v>
      </c>
      <c r="D27" s="180">
        <f>SUMIFS('Produktion &amp; forbrug'!$AC$4:$AC$147,'Produktion &amp; forbrug'!$F$4:$F$147,D$3,'Produktion &amp; forbrug'!$C$4:$C$147,$B27)</f>
        <v>0</v>
      </c>
      <c r="E27" s="415">
        <f>SUMIFS('Produktion &amp; forbrug'!$AD$4:$AD$147,'Produktion &amp; forbrug'!$F$4:$F$147,E$17,'Produktion &amp; forbrug'!$C$4:$C$147,$B27)</f>
        <v>2.1316857659999999</v>
      </c>
      <c r="F27" s="408">
        <f>SUMIFS('Produktion &amp; forbrug'!$AD$4:$AD$147,'Produktion &amp; forbrug'!$F$4:$F$147,F$17,'Produktion &amp; forbrug'!$C$4:$C$147,$B27)</f>
        <v>0</v>
      </c>
    </row>
    <row r="28" spans="2:6" x14ac:dyDescent="0.25">
      <c r="B28" s="91" t="str">
        <v>Fisk mm</v>
      </c>
      <c r="C28" s="412">
        <f>SUMIFS('Produktion &amp; forbrug'!$AC$4:$AC$147,'Produktion &amp; forbrug'!$F$4:$F$147,C$3,'Produktion &amp; forbrug'!$C$4:$C$147,$B28)</f>
        <v>956.59999999999991</v>
      </c>
      <c r="D28" s="180">
        <f>SUMIFS('Produktion &amp; forbrug'!$AC$4:$AC$147,'Produktion &amp; forbrug'!$F$4:$F$147,D$3,'Produktion &amp; forbrug'!$C$4:$C$147,$B28)</f>
        <v>1262.5999999999999</v>
      </c>
      <c r="E28" s="415">
        <f>SUMIFS('Produktion &amp; forbrug'!$AD$4:$AD$147,'Produktion &amp; forbrug'!$F$4:$F$147,E$17,'Produktion &amp; forbrug'!$C$4:$C$147,$B28)</f>
        <v>7.6169499999999995E-4</v>
      </c>
      <c r="F28" s="408">
        <f>SUMIFS('Produktion &amp; forbrug'!$AD$4:$AD$147,'Produktion &amp; forbrug'!$F$4:$F$147,F$17,'Produktion &amp; forbrug'!$C$4:$C$147,$B28)</f>
        <v>8.8654299999999994E-4</v>
      </c>
    </row>
    <row r="29" spans="2:6" x14ac:dyDescent="0.25">
      <c r="B29" s="91" t="str">
        <v>Øvrige</v>
      </c>
      <c r="C29" s="412">
        <f>SUMIFS('Produktion &amp; forbrug'!$AC$4:$AC$147,'Produktion &amp; forbrug'!$F$4:$F$147,C$3,'Produktion &amp; forbrug'!$C$4:$C$147,$B29)</f>
        <v>2006067.2488276002</v>
      </c>
      <c r="D29" s="180">
        <f>SUMIFS('Produktion &amp; forbrug'!$AC$4:$AC$147,'Produktion &amp; forbrug'!$F$4:$F$147,D$3,'Produktion &amp; forbrug'!$C$4:$C$147,$B29)</f>
        <v>0</v>
      </c>
      <c r="E29" s="415">
        <f>SUMIFS('Produktion &amp; forbrug'!$AD$4:$AD$147,'Produktion &amp; forbrug'!$F$4:$F$147,E$17,'Produktion &amp; forbrug'!$C$4:$C$147,$B29)</f>
        <v>0.78236622704276404</v>
      </c>
      <c r="F29" s="408">
        <f>SUMIFS('Produktion &amp; forbrug'!$AD$4:$AD$147,'Produktion &amp; forbrug'!$F$4:$F$147,F$17,'Produktion &amp; forbrug'!$C$4:$C$147,$B29)</f>
        <v>0</v>
      </c>
    </row>
    <row r="30" spans="2:6" ht="15.75" thickBot="1" x14ac:dyDescent="0.3">
      <c r="B30" s="91" t="str">
        <v>Roer</v>
      </c>
      <c r="C30" s="413">
        <f>SUMIFS('Produktion &amp; forbrug'!$AC$4:$AC$147,'Produktion &amp; forbrug'!$F$4:$F$147,C$3,'Produktion &amp; forbrug'!$C$4:$C$147,$B30)</f>
        <v>1637775.5474174484</v>
      </c>
      <c r="D30" s="183">
        <f>SUMIFS('Produktion &amp; forbrug'!$AC$4:$AC$147,'Produktion &amp; forbrug'!$F$4:$F$147,D$3,'Produktion &amp; forbrug'!$C$4:$C$147,$B30)</f>
        <v>1387245.8090624576</v>
      </c>
      <c r="E30" s="416">
        <f>SUMIFS('Produktion &amp; forbrug'!$AD$4:$AD$147,'Produktion &amp; forbrug'!$F$4:$F$147,E$17,'Produktion &amp; forbrug'!$C$4:$C$147,$B30)</f>
        <v>0.49133266422523447</v>
      </c>
      <c r="F30" s="409">
        <f>SUMIFS('Produktion &amp; forbrug'!$AD$4:$AD$147,'Produktion &amp; forbrug'!$F$4:$F$147,F$17,'Produktion &amp; forbrug'!$C$4:$C$147,$B30)</f>
        <v>0.41617374271873731</v>
      </c>
    </row>
    <row r="31" spans="2:6" x14ac:dyDescent="0.25">
      <c r="B31" t="s">
        <v>30</v>
      </c>
      <c r="C31" s="94">
        <f>SUM(C18:C30)</f>
        <v>14541276.553080227</v>
      </c>
      <c r="D31" s="94" t="e">
        <f>SUM(D18:D30)</f>
        <v>#DIV/0!</v>
      </c>
      <c r="E31" s="401">
        <f>SUM(E18:E30)</f>
        <v>16.368038697529006</v>
      </c>
      <c r="F31" s="401" t="e">
        <f>SUM(F18:F30)</f>
        <v>#DIV/0!</v>
      </c>
    </row>
    <row r="32" spans="2:6" ht="15.75" thickBot="1" x14ac:dyDescent="0.3"/>
    <row r="33" spans="2:6" x14ac:dyDescent="0.25">
      <c r="B33" t="s">
        <v>13</v>
      </c>
      <c r="C33" s="406">
        <f>SUMIFS('Produktion &amp; forbrug'!$AC$4:$AC$147,'Produktion &amp; forbrug'!$F$4:$F$147,C$3,'Produktion &amp; forbrug'!$A$4:$A$147,$B33)</f>
        <v>1601127.6966659406</v>
      </c>
      <c r="D33" s="417">
        <f>SUMIFS('Produktion &amp; forbrug'!$AC$4:$AC$147,'Produktion &amp; forbrug'!$F$4:$F$147,D$3,'Produktion &amp; forbrug'!$A$4:$A$147,$B33)</f>
        <v>56067.802327067431</v>
      </c>
      <c r="E33" s="420">
        <f>SUMIFS('Produktion &amp; forbrug'!$AD$4:$AD$147,'Produktion &amp; forbrug'!$F$4:$F$147,E$17,'Produktion &amp; forbrug'!$A$4:$A$147,$B33)</f>
        <v>3.1221990084985847</v>
      </c>
      <c r="F33" s="407">
        <f>SUMIFS('Produktion &amp; forbrug'!$AD$4:$AD$147,'Produktion &amp; forbrug'!$F$4:$F$147,F$17,'Produktion &amp; forbrug'!$A$4:$A$147,$B33)</f>
        <v>0.1093322145377815</v>
      </c>
    </row>
    <row r="34" spans="2:6" x14ac:dyDescent="0.25">
      <c r="B34" t="s">
        <v>14</v>
      </c>
      <c r="C34" s="179">
        <f>SUMIFS('Produktion &amp; forbrug'!$AC$4:$AC$147,'Produktion &amp; forbrug'!$F$4:$F$147,C$3,'Produktion &amp; forbrug'!$A$4:$A$147,$B34)</f>
        <v>115671.91919191919</v>
      </c>
      <c r="D34" s="418">
        <f>SUMIFS('Produktion &amp; forbrug'!$AC$4:$AC$147,'Produktion &amp; forbrug'!$F$4:$F$147,D$3,'Produktion &amp; forbrug'!$A$4:$A$147,$B34)</f>
        <v>4193.3637747548428</v>
      </c>
      <c r="E34" s="421">
        <f>SUMIFS('Produktion &amp; forbrug'!$AD$4:$AD$147,'Produktion &amp; forbrug'!$F$4:$F$147,E$17,'Produktion &amp; forbrug'!$A$4:$A$147,$B34)</f>
        <v>0.22556024242424241</v>
      </c>
      <c r="F34" s="408">
        <f>SUMIFS('Produktion &amp; forbrug'!$AD$4:$AD$147,'Produktion &amp; forbrug'!$F$4:$F$147,F$17,'Produktion &amp; forbrug'!$A$4:$A$147,$B34)</f>
        <v>8.177059360771944E-3</v>
      </c>
    </row>
    <row r="35" spans="2:6" ht="15.75" thickBot="1" x14ac:dyDescent="0.3">
      <c r="B35" t="s">
        <v>96</v>
      </c>
      <c r="C35" s="181">
        <f>SUMIFS('Produktion &amp; forbrug'!$AC$4:$AC$147,'Produktion &amp; forbrug'!$F$4:$F$147,C$3,'Produktion &amp; forbrug'!$A$4:$A$147,$B35)</f>
        <v>201545.30567673693</v>
      </c>
      <c r="D35" s="419">
        <f>SUMIFS('Produktion &amp; forbrug'!$AC$4:$AC$147,'Produktion &amp; forbrug'!$F$4:$F$147,D$3,'Produktion &amp; forbrug'!$A$4:$A$147,$B35)</f>
        <v>6505.3390543143432</v>
      </c>
      <c r="E35" s="422">
        <f>SUMIFS('Produktion &amp; forbrug'!$AD$4:$AD$147,'Produktion &amp; forbrug'!$F$4:$F$147,E$17,'Produktion &amp; forbrug'!$A$4:$A$147,$B35)</f>
        <v>0.30634886462864014</v>
      </c>
      <c r="F35" s="409">
        <f>SUMIFS('Produktion &amp; forbrug'!$AD$4:$AD$147,'Produktion &amp; forbrug'!$F$4:$F$147,F$17,'Produktion &amp; forbrug'!$A$4:$A$147,$B35)</f>
        <v>9.8881153625578009E-3</v>
      </c>
    </row>
  </sheetData>
  <mergeCells count="5">
    <mergeCell ref="B1:D1"/>
    <mergeCell ref="B15:F15"/>
    <mergeCell ref="C16:D16"/>
    <mergeCell ref="E16:F16"/>
    <mergeCell ref="C2:D2"/>
  </mergeCell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sheetPr codeName="Sheet40"/>
  <dimension ref="A1:M23"/>
  <sheetViews>
    <sheetView zoomScale="106" workbookViewId="0">
      <selection activeCell="B11" sqref="B11"/>
    </sheetView>
  </sheetViews>
  <sheetFormatPr defaultRowHeight="15" x14ac:dyDescent="0.25"/>
  <cols>
    <col min="7" max="7" width="22.7109375" bestFit="1" customWidth="1"/>
    <col min="8" max="8" width="16.42578125" bestFit="1" customWidth="1"/>
  </cols>
  <sheetData>
    <row r="1" spans="1:13" x14ac:dyDescent="0.25">
      <c r="A1" t="s">
        <v>369</v>
      </c>
      <c r="B1" t="s">
        <v>370</v>
      </c>
      <c r="J1" t="s">
        <v>379</v>
      </c>
      <c r="L1" t="s">
        <v>380</v>
      </c>
    </row>
    <row r="2" spans="1:13" x14ac:dyDescent="0.25">
      <c r="A2" s="171" t="s">
        <v>15</v>
      </c>
      <c r="B2" t="s">
        <v>15</v>
      </c>
      <c r="F2" s="402" t="s">
        <v>374</v>
      </c>
      <c r="H2" t="s">
        <v>372</v>
      </c>
      <c r="I2" t="s">
        <v>371</v>
      </c>
      <c r="J2" t="s">
        <v>375</v>
      </c>
      <c r="K2" t="s">
        <v>373</v>
      </c>
      <c r="L2" t="s">
        <v>375</v>
      </c>
      <c r="M2" t="s">
        <v>373</v>
      </c>
    </row>
    <row r="3" spans="1:13" x14ac:dyDescent="0.25">
      <c r="A3" s="171" t="s">
        <v>49</v>
      </c>
      <c r="B3" t="s">
        <v>49</v>
      </c>
      <c r="F3" t="s">
        <v>48</v>
      </c>
      <c r="G3" t="s">
        <v>343</v>
      </c>
      <c r="H3" s="94">
        <v>5231636613147</v>
      </c>
      <c r="I3">
        <f>H3/1000000000000</f>
        <v>5.2316366131469998</v>
      </c>
      <c r="J3">
        <v>8817</v>
      </c>
      <c r="K3">
        <f>J3*1000</f>
        <v>8817000</v>
      </c>
    </row>
    <row r="4" spans="1:13" x14ac:dyDescent="0.25">
      <c r="A4" t="s">
        <v>96</v>
      </c>
      <c r="B4" t="s">
        <v>341</v>
      </c>
      <c r="F4" t="s">
        <v>12</v>
      </c>
      <c r="G4" t="s">
        <v>344</v>
      </c>
      <c r="H4" s="94">
        <v>260376167034</v>
      </c>
      <c r="I4">
        <f t="shared" ref="I4:I23" si="0">H4/1000000000000</f>
        <v>0.26037616703400002</v>
      </c>
      <c r="J4">
        <v>1358</v>
      </c>
      <c r="K4">
        <f t="shared" ref="K4:K23" si="1">J4*1000</f>
        <v>1358000</v>
      </c>
    </row>
    <row r="5" spans="1:13" x14ac:dyDescent="0.25">
      <c r="A5" t="s">
        <v>54</v>
      </c>
      <c r="B5" t="s">
        <v>54</v>
      </c>
      <c r="F5" t="s">
        <v>52</v>
      </c>
      <c r="G5" t="s">
        <v>345</v>
      </c>
      <c r="H5" s="94">
        <v>-251146789</v>
      </c>
      <c r="I5">
        <f t="shared" si="0"/>
        <v>-2.5114678899999999E-4</v>
      </c>
      <c r="J5">
        <v>2409</v>
      </c>
      <c r="K5">
        <f t="shared" si="1"/>
        <v>2409000</v>
      </c>
    </row>
    <row r="6" spans="1:13" x14ac:dyDescent="0.25">
      <c r="A6" t="s">
        <v>51</v>
      </c>
      <c r="B6" t="s">
        <v>51</v>
      </c>
      <c r="F6" t="s">
        <v>52</v>
      </c>
      <c r="G6" t="s">
        <v>346</v>
      </c>
      <c r="H6" s="94">
        <v>1421949701937</v>
      </c>
      <c r="I6">
        <f t="shared" si="0"/>
        <v>1.421949701937</v>
      </c>
      <c r="J6">
        <v>476</v>
      </c>
      <c r="K6">
        <f t="shared" si="1"/>
        <v>476000</v>
      </c>
    </row>
    <row r="7" spans="1:13" x14ac:dyDescent="0.25">
      <c r="A7" s="171" t="s">
        <v>6</v>
      </c>
      <c r="B7" t="s">
        <v>6</v>
      </c>
      <c r="F7" t="s">
        <v>49</v>
      </c>
      <c r="G7" t="s">
        <v>347</v>
      </c>
      <c r="H7" s="94">
        <v>50694444444</v>
      </c>
      <c r="I7">
        <f t="shared" si="0"/>
        <v>5.0694444444000002E-2</v>
      </c>
      <c r="J7">
        <v>34</v>
      </c>
      <c r="K7">
        <f t="shared" si="1"/>
        <v>34000</v>
      </c>
    </row>
    <row r="8" spans="1:13" x14ac:dyDescent="0.25">
      <c r="A8" t="s">
        <v>159</v>
      </c>
      <c r="B8" t="s">
        <v>368</v>
      </c>
      <c r="F8" t="s">
        <v>364</v>
      </c>
      <c r="G8" t="s">
        <v>348</v>
      </c>
      <c r="H8" s="94">
        <v>0</v>
      </c>
      <c r="I8">
        <f t="shared" si="0"/>
        <v>0</v>
      </c>
      <c r="J8">
        <v>0</v>
      </c>
      <c r="K8">
        <f t="shared" si="1"/>
        <v>0</v>
      </c>
    </row>
    <row r="9" spans="1:13" x14ac:dyDescent="0.25">
      <c r="A9" s="171" t="s">
        <v>12</v>
      </c>
      <c r="B9" t="s">
        <v>12</v>
      </c>
      <c r="F9" t="s">
        <v>368</v>
      </c>
      <c r="G9" t="s">
        <v>349</v>
      </c>
      <c r="H9" s="94">
        <v>-729376068376</v>
      </c>
      <c r="I9">
        <f t="shared" si="0"/>
        <v>-0.729376068376</v>
      </c>
      <c r="J9">
        <v>580</v>
      </c>
      <c r="K9">
        <f t="shared" si="1"/>
        <v>580000</v>
      </c>
    </row>
    <row r="10" spans="1:13" x14ac:dyDescent="0.25">
      <c r="A10" s="171" t="s">
        <v>48</v>
      </c>
      <c r="B10" t="s">
        <v>48</v>
      </c>
      <c r="G10" t="s">
        <v>350</v>
      </c>
      <c r="H10" s="94">
        <v>-933787106447</v>
      </c>
      <c r="I10">
        <f t="shared" si="0"/>
        <v>-0.93378710644700003</v>
      </c>
      <c r="J10">
        <v>214</v>
      </c>
      <c r="K10">
        <f t="shared" si="1"/>
        <v>214000</v>
      </c>
    </row>
    <row r="11" spans="1:13" x14ac:dyDescent="0.25">
      <c r="A11" t="s">
        <v>53</v>
      </c>
      <c r="B11" t="s">
        <v>48</v>
      </c>
      <c r="F11" t="s">
        <v>6</v>
      </c>
      <c r="G11" t="s">
        <v>351</v>
      </c>
      <c r="H11" s="94">
        <v>66397776303</v>
      </c>
      <c r="I11">
        <f t="shared" si="0"/>
        <v>6.6397776303000006E-2</v>
      </c>
      <c r="J11">
        <v>287</v>
      </c>
      <c r="K11">
        <f t="shared" si="1"/>
        <v>287000</v>
      </c>
    </row>
    <row r="12" spans="1:13" x14ac:dyDescent="0.25">
      <c r="A12" s="171" t="s">
        <v>116</v>
      </c>
      <c r="B12" t="s">
        <v>116</v>
      </c>
      <c r="F12" t="s">
        <v>54</v>
      </c>
      <c r="G12" t="s">
        <v>352</v>
      </c>
      <c r="H12" s="94">
        <v>16267328699</v>
      </c>
      <c r="I12">
        <f t="shared" si="0"/>
        <v>1.6267328699000001E-2</v>
      </c>
      <c r="J12">
        <v>67</v>
      </c>
      <c r="K12">
        <f t="shared" si="1"/>
        <v>67000</v>
      </c>
    </row>
    <row r="13" spans="1:13" x14ac:dyDescent="0.25">
      <c r="A13" s="171" t="s">
        <v>106</v>
      </c>
      <c r="B13" t="s">
        <v>367</v>
      </c>
      <c r="F13" t="s">
        <v>365</v>
      </c>
      <c r="G13" t="s">
        <v>353</v>
      </c>
      <c r="H13" s="94">
        <v>0</v>
      </c>
      <c r="I13">
        <f t="shared" si="0"/>
        <v>0</v>
      </c>
      <c r="J13">
        <v>0</v>
      </c>
      <c r="K13">
        <f t="shared" si="1"/>
        <v>0</v>
      </c>
    </row>
    <row r="14" spans="1:13" x14ac:dyDescent="0.25">
      <c r="A14" s="171" t="s">
        <v>14</v>
      </c>
      <c r="B14" t="s">
        <v>341</v>
      </c>
      <c r="F14" t="s">
        <v>366</v>
      </c>
      <c r="G14" t="s">
        <v>354</v>
      </c>
      <c r="H14" s="94">
        <v>0</v>
      </c>
      <c r="I14">
        <f t="shared" si="0"/>
        <v>0</v>
      </c>
      <c r="J14">
        <v>0</v>
      </c>
      <c r="K14">
        <f t="shared" si="1"/>
        <v>0</v>
      </c>
    </row>
    <row r="15" spans="1:13" x14ac:dyDescent="0.25">
      <c r="A15" s="171" t="s">
        <v>55</v>
      </c>
      <c r="B15" t="s">
        <v>55</v>
      </c>
      <c r="F15" t="s">
        <v>48</v>
      </c>
      <c r="G15" t="s">
        <v>355</v>
      </c>
      <c r="H15" s="94">
        <v>352216722540</v>
      </c>
      <c r="I15">
        <f t="shared" si="0"/>
        <v>0.35221672254000003</v>
      </c>
      <c r="J15">
        <v>683</v>
      </c>
      <c r="K15">
        <f t="shared" si="1"/>
        <v>683000</v>
      </c>
    </row>
    <row r="16" spans="1:13" x14ac:dyDescent="0.25">
      <c r="A16" t="s">
        <v>231</v>
      </c>
      <c r="B16" t="s">
        <v>368</v>
      </c>
      <c r="F16" t="s">
        <v>341</v>
      </c>
      <c r="G16" t="s">
        <v>356</v>
      </c>
      <c r="H16" s="94">
        <v>3337430939227</v>
      </c>
      <c r="I16">
        <f t="shared" si="0"/>
        <v>3.3374309392270001</v>
      </c>
      <c r="J16">
        <v>1997</v>
      </c>
      <c r="K16">
        <f t="shared" si="1"/>
        <v>1997000</v>
      </c>
    </row>
    <row r="17" spans="1:11" x14ac:dyDescent="0.25">
      <c r="A17" t="s">
        <v>52</v>
      </c>
      <c r="B17" t="s">
        <v>52</v>
      </c>
      <c r="F17" t="s">
        <v>341</v>
      </c>
      <c r="G17" t="s">
        <v>357</v>
      </c>
      <c r="H17" s="94">
        <v>314366706876</v>
      </c>
      <c r="I17">
        <f t="shared" si="0"/>
        <v>0.31436670687599999</v>
      </c>
      <c r="J17">
        <v>258</v>
      </c>
      <c r="K17">
        <f t="shared" si="1"/>
        <v>258000</v>
      </c>
    </row>
    <row r="18" spans="1:11" x14ac:dyDescent="0.25">
      <c r="A18" s="171" t="s">
        <v>13</v>
      </c>
      <c r="B18" t="s">
        <v>341</v>
      </c>
      <c r="F18" t="s">
        <v>116</v>
      </c>
      <c r="G18" t="s">
        <v>358</v>
      </c>
      <c r="H18" s="94">
        <v>1421114566929</v>
      </c>
      <c r="I18">
        <f t="shared" si="0"/>
        <v>1.421114566929</v>
      </c>
      <c r="J18">
        <v>533</v>
      </c>
      <c r="K18">
        <f t="shared" si="1"/>
        <v>533000</v>
      </c>
    </row>
    <row r="19" spans="1:11" x14ac:dyDescent="0.25">
      <c r="A19" s="171" t="s">
        <v>99</v>
      </c>
      <c r="B19" t="s">
        <v>367</v>
      </c>
      <c r="F19" t="s">
        <v>15</v>
      </c>
      <c r="G19" t="s">
        <v>359</v>
      </c>
      <c r="H19" s="94">
        <v>97142426071</v>
      </c>
      <c r="I19">
        <f t="shared" si="0"/>
        <v>9.7142426071000001E-2</v>
      </c>
      <c r="J19">
        <v>76</v>
      </c>
      <c r="K19">
        <f t="shared" si="1"/>
        <v>76000</v>
      </c>
    </row>
    <row r="20" spans="1:11" x14ac:dyDescent="0.25">
      <c r="F20" t="s">
        <v>116</v>
      </c>
      <c r="G20" t="s">
        <v>360</v>
      </c>
      <c r="H20" s="94">
        <v>1844877536820</v>
      </c>
      <c r="I20">
        <f t="shared" si="0"/>
        <v>1.8448775368200001</v>
      </c>
      <c r="J20">
        <v>4909</v>
      </c>
      <c r="K20">
        <f t="shared" si="1"/>
        <v>4909000</v>
      </c>
    </row>
    <row r="21" spans="1:11" x14ac:dyDescent="0.25">
      <c r="F21" t="s">
        <v>367</v>
      </c>
      <c r="G21" t="s">
        <v>361</v>
      </c>
      <c r="H21" s="94">
        <v>759139852559</v>
      </c>
      <c r="I21">
        <f t="shared" si="0"/>
        <v>0.75913985255899996</v>
      </c>
      <c r="J21">
        <v>868</v>
      </c>
      <c r="K21">
        <f t="shared" si="1"/>
        <v>868000</v>
      </c>
    </row>
    <row r="22" spans="1:11" x14ac:dyDescent="0.25">
      <c r="F22" t="s">
        <v>367</v>
      </c>
      <c r="G22" t="s">
        <v>362</v>
      </c>
      <c r="H22" s="94">
        <v>-3596059113</v>
      </c>
      <c r="I22">
        <f t="shared" si="0"/>
        <v>-3.596059113E-3</v>
      </c>
      <c r="J22">
        <v>0</v>
      </c>
      <c r="K22">
        <f t="shared" si="1"/>
        <v>0</v>
      </c>
    </row>
    <row r="23" spans="1:11" x14ac:dyDescent="0.25">
      <c r="F23" t="s">
        <v>55</v>
      </c>
      <c r="G23" t="s">
        <v>363</v>
      </c>
      <c r="H23" s="94">
        <v>31937500000</v>
      </c>
      <c r="I23">
        <f t="shared" si="0"/>
        <v>3.1937500000000001E-2</v>
      </c>
      <c r="J23">
        <v>0</v>
      </c>
      <c r="K23">
        <f t="shared" si="1"/>
        <v>0</v>
      </c>
    </row>
  </sheetData>
  <hyperlinks>
    <hyperlink ref="F2" r:id="rId1" xr:uid="{86ADADE7-AA62-48E5-BE43-B928399DBE13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60" t="s">
        <v>23</v>
      </c>
      <c r="B2" s="461"/>
      <c r="C2" s="461"/>
      <c r="D2" s="461"/>
      <c r="E2" s="461"/>
      <c r="F2" s="461"/>
      <c r="G2" s="461"/>
      <c r="H2" s="461"/>
      <c r="I2" s="461"/>
      <c r="J2" s="461"/>
      <c r="K2" s="461"/>
      <c r="L2" s="461"/>
      <c r="M2" s="461"/>
      <c r="N2" s="461"/>
      <c r="O2" s="461"/>
      <c r="P2" s="461"/>
      <c r="Q2" s="461"/>
      <c r="R2" s="461"/>
      <c r="S2" s="461"/>
      <c r="T2" s="461"/>
      <c r="U2" s="462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25">
      <c r="A3" s="60"/>
      <c r="B3" s="61"/>
      <c r="C3" s="466" t="s">
        <v>7</v>
      </c>
      <c r="D3" s="467"/>
      <c r="E3" s="467"/>
      <c r="F3" s="467"/>
      <c r="G3" s="467"/>
      <c r="H3" s="467"/>
      <c r="I3" s="467"/>
      <c r="J3" s="467"/>
      <c r="K3" s="468"/>
      <c r="L3" s="466" t="s">
        <v>8</v>
      </c>
      <c r="M3" s="467"/>
      <c r="N3" s="467"/>
      <c r="O3" s="467"/>
      <c r="P3" s="467"/>
      <c r="Q3" s="467"/>
      <c r="R3" s="467"/>
      <c r="S3" s="467"/>
      <c r="T3" s="468"/>
      <c r="U3" s="70"/>
      <c r="W3" s="30" t="s">
        <v>272</v>
      </c>
      <c r="X3" s="34">
        <f>C24+C51</f>
        <v>11808068</v>
      </c>
      <c r="Y3" s="11">
        <f>D24+D51</f>
        <v>8561037.8896729536</v>
      </c>
      <c r="Z3" s="22">
        <f>E24+E51</f>
        <v>1169559.3041937244</v>
      </c>
    </row>
    <row r="4" spans="1:26" ht="15.75" thickBot="1" x14ac:dyDescent="0.3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273</v>
      </c>
      <c r="X4" s="34">
        <f t="shared" ref="X4:Z5" si="0">C25+C52</f>
        <v>1267084</v>
      </c>
      <c r="Y4" s="11">
        <f t="shared" si="0"/>
        <v>873828.67349799909</v>
      </c>
      <c r="Z4" s="22">
        <f t="shared" si="0"/>
        <v>-10807.957958172134</v>
      </c>
    </row>
    <row r="5" spans="1:26" ht="15.75" thickBot="1" x14ac:dyDescent="0.3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274</v>
      </c>
      <c r="X5" s="47">
        <f t="shared" si="0"/>
        <v>19782594</v>
      </c>
      <c r="Y5" s="15">
        <f t="shared" si="0"/>
        <v>15935713.861353351</v>
      </c>
      <c r="Z5" s="23">
        <f t="shared" si="0"/>
        <v>272840.10660097841</v>
      </c>
    </row>
    <row r="6" spans="1:26" x14ac:dyDescent="0.25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549570.00189249648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11146.675971614259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5468.2738439636605</v>
      </c>
      <c r="I6" s="11">
        <f>IF(Landbrug!$E$47&gt;0,SUMIF(Landbrug!$B$32:$B$45,$B6,IF($I$4=År2,Landbrug!$D$32:$D$45,Landbrug!$E$32:$E$45)),'[1]Afgrødefordeling - jordtype'!$G4)*(1-Landbrug!$E$5)*Arealanvendelse!P$26</f>
        <v>0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70268.852646918647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1425.2308689613089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699.18177420762208</v>
      </c>
      <c r="R6" s="11">
        <f>IF(Landbrug!$E$47&gt;0,SUMIF(Landbrug!$B$32:$B$45,$B6,IF($R$4=År2,Landbrug!$D$32:$D$45,Landbrug!$E$32:$E$45)),'[1]Afgrødefordeling - jordtype'!$G4)*(Landbrug!$E$5)*Arealanvendelse!P$26</f>
        <v>73160.473622356585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275</v>
      </c>
      <c r="X6" s="33">
        <f t="shared" ref="X6:Z8" si="1">F24+F51</f>
        <v>490924</v>
      </c>
      <c r="Y6" s="11">
        <f t="shared" si="1"/>
        <v>307302.95871414396</v>
      </c>
      <c r="Z6" s="22">
        <f t="shared" si="1"/>
        <v>1461233.9958062756</v>
      </c>
    </row>
    <row r="7" spans="1:26" x14ac:dyDescent="0.25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163865.56173743002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955.53991373678116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314.85895525594401</v>
      </c>
      <c r="I7" s="11">
        <f>IF(Landbrug!$E$47&gt;0,SUMIF(Landbrug!$B$32:$B$45,$B7,IF($I$4=År2,Landbrug!$D$32:$D$45,Landbrug!$E$32:$E$45)),'[1]Afgrødefordeling - jordtype'!$G5)*(1-Landbrug!$E$5)*Arealanvendelse!P$26</f>
        <v>0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20952.098862711297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122.17678032898468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40.258342804836346</v>
      </c>
      <c r="R7" s="11">
        <f>IF(Landbrug!$E$47&gt;0,SUMIF(Landbrug!$B$32:$B$45,$B7,IF($R$4=År2,Landbrug!$D$32:$D$45,Landbrug!$E$32:$E$45)),'[1]Afgrødefordeling - jordtype'!$G5)*(Landbrug!$E$5)*Arealanvendelse!P$26</f>
        <v>365802.36811178294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276</v>
      </c>
      <c r="X7" s="33">
        <f t="shared" si="1"/>
        <v>224348</v>
      </c>
      <c r="Y7" s="11">
        <f t="shared" si="1"/>
        <v>156632.4403069797</v>
      </c>
      <c r="Z7" s="22">
        <f t="shared" si="1"/>
        <v>203140.18777220321</v>
      </c>
    </row>
    <row r="8" spans="1:26" ht="15.75" thickBot="1" x14ac:dyDescent="0.3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143784.0142759982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1023.175894073177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407.7280895234743</v>
      </c>
      <c r="I8" s="11">
        <f>IF(Landbrug!$E$47&gt;0,SUMIF(Landbrug!$B$32:$B$45,$B8,IF($I$4=År2,Landbrug!$D$32:$D$45,Landbrug!$E$32:$E$45)),'[1]Afgrødefordeling - jordtype'!$G6)*(1-Landbrug!$E$5)*Arealanvendelse!P$26</f>
        <v>0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18384.441795130875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130.82481919486474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52.132730942507166</v>
      </c>
      <c r="R8" s="11">
        <f>IF(Landbrug!$E$47&gt;0,SUMIF(Landbrug!$B$32:$B$45,$B8,IF($R$4=År2,Landbrug!$D$32:$D$45,Landbrug!$E$32:$E$45)),'[1]Afgrødefordeling - jordtype'!$G6)*(Landbrug!$E$5)*Arealanvendelse!P$26</f>
        <v>219481.42086706977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277</v>
      </c>
      <c r="X8" s="46">
        <f t="shared" si="1"/>
        <v>3277287</v>
      </c>
      <c r="Y8" s="15">
        <f t="shared" si="1"/>
        <v>2594792.8031627773</v>
      </c>
      <c r="Z8" s="23">
        <f t="shared" si="1"/>
        <v>10022440.49339902</v>
      </c>
    </row>
    <row r="9" spans="1:26" x14ac:dyDescent="0.25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232128.24388948342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9442.2283096878091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9403.4968308872321</v>
      </c>
      <c r="I9" s="11">
        <f>IF(Landbrug!$E$47&gt;0,SUMIF(Landbrug!$B$32:$B$45,$B9,IF($I$4=År2,Landbrug!$D$32:$D$45,Landbrug!$E$32:$E$45)),'[1]Afgrødefordeling - jordtype'!$G7)*(1-Landbrug!$E$5)*Arealanvendelse!P$26</f>
        <v>0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29680.26877174573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1207.2976098899321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1202.3453443600399</v>
      </c>
      <c r="R9" s="11">
        <f>IF(Landbrug!$E$47&gt;0,SUMIF(Landbrug!$B$32:$B$45,$B9,IF($R$4=År2,Landbrug!$D$32:$D$45,Landbrug!$E$32:$E$45)),'[1]Afgrødefordeling - jordtype'!$G7)*(Landbrug!$E$5)*Arealanvendelse!P$26</f>
        <v>365802.36811178294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25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39640.409978651463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44.161656964352275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10.929801981174222</v>
      </c>
      <c r="I10" s="11">
        <f>IF(Landbrug!$E$47&gt;0,SUMIF(Landbrug!$B$32:$B$45,$B10,IF($I$4=År2,Landbrug!$D$32:$D$45,Landbrug!$E$32:$E$45)),'[1]Afgrødefordeling - jordtype'!$G8)*(1-Landbrug!$E$5)*Arealanvendelse!P$26</f>
        <v>0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5068.4828467005436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5.6465763327432592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1.3975010321348786</v>
      </c>
      <c r="R10" s="11">
        <f>IF(Landbrug!$E$47&gt;0,SUMIF(Landbrug!$B$32:$B$45,$B10,IF($R$4=År2,Landbrug!$D$32:$D$45,Landbrug!$E$32:$E$45)),'[1]Afgrødefordeling - jordtype'!$G8)*(Landbrug!$E$5)*Arealanvendelse!P$26</f>
        <v>94575.720443401937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25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33011.927807710199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697.1981006225534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578.51762396536299</v>
      </c>
      <c r="I11" s="11">
        <f>IF(Landbrug!$E$47&gt;0,SUMIF(Landbrug!$B$32:$B$45,$B11,IF($I$4=År2,Landbrug!$D$32:$D$45,Landbrug!$E$32:$E$45)),'[1]Afgrødefordeling - jordtype'!$G9)*(1-Landbrug!$E$5)*Arealanvendelse!P$26</f>
        <v>0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4220.9550789209043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89.144804901380255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73.97013944007017</v>
      </c>
      <c r="R11" s="11">
        <f>IF(Landbrug!$E$47&gt;0,SUMIF(Landbrug!$B$32:$B$45,$B11,IF($R$4=År2,Landbrug!$D$32:$D$45,Landbrug!$E$32:$E$45)),'[1]Afgrødefordeling - jordtype'!$G9)*(Landbrug!$E$5)*Arealanvendelse!P$26</f>
        <v>32040.313007021148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25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20302.460574954777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18.291214869045849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6.2561258552502439</v>
      </c>
      <c r="I12" s="11">
        <f>IF(Landbrug!$E$47&gt;0,SUMIF(Landbrug!$B$32:$B$45,$B12,IF($I$4=År2,Landbrug!$D$32:$D$45,Landbrug!$E$32:$E$45)),'[1]Afgrødefordeling - jordtype'!$G10)*(1-Landbrug!$E$5)*Arealanvendelse!P$26</f>
        <v>0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2595.9033528006162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2.3387424312463354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0.79991772540225237</v>
      </c>
      <c r="R12" s="11">
        <f>IF(Landbrug!$E$47&gt;0,SUMIF(Landbrug!$B$32:$B$45,$B12,IF($R$4=År2,Landbrug!$D$32:$D$45,Landbrug!$E$32:$E$45)),'[1]Afgrødefordeling - jordtype'!$G10)*(Landbrug!$E$5)*Arealanvendelse!P$26</f>
        <v>19704.9137942901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25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70768.074420551435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2361.1209681497958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778.01049498528334</v>
      </c>
      <c r="I13" s="11">
        <f>IF(Landbrug!$E$47&gt;0,SUMIF(Landbrug!$B$32:$B$45,$B13,IF($I$4=År2,Landbrug!$D$32:$D$45,Landbrug!$E$32:$E$45)),'[1]Afgrødefordeling - jordtype'!$G11)*(1-Landbrug!$E$5)*Arealanvendelse!P$26</f>
        <v>0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9048.5131583594866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301.89650239483569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99.477600017497522</v>
      </c>
      <c r="R13" s="11">
        <f>IF(Landbrug!$E$47&gt;0,SUMIF(Landbrug!$B$32:$B$45,$B13,IF($R$4=År2,Landbrug!$D$32:$D$45,Landbrug!$E$32:$E$45)),'[1]Afgrødefordeling - jordtype'!$G11)*(Landbrug!$E$5)*Arealanvendelse!P$26</f>
        <v>0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25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76597.510260677154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40.223725441831391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22.295416568120192</v>
      </c>
      <c r="I14" s="11">
        <f>IF(Landbrug!$E$47&gt;0,SUMIF(Landbrug!$B$32:$B$45,$B14,IF($I$4=År2,Landbrug!$D$32:$D$45,Landbrug!$E$32:$E$45)),'[1]Afgrødefordeling - jordtype'!$G12)*(1-Landbrug!$E$5)*Arealanvendelse!P$26</f>
        <v>0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9793.8736522981453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5.1430664451278778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2.8507257239876962</v>
      </c>
      <c r="R14" s="11">
        <f>IF(Landbrug!$E$47&gt;0,SUMIF(Landbrug!$B$32:$B$45,$B14,IF($R$4=År2,Landbrug!$D$32:$D$45,Landbrug!$E$32:$E$45)),'[1]Afgrødefordeling - jordtype'!$G12)*(Landbrug!$E$5)*Arealanvendelse!P$26</f>
        <v>204111.21823863432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25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27203.247984048536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711.39284184725705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394.31453895289167</v>
      </c>
      <c r="I15" s="11">
        <f>IF(Landbrug!$E$47&gt;0,SUMIF(Landbrug!$B$32:$B$45,$B15,IF($I$4=År2,Landbrug!$D$32:$D$45,Landbrug!$E$32:$E$45)),'[1]Afgrødefordeling - jordtype'!$G13)*(1-Landbrug!$E$5)*Arealanvendelse!P$26</f>
        <v>0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3478.2484806778398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90.959766009237356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50.417654054630312</v>
      </c>
      <c r="R15" s="11">
        <f>IF(Landbrug!$E$47&gt;0,SUMIF(Landbrug!$B$32:$B$45,$B15,IF($R$4=År2,Landbrug!$D$32:$D$45,Landbrug!$E$32:$E$45)),'[1]Afgrødefordeling - jordtype'!$G13)*(Landbrug!$E$5)*Arealanvendelse!P$26</f>
        <v>0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25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39289.80368337129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1755.9273228354043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1254.5770292800325</v>
      </c>
      <c r="I16" s="11">
        <f>IF(Landbrug!$E$47&gt;0,SUMIF(Landbrug!$B$32:$B$45,$B16,IF($I$4=År2,Landbrug!$D$32:$D$45,Landbrug!$E$32:$E$45)),'[1]Afgrødefordeling - jordtype'!$G14)*(1-Landbrug!$E$5)*Arealanvendelse!P$26</f>
        <v>0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5023.6537948685918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224.51552647001208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160.41211874940078</v>
      </c>
      <c r="R16" s="11">
        <f>IF(Landbrug!$E$47&gt;0,SUMIF(Landbrug!$B$32:$B$45,$B16,IF($R$4=År2,Landbrug!$D$32:$D$45,Landbrug!$E$32:$E$45)),'[1]Afgrødefordeling - jordtype'!$G14)*(Landbrug!$E$5)*Arealanvendelse!P$26</f>
        <v>0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25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11437.918624561291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201.74386646472948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111.82364371989816</v>
      </c>
      <c r="I17" s="11">
        <f>IF(Landbrug!$E$47&gt;0,SUMIF(Landbrug!$B$32:$B$45,$B17,IF($I$4=År2,Landbrug!$D$32:$D$45,Landbrug!$E$32:$E$45)),'[1]Afgrødefordeling - jordtype'!$G15)*(1-Landbrug!$E$5)*Arealanvendelse!P$26</f>
        <v>0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1462.4695955911445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25.79527626364656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14.297940418756939</v>
      </c>
      <c r="R17" s="11">
        <f>IF(Landbrug!$E$47&gt;0,SUMIF(Landbrug!$B$32:$B$45,$B17,IF($R$4=År2,Landbrug!$D$32:$D$45,Landbrug!$E$32:$E$45)),'[1]Afgrødefordeling - jordtype'!$G15)*(Landbrug!$E$5)*Arealanvendelse!P$26</f>
        <v>11101.275121357427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25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31145.785633214087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331.33782011929418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263.96237747912357</v>
      </c>
      <c r="I18" s="11">
        <f>IF(Landbrug!$E$47&gt;0,SUMIF(Landbrug!$B$32:$B$45,$B18,IF($I$4=År2,Landbrug!$D$32:$D$45,Landbrug!$E$32:$E$45)),'[1]Afgrødefordeling - jordtype'!$G16)*(1-Landbrug!$E$5)*Arealanvendelse!P$26</f>
        <v>0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3982.3473146209913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42.365355419942198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33.750629298429502</v>
      </c>
      <c r="R18" s="11">
        <f>IF(Landbrug!$E$47&gt;0,SUMIF(Landbrug!$B$32:$B$45,$B18,IF($R$4=År2,Landbrug!$D$32:$D$45,Landbrug!$E$32:$E$45)),'[1]Afgrødefordeling - jordtype'!$G16)*(Landbrug!$E$5)*Arealanvendelse!P$26</f>
        <v>77429.401129434642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25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68835.987693799732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30317.151475612973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25590.487920823747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8801.4736237494071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3876.3968964428427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3272.0385368175012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7582.4059259259229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0"/>
    </row>
    <row r="20" spans="1:21" ht="15.75" thickBot="1" x14ac:dyDescent="0.3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1507580.9484569479</v>
      </c>
      <c r="G20" s="37">
        <f t="shared" si="2"/>
        <v>59046.169082039261</v>
      </c>
      <c r="H20" s="37">
        <f t="shared" si="2"/>
        <v>44605.532693241199</v>
      </c>
      <c r="I20" s="37">
        <f t="shared" si="2"/>
        <v>0</v>
      </c>
      <c r="J20" s="37">
        <f t="shared" si="2"/>
        <v>0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192761.58297509421</v>
      </c>
      <c r="P20" s="37">
        <f t="shared" si="2"/>
        <v>7549.7325914861049</v>
      </c>
      <c r="Q20" s="37">
        <f t="shared" si="2"/>
        <v>5703.3309555928163</v>
      </c>
      <c r="R20" s="37">
        <f t="shared" si="2"/>
        <v>1463209.4724471318</v>
      </c>
      <c r="S20" s="37">
        <f t="shared" si="2"/>
        <v>7582.4059259259229</v>
      </c>
      <c r="T20" s="38">
        <f t="shared" si="2"/>
        <v>0</v>
      </c>
      <c r="U20" s="90"/>
    </row>
    <row r="21" spans="1:21" ht="15.75" thickBot="1" x14ac:dyDescent="0.3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25">
      <c r="A22" s="60"/>
      <c r="B22" s="44"/>
      <c r="C22" s="466" t="s">
        <v>7</v>
      </c>
      <c r="D22" s="467"/>
      <c r="E22" s="468"/>
      <c r="F22" s="472" t="s">
        <v>8</v>
      </c>
      <c r="G22" s="467"/>
      <c r="H22" s="468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25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25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7019935.8896729527</v>
      </c>
      <c r="E24" s="22">
        <f>($F24+$C24)*Landbrug!E11*(1-Landbrug!E6)</f>
        <v>0</v>
      </c>
      <c r="F24" s="33">
        <f>SUM([1]Dyrehold!E58:G61)</f>
        <v>475477</v>
      </c>
      <c r="G24" s="11">
        <f>($F24+$C24)*Landbrug!D11*Landbrug!D6</f>
        <v>291855.95871414396</v>
      </c>
      <c r="H24" s="22">
        <f>($F24+$C24)*Landbrug!E11*Landbrug!E6</f>
        <v>1074244.3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25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791373.67349799909</v>
      </c>
      <c r="E25" s="22">
        <f>($F25+$C25)*Landbrug!E12*(1-Landbrug!E7)</f>
        <v>0</v>
      </c>
      <c r="F25" s="33">
        <f>SUM([1]Dyrehold!E36:G51)</f>
        <v>207835</v>
      </c>
      <c r="G25" s="11">
        <f>($F25+$C25)*Landbrug!D12*Landbrug!D7</f>
        <v>140119.4403069797</v>
      </c>
      <c r="H25" s="22">
        <f>($F25+$C25)*Landbrug!E12*Landbrug!E7</f>
        <v>93364.229814031074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5.75" thickBot="1" x14ac:dyDescent="0.3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14365153.861353351</v>
      </c>
      <c r="E26" s="23">
        <f>($F26+$C26)*Landbrug!E13*(1-Landbrug!E8)</f>
        <v>0</v>
      </c>
      <c r="F26" s="46">
        <f>SUM([1]Dyrehold!E65:G78)</f>
        <v>3062300</v>
      </c>
      <c r="G26" s="15">
        <f>($F26+$C26)*Landbrug!D13*Landbrug!D8</f>
        <v>2379805.8031627773</v>
      </c>
      <c r="H26" s="23">
        <f>($F26+$C26)*Landbrug!E13*Landbrug!E8</f>
        <v>8509733.5999999996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5.75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5.75" thickBot="1" x14ac:dyDescent="0.3">
      <c r="B28" s="6"/>
      <c r="F28" s="83"/>
      <c r="G28" s="83"/>
      <c r="H28" s="83"/>
    </row>
    <row r="29" spans="1:21" ht="21.75" thickBot="1" x14ac:dyDescent="0.4">
      <c r="A29" s="463" t="s">
        <v>24</v>
      </c>
      <c r="B29" s="464"/>
      <c r="C29" s="464"/>
      <c r="D29" s="464"/>
      <c r="E29" s="464"/>
      <c r="F29" s="464"/>
      <c r="G29" s="464"/>
      <c r="H29" s="464"/>
      <c r="I29" s="464"/>
      <c r="J29" s="464"/>
      <c r="K29" s="464"/>
      <c r="L29" s="464"/>
      <c r="M29" s="464"/>
      <c r="N29" s="464"/>
      <c r="O29" s="464"/>
      <c r="P29" s="464"/>
      <c r="Q29" s="464"/>
      <c r="R29" s="464"/>
      <c r="S29" s="464"/>
      <c r="T29" s="464"/>
      <c r="U29" s="465"/>
    </row>
    <row r="30" spans="1:21" x14ac:dyDescent="0.25">
      <c r="A30" s="55"/>
      <c r="B30" s="52"/>
      <c r="C30" s="469" t="s">
        <v>7</v>
      </c>
      <c r="D30" s="470"/>
      <c r="E30" s="470"/>
      <c r="F30" s="470"/>
      <c r="G30" s="470"/>
      <c r="H30" s="470"/>
      <c r="I30" s="470"/>
      <c r="J30" s="470"/>
      <c r="K30" s="471"/>
      <c r="L30" s="469" t="s">
        <v>8</v>
      </c>
      <c r="M30" s="470"/>
      <c r="N30" s="470"/>
      <c r="O30" s="470"/>
      <c r="P30" s="470"/>
      <c r="Q30" s="470"/>
      <c r="R30" s="470"/>
      <c r="S30" s="470"/>
      <c r="T30" s="471"/>
      <c r="U30" s="52"/>
    </row>
    <row r="31" spans="1:21" ht="15.75" thickBot="1" x14ac:dyDescent="0.3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25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25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168956.022670329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2220.9508631088374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1188.1161134445545</v>
      </c>
      <c r="I33" s="11">
        <f>IF(Landbrug!$E$47&gt;0,SUMIF(Landbrug!$B$32:$B$45,$B33,IF($I$31=År2,Landbrug!$D$32:$D$45,Landbrug!$E$32:$E$45)),'[1]Afgrødefordeling - jordtype'!$P4)*(1-Landbrug!$E$5)*Arealanvendelse!P$36</f>
        <v>0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21602.972905994222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283.97414050698114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151.9143254099892</v>
      </c>
      <c r="R33" s="11">
        <f>IF(Landbrug!$E$47&gt;0,SUMIF(Landbrug!$B$32:$B$45,$B33,IF($R$31=År2,Landbrug!$D$32:$D$45,Landbrug!$E$32:$E$45)),'[1]Afgrødefordeling - jordtype'!$P4)*(Landbrug!$E$5)*Arealanvendelse!P$36</f>
        <v>24336.326377643411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25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50377.701600261658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60.058061487912198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21.580106548382705</v>
      </c>
      <c r="I34" s="11">
        <f>IF(Landbrug!$E$47&gt;0,SUMIF(Landbrug!$B$32:$B$45,$B34,IF($I$31=År2,Landbrug!$D$32:$D$45,Landbrug!$E$32:$E$45)),'[1]Afgrødefordeling - jordtype'!$P5)*(1-Landbrug!$E$5)*Arealanvendelse!P$36</f>
        <v>0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6441.3692127462491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7.6791146867932829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2.7592651016816951</v>
      </c>
      <c r="R34" s="11">
        <f>IF(Landbrug!$E$47&gt;0,SUMIF(Landbrug!$B$32:$B$45,$B34,IF($R$31=År2,Landbrug!$D$32:$D$45,Landbrug!$E$32:$E$45)),'[1]Afgrødefordeling - jordtype'!$P5)*(Landbrug!$E$5)*Arealanvendelse!P$36</f>
        <v>121681.63188821705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25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44203.968724622173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242.5838922199716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105.41377093164485</v>
      </c>
      <c r="I35" s="11">
        <f>IF(Landbrug!$E$47&gt;0,SUMIF(Landbrug!$B$32:$B$45,$B35,IF($I$31=År2,Landbrug!$D$32:$D$45,Landbrug!$E$32:$E$45)),'[1]Afgrødefordeling - jordtype'!$P6)*(1-Landbrug!$E$5)*Arealanvendelse!P$36</f>
        <v>0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5651.9863784833815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31.017143800100705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13.478364377684429</v>
      </c>
      <c r="R35" s="11">
        <f>IF(Landbrug!$E$47&gt;0,SUMIF(Landbrug!$B$32:$B$45,$B35,IF($R$31=År2,Landbrug!$D$32:$D$45,Landbrug!$E$32:$E$45)),'[1]Afgrødefordeling - jordtype'!$P6)*(Landbrug!$E$5)*Arealanvendelse!P$36</f>
        <v>73008.979132930224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25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71363.91124326158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713.29828663252204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774.64214781175053</v>
      </c>
      <c r="I36" s="11">
        <f>IF(Landbrug!$E$47&gt;0,SUMIF(Landbrug!$B$32:$B$45,$B36,IF($I$31=År2,Landbrug!$D$32:$D$45,Landbrug!$E$32:$E$45)),'[1]Afgrødefordeling - jordtype'!$P7)*(1-Landbrug!$E$5)*Arealanvendelse!P$36</f>
        <v>0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9124.6977567772465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91.203399064865479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99.046918047256085</v>
      </c>
      <c r="R36" s="11">
        <f>IF(Landbrug!$E$47&gt;0,SUMIF(Landbrug!$B$32:$B$45,$B36,IF($R$31=År2,Landbrug!$D$32:$D$45,Landbrug!$E$32:$E$45)),'[1]Afgrødefordeling - jordtype'!$P7)*(Landbrug!$E$5)*Arealanvendelse!P$36</f>
        <v>121681.63188821705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25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12186.775085886682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13.509097068318159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3.6459298897636652</v>
      </c>
      <c r="I37" s="11">
        <f>IF(Landbrug!$E$47&gt;0,SUMIF(Landbrug!$B$32:$B$45,$B37,IF($I$31=År2,Landbrug!$D$32:$D$45,Landbrug!$E$32:$E$45)),'[1]Afgrødefordeling - jordtype'!$P8)*(1-Landbrug!$E$5)*Arealanvendelse!P$36</f>
        <v>0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1558.2195167174077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1.7272936077618362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0.46617411667770531</v>
      </c>
      <c r="R37" s="11">
        <f>IF(Landbrug!$E$47&gt;0,SUMIF(Landbrug!$B$32:$B$45,$B37,IF($R$31=År2,Landbrug!$D$32:$D$45,Landbrug!$E$32:$E$45)),'[1]Afgrødefordeling - jordtype'!$P8)*(Landbrug!$E$5)*Arealanvendelse!P$36</f>
        <v>31459.960360454177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25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10148.960103105841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22.96670140121164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20.781365440527122</v>
      </c>
      <c r="I38" s="11">
        <f>IF(Landbrug!$E$47&gt;0,SUMIF(Landbrug!$B$32:$B$45,$B38,IF($I$31=År2,Landbrug!$D$32:$D$45,Landbrug!$E$32:$E$45)),'[1]Afgrødefordeling - jordtype'!$P9)*(1-Landbrug!$E$5)*Arealanvendelse!P$36</f>
        <v>0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1297.6614071888587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2.9365572192625082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2.6571368541105698</v>
      </c>
      <c r="R38" s="11">
        <f>IF(Landbrug!$E$47&gt;0,SUMIF(Landbrug!$B$32:$B$45,$B38,IF($R$31=År2,Landbrug!$D$32:$D$45,Landbrug!$E$32:$E$45)),'[1]Afgrødefordeling - jordtype'!$P9)*(Landbrug!$E$5)*Arealanvendelse!P$36</f>
        <v>10657.988883528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25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6241.6488843154139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64.164131761142045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23.931521146893385</v>
      </c>
      <c r="I39" s="11">
        <f>IF(Landbrug!$E$47&gt;0,SUMIF(Landbrug!$B$32:$B$45,$B39,IF($I$31=År2,Landbrug!$D$32:$D$45,Landbrug!$E$32:$E$45)),'[1]Afgrødefordeling - jordtype'!$P10)*(1-Landbrug!$E$5)*Arealanvendelse!P$36</f>
        <v>0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798.06667797628256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8.204123049684096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3.0599205329562755</v>
      </c>
      <c r="R39" s="11">
        <f>IF(Landbrug!$E$47&gt;0,SUMIF(Landbrug!$B$32:$B$45,$B39,IF($R$31=År2,Landbrug!$D$32:$D$45,Landbrug!$E$32:$E$45)),'[1]Afgrødefordeling - jordtype'!$P10)*(Landbrug!$E$5)*Arealanvendelse!P$36</f>
        <v>6554.7035113046459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25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21756.450215550725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68.408866076590428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24.580723756526687</v>
      </c>
      <c r="I40" s="11">
        <f>IF(Landbrug!$E$47&gt;0,SUMIF(Landbrug!$B$32:$B$45,$B40,IF($I$31=År2,Landbrug!$D$32:$D$45,Landbrug!$E$32:$E$45)),'[1]Afgrødefordeling - jordtype'!$P11)*(1-Landbrug!$E$5)*Arealanvendelse!P$36</f>
        <v>0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2781.8126700001544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8.7468612069896832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3.1429285617009759</v>
      </c>
      <c r="R40" s="11">
        <f>IF(Landbrug!$E$47&gt;0,SUMIF(Landbrug!$B$32:$B$45,$B40,IF($R$31=År2,Landbrug!$D$32:$D$45,Landbrug!$E$32:$E$45)),'[1]Afgrødefordeling - jordtype'!$P11)*(Landbrug!$E$5)*Arealanvendelse!P$36</f>
        <v>0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25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23548.611888436528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14.757198662082352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8.9197417432206052</v>
      </c>
      <c r="I41" s="11">
        <f>IF(Landbrug!$E$47&gt;0,SUMIF(Landbrug!$B$32:$B$45,$B41,IF($I$31=År2,Landbrug!$D$32:$D$45,Landbrug!$E$32:$E$45)),'[1]Afgrødefordeling - jordtype'!$P12)*(1-Landbrug!$E$5)*Arealanvendelse!P$36</f>
        <v>0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3010.9611753366994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1.886877767520535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1.1404916863084984</v>
      </c>
      <c r="R41" s="11">
        <f>IF(Landbrug!$E$47&gt;0,SUMIF(Landbrug!$B$32:$B$45,$B41,IF($R$31=År2,Landbrug!$D$32:$D$45,Landbrug!$E$32:$E$45)),'[1]Afgrødefordeling - jordtype'!$P12)*(Landbrug!$E$5)*Arealanvendelse!P$36</f>
        <v>67896.187359780568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25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8363.1795172083603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105.37355586127558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63.691282225699887</v>
      </c>
      <c r="I42" s="11">
        <f>IF(Landbrug!$E$47&gt;0,SUMIF(Landbrug!$B$32:$B$45,$B42,IF($I$31=År2,Landbrug!$D$32:$D$45,Landbrug!$E$32:$E$45)),'[1]Afgrødefordeling - jordtype'!$P13)*(1-Landbrug!$E$5)*Arealanvendelse!P$36</f>
        <v>0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1069.3287972974172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13.473222417889986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8.1436637920540775</v>
      </c>
      <c r="R42" s="11">
        <f>IF(Landbrug!$E$47&gt;0,SUMIF(Landbrug!$B$32:$B$45,$B42,IF($R$31=År2,Landbrug!$D$32:$D$45,Landbrug!$E$32:$E$45)),'[1]Afgrødefordeling - jordtype'!$P13)*(Landbrug!$E$5)*Arealanvendelse!P$36</f>
        <v>0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25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12078.987097150528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765.0070185544738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596.03432554762389</v>
      </c>
      <c r="I43" s="11">
        <f>IF(Landbrug!$E$47&gt;0,SUMIF(Landbrug!$B$32:$B$45,$B43,IF($I$31=År2,Landbrug!$D$32:$D$45,Landbrug!$E$32:$E$45)),'[1]Afgrødefordeling - jordtype'!$P14)*(1-Landbrug!$E$5)*Arealanvendelse!P$36</f>
        <v>0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1544.4375812559992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97.814955830100658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76.209851429635265</v>
      </c>
      <c r="R43" s="11">
        <f>IF(Landbrug!$E$47&gt;0,SUMIF(Landbrug!$B$32:$B$45,$B43,IF($R$31=År2,Landbrug!$D$32:$D$45,Landbrug!$E$32:$E$45)),'[1]Afgrødefordeling - jordtype'!$P14)*(Landbrug!$E$5)*Arealanvendelse!P$36</f>
        <v>0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25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3516.3950575504314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23.124446325632409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13.977184552620391</v>
      </c>
      <c r="I44" s="11">
        <f>IF(Landbrug!$E$47&gt;0,SUMIF(Landbrug!$B$32:$B$45,$B44,IF($I$31=År2,Landbrug!$D$32:$D$45,Landbrug!$E$32:$E$45)),'[1]Afgrødefordeling - jordtype'!$P15)*(1-Landbrug!$E$5)*Arealanvendelse!P$36</f>
        <v>0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449.61159687842485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2.9567267241695294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1.7871439823220083</v>
      </c>
      <c r="R44" s="11">
        <f>IF(Landbrug!$E$47&gt;0,SUMIF(Landbrug!$B$32:$B$45,$B44,IF($R$31=År2,Landbrug!$D$32:$D$45,Landbrug!$E$32:$E$45)),'[1]Afgrødefordeling - jordtype'!$P15)*(Landbrug!$E$5)*Arealanvendelse!P$36</f>
        <v>3692.7625148507746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25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9575.2461841246914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49.078711850168098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42.636272874021806</v>
      </c>
      <c r="I45" s="11">
        <f>IF(Landbrug!$E$47&gt;0,SUMIF(Landbrug!$B$32:$B$45,$B45,IF($I$31=År2,Landbrug!$D$32:$D$45,Landbrug!$E$32:$E$45)),'[1]Afgrødefordeling - jordtype'!$P16)*(1-Landbrug!$E$5)*Arealanvendelse!P$36</f>
        <v>0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1224.3054767422425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6.2752784162601669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5.4515384130892075</v>
      </c>
      <c r="R45" s="11">
        <f>IF(Landbrug!$E$47&gt;0,SUMIF(Landbrug!$B$32:$B$45,$B45,IF($R$31=År2,Landbrug!$D$32:$D$45,Landbrug!$E$32:$E$45)),'[1]Afgrødefordeling - jordtype'!$P16)*(Landbrug!$E$5)*Arealanvendelse!P$36</f>
        <v>25756.355635942306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25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21162.462756843044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4604.4820500504356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3886.6099401933679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2705.8645340642111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588.73604741196766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496.9478323835454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1151.5940740740734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2"/>
    </row>
    <row r="47" spans="1:21" ht="15.75" thickBot="1" x14ac:dyDescent="0.3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463480.32102864666</v>
      </c>
      <c r="G47" s="37">
        <f t="shared" si="3"/>
        <v>8967.7628810605747</v>
      </c>
      <c r="H47" s="37">
        <f t="shared" si="3"/>
        <v>6774.5604261065982</v>
      </c>
      <c r="I47" s="37">
        <f t="shared" si="3"/>
        <v>0</v>
      </c>
      <c r="J47" s="37">
        <f t="shared" si="3"/>
        <v>0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59261.295687458791</v>
      </c>
      <c r="P47" s="37">
        <f t="shared" si="3"/>
        <v>1146.6317417103473</v>
      </c>
      <c r="Q47" s="37">
        <f t="shared" si="3"/>
        <v>866.20555468901136</v>
      </c>
      <c r="R47" s="37">
        <f t="shared" si="3"/>
        <v>486726.52755286818</v>
      </c>
      <c r="S47" s="37">
        <f t="shared" si="3"/>
        <v>1151.5940740740734</v>
      </c>
      <c r="T47" s="38">
        <f t="shared" si="3"/>
        <v>0</v>
      </c>
      <c r="U47" s="52"/>
    </row>
    <row r="48" spans="1:21" ht="15.75" thickBot="1" x14ac:dyDescent="0.3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25">
      <c r="A49" s="55"/>
      <c r="B49" s="48"/>
      <c r="C49" s="466" t="s">
        <v>7</v>
      </c>
      <c r="D49" s="467"/>
      <c r="E49" s="468"/>
      <c r="F49" s="472" t="s">
        <v>8</v>
      </c>
      <c r="G49" s="467"/>
      <c r="H49" s="468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25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25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1541102</v>
      </c>
      <c r="E51" s="22">
        <f>SUM([1]Dyrehold!$E$22:$E$23)-H51</f>
        <v>1169559.3041937244</v>
      </c>
      <c r="F51" s="49">
        <f>SUM([1]Dyrehold!C58:D61)</f>
        <v>15447</v>
      </c>
      <c r="G51" s="11">
        <f>$F51/Landbrug!$C6*Landbrug!D6</f>
        <v>15447</v>
      </c>
      <c r="H51" s="22">
        <f>$F51/Landbrug!$C6*Landbrug!E6</f>
        <v>386989.69580627553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25">
      <c r="A52" s="55"/>
      <c r="B52" s="30" t="s">
        <v>3</v>
      </c>
      <c r="C52" s="34">
        <f>SUM([1]Dyrehold!$D$22:$D$23)-F52</f>
        <v>82455</v>
      </c>
      <c r="D52" s="11">
        <f>SUM([1]Dyrehold!$D$22:$D$23)-G52</f>
        <v>82455</v>
      </c>
      <c r="E52" s="22">
        <f>SUM([1]Dyrehold!$D$22:$D$23)-H52</f>
        <v>-10807.957958172134</v>
      </c>
      <c r="F52" s="49">
        <f>SUM([1]Dyrehold!C36:D51)</f>
        <v>16513</v>
      </c>
      <c r="G52" s="11">
        <f>$F52/Landbrug!$C7*Landbrug!D7</f>
        <v>16513</v>
      </c>
      <c r="H52" s="22">
        <f>$F52/Landbrug!$C7*Landbrug!E7</f>
        <v>109775.95795817213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5.75" thickBot="1" x14ac:dyDescent="0.3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1570560</v>
      </c>
      <c r="E53" s="23">
        <f>SUM([1]Dyrehold!$F$22:$F$23)-H53</f>
        <v>272840.10660097841</v>
      </c>
      <c r="F53" s="50">
        <f>SUM([1]Dyrehold!C65:D78)</f>
        <v>214987</v>
      </c>
      <c r="G53" s="15">
        <f>$F53/Landbrug!$C8*Landbrug!D8</f>
        <v>214987</v>
      </c>
      <c r="H53" s="23">
        <f>$F53/Landbrug!$C8*Landbrug!E8</f>
        <v>1512706.8933990216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5.75" thickBot="1" x14ac:dyDescent="0.3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7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16" bestFit="1" customWidth="1"/>
    <col min="22" max="22" width="8.7109375" bestFit="1" customWidth="1"/>
    <col min="23" max="24" width="5.140625" bestFit="1" customWidth="1"/>
    <col min="25" max="25" width="20.7109375" bestFit="1" customWidth="1"/>
    <col min="26" max="26" width="16" bestFit="1" customWidth="1"/>
    <col min="27" max="27" width="10.140625" bestFit="1" customWidth="1"/>
    <col min="28" max="28" width="9.140625" bestFit="1" customWidth="1"/>
    <col min="29" max="29" width="12" bestFit="1" customWidth="1"/>
    <col min="30" max="30" width="12.85546875" bestFit="1" customWidth="1"/>
    <col min="31" max="31" width="12.5703125" bestFit="1" customWidth="1"/>
    <col min="32" max="32" width="12.28515625" bestFit="1" customWidth="1"/>
    <col min="33" max="33" width="8.85546875" bestFit="1" customWidth="1"/>
    <col min="34" max="34" width="9.28515625" bestFit="1" customWidth="1"/>
    <col min="35" max="35" width="8.5703125" bestFit="1" customWidth="1"/>
    <col min="36" max="36" width="13.85546875" bestFit="1" customWidth="1"/>
    <col min="37" max="37" width="11.28515625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0.28515625" bestFit="1" customWidth="1"/>
    <col min="42" max="42" width="10.5703125" bestFit="1" customWidth="1"/>
    <col min="43" max="43" width="12.28515625" bestFit="1" customWidth="1"/>
    <col min="44" max="44" width="10.140625" bestFit="1" customWidth="1"/>
    <col min="45" max="45" width="15" bestFit="1" customWidth="1"/>
    <col min="46" max="46" width="12" bestFit="1" customWidth="1"/>
  </cols>
  <sheetData>
    <row r="3" spans="1:37" x14ac:dyDescent="0.25">
      <c r="A3" s="75" t="s">
        <v>174</v>
      </c>
      <c r="B3" s="75" t="s">
        <v>62</v>
      </c>
    </row>
    <row r="4" spans="1:37" x14ac:dyDescent="0.25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116</v>
      </c>
      <c r="V4" t="s">
        <v>14</v>
      </c>
      <c r="W4" t="s">
        <v>50</v>
      </c>
      <c r="X4" t="s">
        <v>52</v>
      </c>
      <c r="Y4" t="s">
        <v>107</v>
      </c>
      <c r="Z4" t="s">
        <v>140</v>
      </c>
      <c r="AA4" t="s">
        <v>135</v>
      </c>
      <c r="AB4" t="s">
        <v>13</v>
      </c>
      <c r="AC4" t="s">
        <v>95</v>
      </c>
      <c r="AD4" t="s">
        <v>119</v>
      </c>
      <c r="AE4" t="s">
        <v>204</v>
      </c>
      <c r="AF4" t="s">
        <v>203</v>
      </c>
      <c r="AG4" t="s">
        <v>208</v>
      </c>
      <c r="AH4" t="s">
        <v>238</v>
      </c>
      <c r="AI4" t="s">
        <v>231</v>
      </c>
      <c r="AJ4" t="s">
        <v>118</v>
      </c>
      <c r="AK4" t="s">
        <v>61</v>
      </c>
    </row>
    <row r="5" spans="1:37" x14ac:dyDescent="0.25">
      <c r="A5" s="76" t="s">
        <v>109</v>
      </c>
      <c r="B5" s="214"/>
      <c r="C5" s="214"/>
      <c r="D5" s="214">
        <v>729134</v>
      </c>
      <c r="E5" s="214">
        <v>2856518.4611823363</v>
      </c>
      <c r="F5" s="214"/>
      <c r="G5" s="214">
        <v>15166.305497675694</v>
      </c>
      <c r="H5" s="214"/>
      <c r="I5" s="214"/>
      <c r="J5" s="214">
        <v>142742</v>
      </c>
      <c r="K5" s="214">
        <v>85676.999999999956</v>
      </c>
      <c r="L5" s="214"/>
      <c r="M5" s="214">
        <v>75933.999999999971</v>
      </c>
      <c r="N5" s="214">
        <v>78</v>
      </c>
      <c r="O5" s="214"/>
      <c r="P5" s="214">
        <v>995654</v>
      </c>
      <c r="Q5" s="214"/>
      <c r="R5" s="214">
        <v>3786</v>
      </c>
      <c r="S5" s="214">
        <v>12831575.464363884</v>
      </c>
      <c r="T5" s="214"/>
      <c r="U5" s="214"/>
      <c r="V5" s="214"/>
      <c r="W5" s="214"/>
      <c r="X5" s="214">
        <v>28644.999999999993</v>
      </c>
      <c r="Y5" s="214"/>
      <c r="Z5" s="214">
        <v>8258401.5311287995</v>
      </c>
      <c r="AA5" s="214">
        <v>11928483.043010753</v>
      </c>
      <c r="AB5" s="214"/>
      <c r="AC5" s="214"/>
      <c r="AD5" s="214"/>
      <c r="AE5" s="214"/>
      <c r="AF5" s="214"/>
      <c r="AG5" s="214">
        <v>8854739.7114868872</v>
      </c>
      <c r="AH5" s="214"/>
      <c r="AI5" s="214"/>
      <c r="AJ5" s="214"/>
      <c r="AK5" s="214">
        <v>46806534.516670339</v>
      </c>
    </row>
    <row r="6" spans="1:37" x14ac:dyDescent="0.25">
      <c r="A6" s="77">
        <v>2019</v>
      </c>
      <c r="B6" s="214"/>
      <c r="C6" s="214"/>
      <c r="D6" s="214">
        <v>729134</v>
      </c>
      <c r="E6" s="214">
        <v>757087.00000000012</v>
      </c>
      <c r="F6" s="214"/>
      <c r="G6" s="214">
        <v>4441.5</v>
      </c>
      <c r="H6" s="214"/>
      <c r="I6" s="214"/>
      <c r="J6" s="214">
        <v>142742</v>
      </c>
      <c r="K6" s="214">
        <v>85676.999999999956</v>
      </c>
      <c r="L6" s="214"/>
      <c r="M6" s="214">
        <v>75933.999999999971</v>
      </c>
      <c r="N6" s="214">
        <v>78</v>
      </c>
      <c r="O6" s="214"/>
      <c r="P6" s="214">
        <v>995654</v>
      </c>
      <c r="Q6" s="214"/>
      <c r="R6" s="214">
        <v>3786</v>
      </c>
      <c r="S6" s="214">
        <v>4353509.666666667</v>
      </c>
      <c r="T6" s="214"/>
      <c r="U6" s="214"/>
      <c r="V6" s="214"/>
      <c r="W6" s="214"/>
      <c r="X6" s="214">
        <v>28644.999999999993</v>
      </c>
      <c r="Y6" s="214"/>
      <c r="Z6" s="214">
        <v>2668834</v>
      </c>
      <c r="AA6" s="214">
        <v>2914869.3333333335</v>
      </c>
      <c r="AB6" s="214"/>
      <c r="AC6" s="214"/>
      <c r="AD6" s="214"/>
      <c r="AE6" s="214"/>
      <c r="AF6" s="214"/>
      <c r="AG6" s="214">
        <v>0</v>
      </c>
      <c r="AH6" s="214"/>
      <c r="AI6" s="214"/>
      <c r="AJ6" s="214"/>
      <c r="AK6" s="214">
        <v>12760391.500000002</v>
      </c>
    </row>
    <row r="7" spans="1:37" x14ac:dyDescent="0.25">
      <c r="A7" s="77">
        <v>2030</v>
      </c>
      <c r="B7" s="214"/>
      <c r="C7" s="214"/>
      <c r="D7" s="214">
        <v>0</v>
      </c>
      <c r="E7" s="214">
        <v>1507536.473164652</v>
      </c>
      <c r="F7" s="214"/>
      <c r="G7" s="214">
        <v>5243.8354838709674</v>
      </c>
      <c r="H7" s="214"/>
      <c r="I7" s="214"/>
      <c r="J7" s="214">
        <v>0</v>
      </c>
      <c r="K7" s="214">
        <v>0</v>
      </c>
      <c r="L7" s="214"/>
      <c r="M7" s="214">
        <v>0</v>
      </c>
      <c r="N7" s="214">
        <v>0</v>
      </c>
      <c r="O7" s="214"/>
      <c r="P7" s="214">
        <v>0</v>
      </c>
      <c r="Q7" s="214"/>
      <c r="R7" s="214">
        <v>0</v>
      </c>
      <c r="S7" s="214">
        <v>7815388.6642841548</v>
      </c>
      <c r="T7" s="214"/>
      <c r="U7" s="214"/>
      <c r="V7" s="214"/>
      <c r="W7" s="214"/>
      <c r="X7" s="214">
        <v>0</v>
      </c>
      <c r="Y7" s="214"/>
      <c r="Z7" s="214">
        <v>2747430.5145796794</v>
      </c>
      <c r="AA7" s="214">
        <v>9013613.7096774187</v>
      </c>
      <c r="AB7" s="214"/>
      <c r="AC7" s="214"/>
      <c r="AD7" s="214"/>
      <c r="AE7" s="214"/>
      <c r="AF7" s="214"/>
      <c r="AG7" s="214">
        <v>5867453.3160588881</v>
      </c>
      <c r="AH7" s="214"/>
      <c r="AI7" s="214"/>
      <c r="AJ7" s="214"/>
      <c r="AK7" s="214">
        <v>26956666.513248667</v>
      </c>
    </row>
    <row r="8" spans="1:37" x14ac:dyDescent="0.25">
      <c r="A8" s="77">
        <v>2050</v>
      </c>
      <c r="B8" s="214"/>
      <c r="C8" s="214"/>
      <c r="D8" s="214">
        <v>0</v>
      </c>
      <c r="E8" s="214">
        <v>591894.98801768455</v>
      </c>
      <c r="F8" s="214"/>
      <c r="G8" s="214">
        <v>5480.9700138047265</v>
      </c>
      <c r="H8" s="214"/>
      <c r="I8" s="214"/>
      <c r="J8" s="214">
        <v>0</v>
      </c>
      <c r="K8" s="214">
        <v>0</v>
      </c>
      <c r="L8" s="214"/>
      <c r="M8" s="214">
        <v>0</v>
      </c>
      <c r="N8" s="214">
        <v>0</v>
      </c>
      <c r="O8" s="214"/>
      <c r="P8" s="214">
        <v>0</v>
      </c>
      <c r="Q8" s="214"/>
      <c r="R8" s="214">
        <v>0</v>
      </c>
      <c r="S8" s="214">
        <v>662677.13341306173</v>
      </c>
      <c r="T8" s="214"/>
      <c r="U8" s="214"/>
      <c r="V8" s="214"/>
      <c r="W8" s="214"/>
      <c r="X8" s="214">
        <v>0</v>
      </c>
      <c r="Y8" s="214"/>
      <c r="Z8" s="214">
        <v>2842137.0165491202</v>
      </c>
      <c r="AA8" s="214">
        <v>0</v>
      </c>
      <c r="AB8" s="214"/>
      <c r="AC8" s="214"/>
      <c r="AD8" s="214"/>
      <c r="AE8" s="214"/>
      <c r="AF8" s="214"/>
      <c r="AG8" s="214">
        <v>2987286.3954279986</v>
      </c>
      <c r="AH8" s="214"/>
      <c r="AI8" s="214"/>
      <c r="AJ8" s="214"/>
      <c r="AK8" s="214">
        <v>7089476.5034216698</v>
      </c>
    </row>
    <row r="9" spans="1:37" x14ac:dyDescent="0.25">
      <c r="A9" s="76" t="s">
        <v>112</v>
      </c>
      <c r="B9" s="214"/>
      <c r="C9" s="214">
        <v>526909.50204955554</v>
      </c>
      <c r="D9" s="214"/>
      <c r="E9" s="214"/>
      <c r="F9" s="214"/>
      <c r="G9" s="214"/>
      <c r="H9" s="214"/>
      <c r="I9" s="214"/>
      <c r="J9" s="214"/>
      <c r="K9" s="214">
        <v>27837799.259611409</v>
      </c>
      <c r="L9" s="214"/>
      <c r="M9" s="214">
        <v>1566772.9648493587</v>
      </c>
      <c r="N9" s="214"/>
      <c r="O9" s="214">
        <v>7868405.1478264835</v>
      </c>
      <c r="P9" s="214"/>
      <c r="Q9" s="214">
        <v>0</v>
      </c>
      <c r="R9" s="214">
        <v>9580768.642891502</v>
      </c>
      <c r="S9" s="214"/>
      <c r="T9" s="214">
        <v>2470007.7013214119</v>
      </c>
      <c r="U9" s="214"/>
      <c r="V9" s="214"/>
      <c r="W9" s="214"/>
      <c r="X9" s="214">
        <v>1704750.6535267066</v>
      </c>
      <c r="Y9" s="214">
        <v>79881.819760569851</v>
      </c>
      <c r="Z9" s="214"/>
      <c r="AA9" s="214"/>
      <c r="AB9" s="214"/>
      <c r="AC9" s="214"/>
      <c r="AD9" s="214"/>
      <c r="AE9" s="214">
        <v>7845018.1748280004</v>
      </c>
      <c r="AF9" s="214">
        <v>3811920.9070122996</v>
      </c>
      <c r="AG9" s="214"/>
      <c r="AH9" s="214">
        <v>494740.76867413399</v>
      </c>
      <c r="AI9" s="214"/>
      <c r="AJ9" s="214"/>
      <c r="AK9" s="214">
        <v>63786975.54235144</v>
      </c>
    </row>
    <row r="10" spans="1:37" x14ac:dyDescent="0.25">
      <c r="A10" s="77">
        <v>2019</v>
      </c>
      <c r="B10" s="214"/>
      <c r="C10" s="214">
        <v>72415.092228932088</v>
      </c>
      <c r="D10" s="214"/>
      <c r="E10" s="214"/>
      <c r="F10" s="214"/>
      <c r="G10" s="214"/>
      <c r="H10" s="214"/>
      <c r="I10" s="214"/>
      <c r="J10" s="214"/>
      <c r="K10" s="214">
        <v>13739757.985270014</v>
      </c>
      <c r="L10" s="214"/>
      <c r="M10" s="214">
        <v>867975.34157733875</v>
      </c>
      <c r="N10" s="214"/>
      <c r="O10" s="214">
        <v>5421074.2654714445</v>
      </c>
      <c r="P10" s="214"/>
      <c r="Q10" s="214">
        <v>0</v>
      </c>
      <c r="R10" s="214">
        <v>6600836.8097011279</v>
      </c>
      <c r="S10" s="214"/>
      <c r="T10" s="214">
        <v>1701754.6673799041</v>
      </c>
      <c r="U10" s="214"/>
      <c r="V10" s="214"/>
      <c r="W10" s="214"/>
      <c r="X10" s="214">
        <v>944413.49448565592</v>
      </c>
      <c r="Y10" s="214">
        <v>44253.667473236274</v>
      </c>
      <c r="Z10" s="214"/>
      <c r="AA10" s="214"/>
      <c r="AB10" s="214"/>
      <c r="AC10" s="214"/>
      <c r="AD10" s="214"/>
      <c r="AE10" s="214">
        <v>0</v>
      </c>
      <c r="AF10" s="214">
        <v>0</v>
      </c>
      <c r="AG10" s="214"/>
      <c r="AH10" s="214">
        <v>240377.87559326066</v>
      </c>
      <c r="AI10" s="214"/>
      <c r="AJ10" s="214"/>
      <c r="AK10" s="214">
        <v>29632859.19918092</v>
      </c>
    </row>
    <row r="11" spans="1:37" x14ac:dyDescent="0.25">
      <c r="A11" s="77">
        <v>2030</v>
      </c>
      <c r="B11" s="214"/>
      <c r="C11" s="214">
        <v>328844.55006595154</v>
      </c>
      <c r="D11" s="214"/>
      <c r="E11" s="214"/>
      <c r="F11" s="214"/>
      <c r="G11" s="214"/>
      <c r="H11" s="214"/>
      <c r="I11" s="214"/>
      <c r="J11" s="214"/>
      <c r="K11" s="214">
        <v>11746140.28501403</v>
      </c>
      <c r="L11" s="214"/>
      <c r="M11" s="214">
        <v>607360.32556256372</v>
      </c>
      <c r="N11" s="214"/>
      <c r="O11" s="214">
        <v>2447330.882355039</v>
      </c>
      <c r="P11" s="214"/>
      <c r="Q11" s="214">
        <v>0</v>
      </c>
      <c r="R11" s="214">
        <v>2979931.8331903741</v>
      </c>
      <c r="S11" s="214"/>
      <c r="T11" s="214">
        <v>768253.03394150757</v>
      </c>
      <c r="U11" s="214"/>
      <c r="V11" s="214"/>
      <c r="W11" s="214"/>
      <c r="X11" s="214">
        <v>660847.44577433064</v>
      </c>
      <c r="Y11" s="214">
        <v>30966.227491022946</v>
      </c>
      <c r="Z11" s="214"/>
      <c r="AA11" s="214"/>
      <c r="AB11" s="214"/>
      <c r="AC11" s="214"/>
      <c r="AD11" s="214"/>
      <c r="AE11" s="214">
        <v>5508729.3693827838</v>
      </c>
      <c r="AF11" s="214">
        <v>2676396.5881159487</v>
      </c>
      <c r="AG11" s="214"/>
      <c r="AH11" s="214">
        <v>210917.49793923233</v>
      </c>
      <c r="AI11" s="214"/>
      <c r="AJ11" s="214"/>
      <c r="AK11" s="214">
        <v>27965718.038832784</v>
      </c>
    </row>
    <row r="12" spans="1:37" x14ac:dyDescent="0.25">
      <c r="A12" s="77">
        <v>2050</v>
      </c>
      <c r="B12" s="214"/>
      <c r="C12" s="214">
        <v>125649.85975467187</v>
      </c>
      <c r="D12" s="214"/>
      <c r="E12" s="214"/>
      <c r="F12" s="214"/>
      <c r="G12" s="214"/>
      <c r="H12" s="214"/>
      <c r="I12" s="214"/>
      <c r="J12" s="214"/>
      <c r="K12" s="214">
        <v>2351900.9893273683</v>
      </c>
      <c r="L12" s="214"/>
      <c r="M12" s="214">
        <v>91437.297709456223</v>
      </c>
      <c r="N12" s="214"/>
      <c r="O12" s="214">
        <v>0</v>
      </c>
      <c r="P12" s="214"/>
      <c r="Q12" s="214">
        <v>0</v>
      </c>
      <c r="R12" s="214">
        <v>0</v>
      </c>
      <c r="S12" s="214"/>
      <c r="T12" s="214">
        <v>0</v>
      </c>
      <c r="U12" s="214"/>
      <c r="V12" s="214"/>
      <c r="W12" s="214"/>
      <c r="X12" s="214">
        <v>99489.713266720035</v>
      </c>
      <c r="Y12" s="214">
        <v>4661.92479631063</v>
      </c>
      <c r="Z12" s="214"/>
      <c r="AA12" s="214"/>
      <c r="AB12" s="214"/>
      <c r="AC12" s="214"/>
      <c r="AD12" s="214"/>
      <c r="AE12" s="214">
        <v>2336288.8054452171</v>
      </c>
      <c r="AF12" s="214">
        <v>1135524.3188963511</v>
      </c>
      <c r="AG12" s="214"/>
      <c r="AH12" s="214">
        <v>43445.395141640969</v>
      </c>
      <c r="AI12" s="214"/>
      <c r="AJ12" s="214"/>
      <c r="AK12" s="214">
        <v>6188398.3043377362</v>
      </c>
    </row>
    <row r="13" spans="1:37" x14ac:dyDescent="0.25">
      <c r="A13" s="76" t="s">
        <v>127</v>
      </c>
      <c r="B13" s="214">
        <v>182574.19618217932</v>
      </c>
      <c r="C13" s="214">
        <v>0</v>
      </c>
      <c r="D13" s="214"/>
      <c r="E13" s="214"/>
      <c r="F13" s="214">
        <v>281468.55244752642</v>
      </c>
      <c r="G13" s="214"/>
      <c r="H13" s="214">
        <v>197788.71253069426</v>
      </c>
      <c r="I13" s="214">
        <v>1445379.0531089196</v>
      </c>
      <c r="J13" s="214"/>
      <c r="K13" s="214"/>
      <c r="L13" s="214">
        <v>1513844.376677237</v>
      </c>
      <c r="M13" s="214"/>
      <c r="N13" s="214"/>
      <c r="O13" s="214"/>
      <c r="P13" s="214"/>
      <c r="Q13" s="214">
        <v>692260.49385742994</v>
      </c>
      <c r="R13" s="214">
        <v>1658382.281988129</v>
      </c>
      <c r="S13" s="214"/>
      <c r="T13" s="214"/>
      <c r="U13" s="214">
        <v>2647325.8446415998</v>
      </c>
      <c r="V13" s="214">
        <v>336392.95646566537</v>
      </c>
      <c r="W13" s="214"/>
      <c r="X13" s="214"/>
      <c r="Y13" s="214"/>
      <c r="Z13" s="214"/>
      <c r="AA13" s="214"/>
      <c r="AB13" s="214">
        <v>682979.63888483576</v>
      </c>
      <c r="AC13" s="214"/>
      <c r="AD13" s="214"/>
      <c r="AE13" s="214"/>
      <c r="AF13" s="214"/>
      <c r="AG13" s="214"/>
      <c r="AH13" s="214"/>
      <c r="AI13" s="214"/>
      <c r="AJ13" s="214"/>
      <c r="AK13" s="214">
        <v>9638396.1067842171</v>
      </c>
    </row>
    <row r="14" spans="1:37" x14ac:dyDescent="0.25">
      <c r="A14" s="77">
        <v>2019</v>
      </c>
      <c r="B14" s="214">
        <v>58403.100598004137</v>
      </c>
      <c r="C14" s="214">
        <v>0</v>
      </c>
      <c r="D14" s="214"/>
      <c r="E14" s="214"/>
      <c r="F14" s="214">
        <v>90038.113421923044</v>
      </c>
      <c r="G14" s="214"/>
      <c r="H14" s="214">
        <v>63270.025647837821</v>
      </c>
      <c r="I14" s="214">
        <v>462357.87973419944</v>
      </c>
      <c r="J14" s="214"/>
      <c r="K14" s="214"/>
      <c r="L14" s="214">
        <v>484259.042458451</v>
      </c>
      <c r="M14" s="214"/>
      <c r="N14" s="214"/>
      <c r="O14" s="214"/>
      <c r="P14" s="214"/>
      <c r="Q14" s="214">
        <v>221445.08976743236</v>
      </c>
      <c r="R14" s="214">
        <v>530494.83043187088</v>
      </c>
      <c r="S14" s="214"/>
      <c r="T14" s="214"/>
      <c r="U14" s="214">
        <v>846844.95867106004</v>
      </c>
      <c r="V14" s="214">
        <v>107607.71285182264</v>
      </c>
      <c r="W14" s="214"/>
      <c r="X14" s="214"/>
      <c r="Y14" s="214"/>
      <c r="Z14" s="214"/>
      <c r="AA14" s="214"/>
      <c r="AB14" s="214">
        <v>218476.26548703379</v>
      </c>
      <c r="AC14" s="214"/>
      <c r="AD14" s="214"/>
      <c r="AE14" s="214"/>
      <c r="AF14" s="214"/>
      <c r="AG14" s="214"/>
      <c r="AH14" s="214"/>
      <c r="AI14" s="214"/>
      <c r="AJ14" s="214"/>
      <c r="AK14" s="214">
        <v>3083197.0190696353</v>
      </c>
    </row>
    <row r="15" spans="1:37" x14ac:dyDescent="0.25">
      <c r="A15" s="77">
        <v>2030</v>
      </c>
      <c r="B15" s="214">
        <v>60789.12467762841</v>
      </c>
      <c r="C15" s="214">
        <v>0</v>
      </c>
      <c r="D15" s="214"/>
      <c r="E15" s="214"/>
      <c r="F15" s="214">
        <v>93716.56721134379</v>
      </c>
      <c r="G15" s="214"/>
      <c r="H15" s="214">
        <v>65854.885067430776</v>
      </c>
      <c r="I15" s="214">
        <v>481247.23703122488</v>
      </c>
      <c r="J15" s="214"/>
      <c r="K15" s="214"/>
      <c r="L15" s="214">
        <v>504043.1587853356</v>
      </c>
      <c r="M15" s="214"/>
      <c r="N15" s="214"/>
      <c r="O15" s="214"/>
      <c r="P15" s="214"/>
      <c r="Q15" s="214">
        <v>230492.09773600774</v>
      </c>
      <c r="R15" s="214">
        <v>552167.88248845807</v>
      </c>
      <c r="S15" s="214"/>
      <c r="T15" s="214"/>
      <c r="U15" s="214">
        <v>881442.3078256119</v>
      </c>
      <c r="V15" s="214">
        <v>112003.96221853035</v>
      </c>
      <c r="W15" s="214"/>
      <c r="X15" s="214"/>
      <c r="Y15" s="214"/>
      <c r="Z15" s="214"/>
      <c r="AA15" s="214"/>
      <c r="AB15" s="214">
        <v>227401.98389822827</v>
      </c>
      <c r="AC15" s="214"/>
      <c r="AD15" s="214"/>
      <c r="AE15" s="214"/>
      <c r="AF15" s="214"/>
      <c r="AG15" s="214"/>
      <c r="AH15" s="214"/>
      <c r="AI15" s="214"/>
      <c r="AJ15" s="214"/>
      <c r="AK15" s="214">
        <v>3209159.2069397997</v>
      </c>
    </row>
    <row r="16" spans="1:37" x14ac:dyDescent="0.25">
      <c r="A16" s="77">
        <v>2050</v>
      </c>
      <c r="B16" s="214">
        <v>63381.970906546776</v>
      </c>
      <c r="C16" s="214">
        <v>0</v>
      </c>
      <c r="D16" s="214"/>
      <c r="E16" s="214"/>
      <c r="F16" s="214">
        <v>97713.871814259604</v>
      </c>
      <c r="G16" s="214"/>
      <c r="H16" s="214">
        <v>68663.801815425672</v>
      </c>
      <c r="I16" s="214">
        <v>501773.93634349527</v>
      </c>
      <c r="J16" s="214"/>
      <c r="K16" s="214"/>
      <c r="L16" s="214">
        <v>525542.17543345026</v>
      </c>
      <c r="M16" s="214"/>
      <c r="N16" s="214"/>
      <c r="O16" s="214"/>
      <c r="P16" s="214"/>
      <c r="Q16" s="214">
        <v>240323.30635398987</v>
      </c>
      <c r="R16" s="214">
        <v>575719.56906779984</v>
      </c>
      <c r="S16" s="214"/>
      <c r="T16" s="214"/>
      <c r="U16" s="214">
        <v>919038.57814492821</v>
      </c>
      <c r="V16" s="214">
        <v>116781.28139531243</v>
      </c>
      <c r="W16" s="214"/>
      <c r="X16" s="214"/>
      <c r="Y16" s="214"/>
      <c r="Z16" s="214"/>
      <c r="AA16" s="214"/>
      <c r="AB16" s="214">
        <v>237101.38949957371</v>
      </c>
      <c r="AC16" s="214"/>
      <c r="AD16" s="214"/>
      <c r="AE16" s="214"/>
      <c r="AF16" s="214"/>
      <c r="AG16" s="214"/>
      <c r="AH16" s="214"/>
      <c r="AI16" s="214"/>
      <c r="AJ16" s="214"/>
      <c r="AK16" s="214">
        <v>3346039.8807747816</v>
      </c>
    </row>
    <row r="17" spans="1:37" x14ac:dyDescent="0.25">
      <c r="A17" s="76" t="s">
        <v>120</v>
      </c>
      <c r="B17" s="214"/>
      <c r="C17" s="214"/>
      <c r="D17" s="214">
        <v>733771.78685234336</v>
      </c>
      <c r="E17" s="214"/>
      <c r="F17" s="214"/>
      <c r="G17" s="214"/>
      <c r="H17" s="214"/>
      <c r="I17" s="214"/>
      <c r="J17" s="214"/>
      <c r="K17" s="214"/>
      <c r="L17" s="214"/>
      <c r="M17" s="214">
        <v>4522424.9113212153</v>
      </c>
      <c r="N17" s="214">
        <v>2948349</v>
      </c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>
        <v>3132682.0644123512</v>
      </c>
      <c r="AD17" s="214">
        <v>8839771.3685736749</v>
      </c>
      <c r="AE17" s="214"/>
      <c r="AF17" s="214"/>
      <c r="AG17" s="214"/>
      <c r="AH17" s="214"/>
      <c r="AI17" s="214">
        <v>697610.26249163505</v>
      </c>
      <c r="AJ17" s="214"/>
      <c r="AK17" s="214">
        <v>20874609.393651221</v>
      </c>
    </row>
    <row r="18" spans="1:37" x14ac:dyDescent="0.25">
      <c r="A18" s="77">
        <v>2019</v>
      </c>
      <c r="B18" s="214"/>
      <c r="C18" s="214"/>
      <c r="D18" s="214">
        <v>0</v>
      </c>
      <c r="E18" s="214"/>
      <c r="F18" s="214"/>
      <c r="G18" s="214"/>
      <c r="H18" s="214"/>
      <c r="I18" s="214"/>
      <c r="J18" s="214"/>
      <c r="K18" s="214"/>
      <c r="L18" s="214"/>
      <c r="M18" s="214">
        <v>1895494.5192748301</v>
      </c>
      <c r="N18" s="214">
        <v>982731</v>
      </c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>
        <v>209867.13867694439</v>
      </c>
      <c r="AD18" s="214">
        <v>3010292.0648196544</v>
      </c>
      <c r="AE18" s="214"/>
      <c r="AF18" s="214"/>
      <c r="AG18" s="214"/>
      <c r="AH18" s="214"/>
      <c r="AI18" s="214">
        <v>112873.31802427149</v>
      </c>
      <c r="AJ18" s="214"/>
      <c r="AK18" s="214">
        <v>6211258.0407956997</v>
      </c>
    </row>
    <row r="19" spans="1:37" x14ac:dyDescent="0.25">
      <c r="A19" s="77">
        <v>2030</v>
      </c>
      <c r="B19" s="214"/>
      <c r="C19" s="214"/>
      <c r="D19" s="214">
        <v>363994.97174274386</v>
      </c>
      <c r="E19" s="214"/>
      <c r="F19" s="214"/>
      <c r="G19" s="214"/>
      <c r="H19" s="214"/>
      <c r="I19" s="214"/>
      <c r="J19" s="214"/>
      <c r="K19" s="214"/>
      <c r="L19" s="214"/>
      <c r="M19" s="214">
        <v>1764218.4658457276</v>
      </c>
      <c r="N19" s="214">
        <v>982809</v>
      </c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>
        <v>1169185.1597315338</v>
      </c>
      <c r="AD19" s="214">
        <v>2874839.9680931582</v>
      </c>
      <c r="AE19" s="214"/>
      <c r="AF19" s="214"/>
      <c r="AG19" s="214"/>
      <c r="AH19" s="214"/>
      <c r="AI19" s="214">
        <v>307848.95572657138</v>
      </c>
      <c r="AJ19" s="214"/>
      <c r="AK19" s="214">
        <v>7462896.5211397354</v>
      </c>
    </row>
    <row r="20" spans="1:37" x14ac:dyDescent="0.25">
      <c r="A20" s="77">
        <v>2050</v>
      </c>
      <c r="B20" s="214"/>
      <c r="C20" s="214"/>
      <c r="D20" s="214">
        <v>369776.8151095995</v>
      </c>
      <c r="E20" s="214"/>
      <c r="F20" s="214"/>
      <c r="G20" s="214"/>
      <c r="H20" s="214"/>
      <c r="I20" s="214"/>
      <c r="J20" s="214"/>
      <c r="K20" s="214"/>
      <c r="L20" s="214"/>
      <c r="M20" s="214">
        <v>862711.9262006575</v>
      </c>
      <c r="N20" s="214">
        <v>982809</v>
      </c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>
        <v>1753629.766003873</v>
      </c>
      <c r="AD20" s="214">
        <v>2954639.3356608618</v>
      </c>
      <c r="AE20" s="214"/>
      <c r="AF20" s="214"/>
      <c r="AG20" s="214"/>
      <c r="AH20" s="214"/>
      <c r="AI20" s="214">
        <v>276887.98874079209</v>
      </c>
      <c r="AJ20" s="214"/>
      <c r="AK20" s="214">
        <v>7200454.831715784</v>
      </c>
    </row>
    <row r="21" spans="1:37" x14ac:dyDescent="0.25">
      <c r="A21" s="76" t="s">
        <v>164</v>
      </c>
      <c r="B21" s="214"/>
      <c r="C21" s="214"/>
      <c r="D21" s="214">
        <v>0</v>
      </c>
      <c r="E21" s="214"/>
      <c r="F21" s="214"/>
      <c r="G21" s="214"/>
      <c r="H21" s="214"/>
      <c r="I21" s="214"/>
      <c r="J21" s="214"/>
      <c r="K21" s="214"/>
      <c r="L21" s="214"/>
      <c r="M21" s="214">
        <v>0</v>
      </c>
      <c r="N21" s="214">
        <v>0</v>
      </c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>
        <v>0</v>
      </c>
      <c r="AD21" s="214"/>
      <c r="AE21" s="214"/>
      <c r="AF21" s="214"/>
      <c r="AG21" s="214"/>
      <c r="AH21" s="214"/>
      <c r="AI21" s="214">
        <v>104190.75509932752</v>
      </c>
      <c r="AJ21" s="214">
        <v>2479692.6344197881</v>
      </c>
      <c r="AK21" s="214">
        <v>2583883.3895191159</v>
      </c>
    </row>
    <row r="22" spans="1:37" x14ac:dyDescent="0.25">
      <c r="A22" s="77">
        <v>2019</v>
      </c>
      <c r="B22" s="214"/>
      <c r="C22" s="214"/>
      <c r="D22" s="214">
        <v>0</v>
      </c>
      <c r="E22" s="214"/>
      <c r="F22" s="214"/>
      <c r="G22" s="214"/>
      <c r="H22" s="214"/>
      <c r="I22" s="214"/>
      <c r="J22" s="214"/>
      <c r="K22" s="214"/>
      <c r="L22" s="214"/>
      <c r="M22" s="214">
        <v>0</v>
      </c>
      <c r="N22" s="214">
        <v>0</v>
      </c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>
        <v>0</v>
      </c>
      <c r="AD22" s="214"/>
      <c r="AE22" s="214"/>
      <c r="AF22" s="214"/>
      <c r="AG22" s="214"/>
      <c r="AH22" s="214"/>
      <c r="AI22" s="214">
        <v>104190.75509932752</v>
      </c>
      <c r="AJ22" s="214">
        <v>827707.93518034508</v>
      </c>
      <c r="AK22" s="214">
        <v>931898.69027967262</v>
      </c>
    </row>
    <row r="23" spans="1:37" x14ac:dyDescent="0.25">
      <c r="A23" s="77">
        <v>2030</v>
      </c>
      <c r="B23" s="214"/>
      <c r="C23" s="214"/>
      <c r="D23" s="214">
        <v>0</v>
      </c>
      <c r="E23" s="214"/>
      <c r="F23" s="214"/>
      <c r="G23" s="214"/>
      <c r="H23" s="214"/>
      <c r="I23" s="214"/>
      <c r="J23" s="214"/>
      <c r="K23" s="214"/>
      <c r="L23" s="214"/>
      <c r="M23" s="214">
        <v>0</v>
      </c>
      <c r="N23" s="214">
        <v>0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>
        <v>0</v>
      </c>
      <c r="AD23" s="214"/>
      <c r="AE23" s="214"/>
      <c r="AF23" s="214"/>
      <c r="AG23" s="214"/>
      <c r="AH23" s="214"/>
      <c r="AI23" s="214">
        <v>0</v>
      </c>
      <c r="AJ23" s="214">
        <v>792057.93807476689</v>
      </c>
      <c r="AK23" s="214">
        <v>792057.93807476689</v>
      </c>
    </row>
    <row r="24" spans="1:37" x14ac:dyDescent="0.25">
      <c r="A24" s="77">
        <v>2050</v>
      </c>
      <c r="B24" s="214"/>
      <c r="C24" s="214"/>
      <c r="D24" s="214">
        <v>0</v>
      </c>
      <c r="E24" s="214"/>
      <c r="F24" s="214"/>
      <c r="G24" s="214"/>
      <c r="H24" s="214"/>
      <c r="I24" s="214"/>
      <c r="J24" s="214"/>
      <c r="K24" s="214"/>
      <c r="L24" s="214"/>
      <c r="M24" s="214">
        <v>0</v>
      </c>
      <c r="N24" s="214">
        <v>0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>
        <v>0</v>
      </c>
      <c r="AD24" s="214"/>
      <c r="AE24" s="214"/>
      <c r="AF24" s="214"/>
      <c r="AG24" s="214"/>
      <c r="AH24" s="214"/>
      <c r="AI24" s="214">
        <v>0</v>
      </c>
      <c r="AJ24" s="214">
        <v>859926.76116467617</v>
      </c>
      <c r="AK24" s="214">
        <v>859926.76116467617</v>
      </c>
    </row>
    <row r="25" spans="1:37" x14ac:dyDescent="0.25">
      <c r="A25" s="76" t="s">
        <v>114</v>
      </c>
      <c r="B25" s="214"/>
      <c r="C25" s="214"/>
      <c r="D25" s="214"/>
      <c r="E25" s="214">
        <v>1038898.908411204</v>
      </c>
      <c r="F25" s="214"/>
      <c r="G25" s="214">
        <v>6798.4418294908473</v>
      </c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>
        <v>12375250.680696171</v>
      </c>
      <c r="T25" s="214"/>
      <c r="U25" s="214"/>
      <c r="V25" s="214"/>
      <c r="W25" s="214"/>
      <c r="X25" s="214"/>
      <c r="Y25" s="214"/>
      <c r="Z25" s="214"/>
      <c r="AA25" s="214">
        <v>17746668.56989247</v>
      </c>
      <c r="AB25" s="214"/>
      <c r="AC25" s="214"/>
      <c r="AD25" s="214"/>
      <c r="AE25" s="214"/>
      <c r="AF25" s="214"/>
      <c r="AG25" s="214"/>
      <c r="AH25" s="214"/>
      <c r="AI25" s="214"/>
      <c r="AJ25" s="214"/>
      <c r="AK25" s="214">
        <v>31167616.600829337</v>
      </c>
    </row>
    <row r="26" spans="1:37" x14ac:dyDescent="0.25">
      <c r="A26" s="77">
        <v>2019</v>
      </c>
      <c r="B26" s="214"/>
      <c r="C26" s="214"/>
      <c r="D26" s="214"/>
      <c r="E26" s="214">
        <v>823764.99285714305</v>
      </c>
      <c r="F26" s="214"/>
      <c r="G26" s="214">
        <v>4441.5</v>
      </c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>
        <v>9696490.333333334</v>
      </c>
      <c r="T26" s="214"/>
      <c r="U26" s="214"/>
      <c r="V26" s="214"/>
      <c r="W26" s="214"/>
      <c r="X26" s="214"/>
      <c r="Y26" s="214"/>
      <c r="Z26" s="214"/>
      <c r="AA26" s="214">
        <v>14742130.666666664</v>
      </c>
      <c r="AB26" s="214"/>
      <c r="AC26" s="214"/>
      <c r="AD26" s="214"/>
      <c r="AE26" s="214"/>
      <c r="AF26" s="214"/>
      <c r="AG26" s="214"/>
      <c r="AH26" s="214"/>
      <c r="AI26" s="214"/>
      <c r="AJ26" s="214"/>
      <c r="AK26" s="214">
        <v>25266827.492857143</v>
      </c>
    </row>
    <row r="27" spans="1:37" x14ac:dyDescent="0.25">
      <c r="A27" s="77">
        <v>2030</v>
      </c>
      <c r="B27" s="214"/>
      <c r="C27" s="214"/>
      <c r="D27" s="214"/>
      <c r="E27" s="214">
        <v>190236.74542315846</v>
      </c>
      <c r="F27" s="214"/>
      <c r="G27" s="214">
        <v>1747.9451612903224</v>
      </c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>
        <v>2605129.5547613851</v>
      </c>
      <c r="T27" s="214"/>
      <c r="U27" s="214"/>
      <c r="V27" s="214"/>
      <c r="W27" s="214"/>
      <c r="X27" s="214"/>
      <c r="Y27" s="214"/>
      <c r="Z27" s="214"/>
      <c r="AA27" s="214">
        <v>3004537.9032258061</v>
      </c>
      <c r="AB27" s="214"/>
      <c r="AC27" s="214"/>
      <c r="AD27" s="214"/>
      <c r="AE27" s="214"/>
      <c r="AF27" s="214"/>
      <c r="AG27" s="214"/>
      <c r="AH27" s="214"/>
      <c r="AI27" s="214"/>
      <c r="AJ27" s="214"/>
      <c r="AK27" s="214">
        <v>5801652.1485716403</v>
      </c>
    </row>
    <row r="28" spans="1:37" x14ac:dyDescent="0.25">
      <c r="A28" s="77">
        <v>2050</v>
      </c>
      <c r="B28" s="214"/>
      <c r="C28" s="214"/>
      <c r="D28" s="214"/>
      <c r="E28" s="214">
        <v>24897.170130902599</v>
      </c>
      <c r="F28" s="214"/>
      <c r="G28" s="214">
        <v>608.99666820052505</v>
      </c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>
        <v>73630.792601451278</v>
      </c>
      <c r="T28" s="214"/>
      <c r="U28" s="214"/>
      <c r="V28" s="214"/>
      <c r="W28" s="214"/>
      <c r="X28" s="214"/>
      <c r="Y28" s="214"/>
      <c r="Z28" s="214"/>
      <c r="AA28" s="214">
        <v>0</v>
      </c>
      <c r="AB28" s="214"/>
      <c r="AC28" s="214"/>
      <c r="AD28" s="214"/>
      <c r="AE28" s="214"/>
      <c r="AF28" s="214"/>
      <c r="AG28" s="214"/>
      <c r="AH28" s="214"/>
      <c r="AI28" s="214"/>
      <c r="AJ28" s="214"/>
      <c r="AK28" s="214">
        <v>99136.959400554406</v>
      </c>
    </row>
    <row r="29" spans="1:37" x14ac:dyDescent="0.25">
      <c r="A29" s="76" t="s">
        <v>209</v>
      </c>
      <c r="B29" s="214"/>
      <c r="C29" s="214"/>
      <c r="D29" s="214"/>
      <c r="E29" s="214"/>
      <c r="F29" s="214"/>
      <c r="G29" s="214"/>
      <c r="H29" s="214"/>
      <c r="I29" s="214"/>
      <c r="J29" s="214"/>
      <c r="K29" s="214">
        <v>22802471.556735486</v>
      </c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>
        <v>22802471.556735486</v>
      </c>
    </row>
    <row r="30" spans="1:37" x14ac:dyDescent="0.25">
      <c r="A30" s="77">
        <v>2019</v>
      </c>
      <c r="B30" s="214"/>
      <c r="C30" s="214"/>
      <c r="D30" s="214"/>
      <c r="E30" s="214"/>
      <c r="F30" s="214"/>
      <c r="G30" s="214"/>
      <c r="H30" s="214"/>
      <c r="I30" s="214"/>
      <c r="J30" s="214"/>
      <c r="K30" s="214">
        <v>0</v>
      </c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>
        <v>0</v>
      </c>
    </row>
    <row r="31" spans="1:37" x14ac:dyDescent="0.25">
      <c r="A31" s="77">
        <v>2030</v>
      </c>
      <c r="B31" s="214"/>
      <c r="C31" s="214"/>
      <c r="D31" s="214"/>
      <c r="E31" s="214"/>
      <c r="F31" s="214"/>
      <c r="G31" s="214"/>
      <c r="H31" s="214"/>
      <c r="I31" s="214"/>
      <c r="J31" s="214"/>
      <c r="K31" s="214">
        <v>16009895.94584495</v>
      </c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>
        <v>16009895.94584495</v>
      </c>
    </row>
    <row r="32" spans="1:37" x14ac:dyDescent="0.25">
      <c r="A32" s="77">
        <v>2050</v>
      </c>
      <c r="B32" s="214"/>
      <c r="C32" s="214"/>
      <c r="D32" s="214"/>
      <c r="E32" s="214"/>
      <c r="F32" s="214"/>
      <c r="G32" s="214"/>
      <c r="H32" s="214"/>
      <c r="I32" s="214"/>
      <c r="J32" s="214"/>
      <c r="K32" s="214">
        <v>6792575.6108905366</v>
      </c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>
        <v>6792575.6108905366</v>
      </c>
    </row>
    <row r="33" spans="1:37" x14ac:dyDescent="0.25">
      <c r="A33" s="76" t="s">
        <v>237</v>
      </c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>
        <v>2505628.1799717578</v>
      </c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>
        <v>2505628.1799717578</v>
      </c>
    </row>
    <row r="34" spans="1:37" x14ac:dyDescent="0.25">
      <c r="A34" s="77">
        <v>2019</v>
      </c>
      <c r="B34" s="214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>
        <v>678325.22851124685</v>
      </c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>
        <v>678325.22851124685</v>
      </c>
    </row>
    <row r="35" spans="1:37" x14ac:dyDescent="0.25">
      <c r="A35" s="77">
        <v>2030</v>
      </c>
      <c r="B35" s="214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>
        <v>962027.98664553557</v>
      </c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>
        <v>962027.98664553557</v>
      </c>
    </row>
    <row r="36" spans="1:37" x14ac:dyDescent="0.25">
      <c r="A36" s="77">
        <v>2050</v>
      </c>
      <c r="B36" s="214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>
        <v>865274.96481497539</v>
      </c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>
        <v>865274.96481497539</v>
      </c>
    </row>
    <row r="37" spans="1:37" x14ac:dyDescent="0.25">
      <c r="A37" s="76" t="s">
        <v>61</v>
      </c>
      <c r="B37" s="214">
        <v>182574.19618217932</v>
      </c>
      <c r="C37" s="214">
        <v>526909.50204955554</v>
      </c>
      <c r="D37" s="214">
        <v>1462905.7868523435</v>
      </c>
      <c r="E37" s="214">
        <v>3895417.3695935407</v>
      </c>
      <c r="F37" s="214">
        <v>281468.55244752642</v>
      </c>
      <c r="G37" s="214">
        <v>21964.74732716654</v>
      </c>
      <c r="H37" s="214">
        <v>197788.71253069426</v>
      </c>
      <c r="I37" s="214">
        <v>1445379.0531089196</v>
      </c>
      <c r="J37" s="214">
        <v>142742</v>
      </c>
      <c r="K37" s="214">
        <v>50725947.816346899</v>
      </c>
      <c r="L37" s="214">
        <v>1513844.376677237</v>
      </c>
      <c r="M37" s="214">
        <v>6165131.8761705738</v>
      </c>
      <c r="N37" s="214">
        <v>2948427</v>
      </c>
      <c r="O37" s="214">
        <v>7868405.1478264835</v>
      </c>
      <c r="P37" s="214">
        <v>995654</v>
      </c>
      <c r="Q37" s="214">
        <v>692260.49385742994</v>
      </c>
      <c r="R37" s="214">
        <v>11242936.924879631</v>
      </c>
      <c r="S37" s="214">
        <v>25206826.145060051</v>
      </c>
      <c r="T37" s="214">
        <v>2470007.7013214119</v>
      </c>
      <c r="U37" s="214">
        <v>2647325.8446415998</v>
      </c>
      <c r="V37" s="214">
        <v>336392.95646566537</v>
      </c>
      <c r="W37" s="214">
        <v>2505628.1799717578</v>
      </c>
      <c r="X37" s="214">
        <v>1733395.6535267066</v>
      </c>
      <c r="Y37" s="214">
        <v>79881.819760569851</v>
      </c>
      <c r="Z37" s="214">
        <v>8258401.5311287995</v>
      </c>
      <c r="AA37" s="214">
        <v>29675151.612903222</v>
      </c>
      <c r="AB37" s="214">
        <v>682979.63888483576</v>
      </c>
      <c r="AC37" s="214">
        <v>3132682.0644123512</v>
      </c>
      <c r="AD37" s="214">
        <v>8839771.3685736749</v>
      </c>
      <c r="AE37" s="214">
        <v>7845018.1748280004</v>
      </c>
      <c r="AF37" s="214">
        <v>3811920.9070122996</v>
      </c>
      <c r="AG37" s="214">
        <v>8854739.7114868872</v>
      </c>
      <c r="AH37" s="214">
        <v>494740.76867413399</v>
      </c>
      <c r="AI37" s="214">
        <v>801801.01759096258</v>
      </c>
      <c r="AJ37" s="214">
        <v>2479692.6344197881</v>
      </c>
      <c r="AK37" s="214">
        <v>200166115.28651294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Q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9" bestFit="1" customWidth="1"/>
    <col min="4" max="4" width="11.140625" bestFit="1" customWidth="1"/>
    <col min="5" max="5" width="8.85546875" bestFit="1" customWidth="1"/>
    <col min="6" max="6" width="10.85546875" bestFit="1" customWidth="1"/>
    <col min="7" max="7" width="13.140625" bestFit="1" customWidth="1"/>
    <col min="8" max="8" width="6.7109375" bestFit="1" customWidth="1"/>
    <col min="9" max="9" width="13.28515625" bestFit="1" customWidth="1"/>
    <col min="10" max="10" width="13.85546875" bestFit="1" customWidth="1"/>
    <col min="11" max="11" width="16" bestFit="1" customWidth="1"/>
    <col min="12" max="12" width="8.7109375" bestFit="1" customWidth="1"/>
    <col min="13" max="13" width="9.140625" bestFit="1" customWidth="1"/>
    <col min="14" max="14" width="8.42578125" bestFit="1" customWidth="1"/>
    <col min="15" max="15" width="7.7109375" bestFit="1" customWidth="1"/>
    <col min="16" max="16" width="14.57031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7" x14ac:dyDescent="0.25">
      <c r="A2" s="75" t="s">
        <v>278</v>
      </c>
      <c r="B2" s="76">
        <v>1</v>
      </c>
    </row>
    <row r="4" spans="1:17" x14ac:dyDescent="0.25">
      <c r="A4" s="75" t="s">
        <v>305</v>
      </c>
      <c r="B4" s="75" t="s">
        <v>62</v>
      </c>
    </row>
    <row r="5" spans="1:17" x14ac:dyDescent="0.25">
      <c r="A5" s="75" t="s">
        <v>60</v>
      </c>
      <c r="B5" t="s">
        <v>15</v>
      </c>
      <c r="C5" t="s">
        <v>102</v>
      </c>
      <c r="D5" t="s">
        <v>96</v>
      </c>
      <c r="E5" t="s">
        <v>51</v>
      </c>
      <c r="F5" t="s">
        <v>6</v>
      </c>
      <c r="G5" t="s">
        <v>103</v>
      </c>
      <c r="H5" t="s">
        <v>48</v>
      </c>
      <c r="I5" t="s">
        <v>115</v>
      </c>
      <c r="J5" t="s">
        <v>108</v>
      </c>
      <c r="K5" t="s">
        <v>116</v>
      </c>
      <c r="L5" t="s">
        <v>14</v>
      </c>
      <c r="M5" t="s">
        <v>13</v>
      </c>
      <c r="N5" t="s">
        <v>158</v>
      </c>
      <c r="O5" t="s">
        <v>54</v>
      </c>
      <c r="P5" t="s">
        <v>159</v>
      </c>
      <c r="Q5" t="s">
        <v>61</v>
      </c>
    </row>
    <row r="6" spans="1:17" x14ac:dyDescent="0.25">
      <c r="A6" s="76">
        <v>2019</v>
      </c>
      <c r="B6" s="74">
        <v>0</v>
      </c>
      <c r="C6" s="74">
        <v>370459.67448149773</v>
      </c>
      <c r="D6" s="74">
        <v>0</v>
      </c>
      <c r="E6" s="74">
        <v>0</v>
      </c>
      <c r="F6" s="74">
        <v>203936.60569913458</v>
      </c>
      <c r="G6" s="74">
        <v>282332.03034110228</v>
      </c>
      <c r="H6" s="74">
        <v>0</v>
      </c>
      <c r="I6" s="74">
        <v>944817.29105430027</v>
      </c>
      <c r="J6" s="74">
        <v>0</v>
      </c>
      <c r="K6" s="74">
        <v>0</v>
      </c>
      <c r="L6" s="74">
        <v>0</v>
      </c>
      <c r="M6" s="74">
        <v>0</v>
      </c>
      <c r="N6" s="74">
        <v>142742</v>
      </c>
      <c r="O6" s="74">
        <v>420628.93071698514</v>
      </c>
      <c r="P6" s="74">
        <v>5421074.2654714445</v>
      </c>
      <c r="Q6" s="74">
        <v>7785990.7977644643</v>
      </c>
    </row>
    <row r="7" spans="1:17" x14ac:dyDescent="0.25">
      <c r="A7" s="76">
        <v>2030</v>
      </c>
      <c r="B7" s="74">
        <v>0</v>
      </c>
      <c r="C7" s="74">
        <v>0</v>
      </c>
      <c r="D7" s="74">
        <v>0</v>
      </c>
      <c r="E7" s="74">
        <v>2099837.9038328696</v>
      </c>
      <c r="F7" s="74">
        <v>0</v>
      </c>
      <c r="G7" s="74">
        <v>0</v>
      </c>
      <c r="H7" s="74">
        <v>0</v>
      </c>
      <c r="I7" s="74">
        <v>1496936.4422776406</v>
      </c>
      <c r="J7" s="74">
        <v>11409.505771004668</v>
      </c>
      <c r="K7" s="74">
        <v>0</v>
      </c>
      <c r="L7" s="74">
        <v>17801.365903181948</v>
      </c>
      <c r="M7" s="74">
        <v>0</v>
      </c>
      <c r="N7" s="74">
        <v>0</v>
      </c>
      <c r="O7" s="74">
        <v>0</v>
      </c>
      <c r="P7" s="74">
        <v>2447330.882355039</v>
      </c>
      <c r="Q7" s="74">
        <v>6073316.1001397353</v>
      </c>
    </row>
    <row r="8" spans="1:17" x14ac:dyDescent="0.25">
      <c r="A8" s="76">
        <v>2050</v>
      </c>
      <c r="B8" s="74">
        <v>21164.342117856617</v>
      </c>
      <c r="C8" s="74">
        <v>0</v>
      </c>
      <c r="D8" s="74">
        <v>62158.462761111325</v>
      </c>
      <c r="E8" s="74">
        <v>0</v>
      </c>
      <c r="F8" s="74">
        <v>0</v>
      </c>
      <c r="G8" s="74">
        <v>0</v>
      </c>
      <c r="H8" s="74">
        <v>15948.642449825478</v>
      </c>
      <c r="I8" s="74">
        <v>0</v>
      </c>
      <c r="J8" s="74">
        <v>0</v>
      </c>
      <c r="K8" s="74">
        <v>919038.57814492821</v>
      </c>
      <c r="L8" s="74">
        <v>112587.91762055759</v>
      </c>
      <c r="M8" s="74">
        <v>181033.58717250626</v>
      </c>
      <c r="N8" s="74">
        <v>0</v>
      </c>
      <c r="O8" s="74">
        <v>0</v>
      </c>
      <c r="P8" s="74">
        <v>0</v>
      </c>
      <c r="Q8" s="74">
        <v>1311931.5302667855</v>
      </c>
    </row>
    <row r="9" spans="1:17" x14ac:dyDescent="0.25">
      <c r="A9" s="76" t="s">
        <v>61</v>
      </c>
      <c r="B9" s="74">
        <v>21164.342117856617</v>
      </c>
      <c r="C9" s="74">
        <v>370459.67448149773</v>
      </c>
      <c r="D9" s="74">
        <v>62158.462761111325</v>
      </c>
      <c r="E9" s="74">
        <v>2099837.9038328696</v>
      </c>
      <c r="F9" s="74">
        <v>203936.60569913458</v>
      </c>
      <c r="G9" s="74">
        <v>282332.03034110228</v>
      </c>
      <c r="H9" s="74">
        <v>15948.642449825478</v>
      </c>
      <c r="I9" s="74">
        <v>2441753.7333319411</v>
      </c>
      <c r="J9" s="74">
        <v>11409.505771004668</v>
      </c>
      <c r="K9" s="74">
        <v>919038.57814492821</v>
      </c>
      <c r="L9" s="74">
        <v>130389.28352373955</v>
      </c>
      <c r="M9" s="74">
        <v>181033.58717250626</v>
      </c>
      <c r="N9" s="74">
        <v>142742</v>
      </c>
      <c r="O9" s="74">
        <v>420628.93071698514</v>
      </c>
      <c r="P9" s="74">
        <v>7868405.1478264835</v>
      </c>
      <c r="Q9" s="74">
        <v>15171238.428170985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E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bestFit="1" customWidth="1"/>
    <col min="2" max="2" width="16.28515625" bestFit="1" customWidth="1"/>
    <col min="3" max="3" width="9.85546875" bestFit="1" customWidth="1"/>
    <col min="4" max="4" width="11" bestFit="1" customWidth="1"/>
    <col min="5" max="5" width="11.5703125" bestFit="1" customWidth="1"/>
    <col min="6" max="6" width="11.140625" bestFit="1" customWidth="1"/>
    <col min="7" max="7" width="9.85546875" bestFit="1" customWidth="1"/>
    <col min="8" max="8" width="11" bestFit="1" customWidth="1"/>
    <col min="9" max="9" width="10.85546875" bestFit="1" customWidth="1"/>
    <col min="10" max="10" width="13.140625" bestFit="1" customWidth="1"/>
    <col min="11" max="12" width="9.85546875" bestFit="1" customWidth="1"/>
    <col min="13" max="13" width="13.85546875" bestFit="1" customWidth="1"/>
    <col min="14" max="14" width="9.85546875" bestFit="1" customWidth="1"/>
    <col min="15" max="15" width="16" bestFit="1" customWidth="1"/>
    <col min="16" max="16" width="10" bestFit="1" customWidth="1"/>
    <col min="17" max="17" width="8.7109375" bestFit="1" customWidth="1"/>
    <col min="18" max="19" width="9.85546875" bestFit="1" customWidth="1"/>
    <col min="20" max="20" width="21" bestFit="1" customWidth="1"/>
    <col min="21" max="21" width="20.7109375" bestFit="1" customWidth="1"/>
    <col min="22" max="22" width="9.85546875" bestFit="1" customWidth="1"/>
    <col min="23" max="23" width="5.140625" bestFit="1" customWidth="1"/>
    <col min="24" max="24" width="16" bestFit="1" customWidth="1"/>
    <col min="25" max="25" width="9.85546875" bestFit="1" customWidth="1"/>
    <col min="26" max="26" width="12.5703125" bestFit="1" customWidth="1"/>
    <col min="27" max="29" width="9.85546875" bestFit="1" customWidth="1"/>
    <col min="30" max="30" width="9.28515625" bestFit="1" customWidth="1"/>
    <col min="31" max="31" width="12" bestFit="1" customWidth="1"/>
    <col min="32" max="32" width="10.140625" bestFit="1" customWidth="1"/>
    <col min="33" max="33" width="12.140625" bestFit="1" customWidth="1"/>
    <col min="34" max="34" width="8.8554687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10.42578125" bestFit="1" customWidth="1"/>
    <col min="40" max="40" width="12.28515625" bestFit="1" customWidth="1"/>
    <col min="41" max="41" width="14.5703125" bestFit="1" customWidth="1"/>
    <col min="42" max="43" width="9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2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31" x14ac:dyDescent="0.25">
      <c r="A2" s="75" t="s">
        <v>300</v>
      </c>
      <c r="B2" s="76">
        <v>1</v>
      </c>
    </row>
    <row r="4" spans="1:31" x14ac:dyDescent="0.25">
      <c r="A4" s="75" t="s">
        <v>252</v>
      </c>
      <c r="B4" s="75" t="s">
        <v>62</v>
      </c>
    </row>
    <row r="5" spans="1:31" x14ac:dyDescent="0.25">
      <c r="A5" s="75" t="s">
        <v>60</v>
      </c>
      <c r="B5" t="s">
        <v>15</v>
      </c>
      <c r="C5" t="s">
        <v>49</v>
      </c>
      <c r="D5" t="s">
        <v>110</v>
      </c>
      <c r="E5" t="s">
        <v>101</v>
      </c>
      <c r="F5" t="s">
        <v>96</v>
      </c>
      <c r="G5" t="s">
        <v>113</v>
      </c>
      <c r="H5" t="s">
        <v>51</v>
      </c>
      <c r="I5" t="s">
        <v>6</v>
      </c>
      <c r="J5" t="s">
        <v>103</v>
      </c>
      <c r="K5" t="s">
        <v>12</v>
      </c>
      <c r="L5" t="s">
        <v>48</v>
      </c>
      <c r="M5" t="s">
        <v>108</v>
      </c>
      <c r="N5" t="s">
        <v>53</v>
      </c>
      <c r="O5" t="s">
        <v>116</v>
      </c>
      <c r="P5" t="s">
        <v>106</v>
      </c>
      <c r="Q5" t="s">
        <v>14</v>
      </c>
      <c r="R5" t="s">
        <v>117</v>
      </c>
      <c r="S5" t="s">
        <v>52</v>
      </c>
      <c r="T5" t="s">
        <v>121</v>
      </c>
      <c r="U5" t="s">
        <v>107</v>
      </c>
      <c r="V5" t="s">
        <v>13</v>
      </c>
      <c r="W5" t="s">
        <v>99</v>
      </c>
      <c r="X5" t="s">
        <v>140</v>
      </c>
      <c r="Y5" t="s">
        <v>208</v>
      </c>
      <c r="Z5" t="s">
        <v>204</v>
      </c>
      <c r="AA5" t="s">
        <v>54</v>
      </c>
      <c r="AB5" t="s">
        <v>56</v>
      </c>
      <c r="AC5" t="s">
        <v>55</v>
      </c>
      <c r="AD5" t="s">
        <v>238</v>
      </c>
      <c r="AE5" t="s">
        <v>61</v>
      </c>
    </row>
    <row r="6" spans="1:31" x14ac:dyDescent="0.25">
      <c r="A6" s="76">
        <v>2019</v>
      </c>
      <c r="B6" s="94">
        <v>176596.89940199585</v>
      </c>
      <c r="C6" s="94">
        <v>212954.7645341866</v>
      </c>
      <c r="D6" s="94">
        <v>3230529.0722415126</v>
      </c>
      <c r="E6" s="94">
        <v>1352218.0071428574</v>
      </c>
      <c r="F6" s="94">
        <v>138275.28002889914</v>
      </c>
      <c r="G6" s="94">
        <v>1508282.669250763</v>
      </c>
      <c r="H6" s="94">
        <v>4087571.5535632996</v>
      </c>
      <c r="I6" s="94"/>
      <c r="J6" s="94"/>
      <c r="K6" s="94">
        <v>2041731.0676095125</v>
      </c>
      <c r="L6" s="94">
        <v>1976968.2090253732</v>
      </c>
      <c r="M6" s="94">
        <v>51892.132620096323</v>
      </c>
      <c r="N6" s="94">
        <v>1274488.0820395502</v>
      </c>
      <c r="O6" s="94">
        <v>2536783.2413289398</v>
      </c>
      <c r="P6" s="94">
        <v>880.09999999999991</v>
      </c>
      <c r="Q6" s="94">
        <v>8064.2063400965635</v>
      </c>
      <c r="R6" s="94">
        <v>5269000</v>
      </c>
      <c r="S6" s="94">
        <v>1637775.5474174484</v>
      </c>
      <c r="T6" s="94">
        <v>217010.36743552322</v>
      </c>
      <c r="U6" s="94">
        <v>105946.31157195524</v>
      </c>
      <c r="V6" s="94">
        <v>1382651.4311789067</v>
      </c>
      <c r="W6" s="94">
        <v>76.5</v>
      </c>
      <c r="X6" s="94">
        <v>4368323.901678659</v>
      </c>
      <c r="Y6" s="94"/>
      <c r="Z6" s="94"/>
      <c r="AA6" s="94"/>
      <c r="AB6" s="94">
        <v>912099.45136908058</v>
      </c>
      <c r="AC6" s="94">
        <v>2006067.2488276002</v>
      </c>
      <c r="AD6" s="94">
        <v>98784.738662362797</v>
      </c>
      <c r="AE6" s="94">
        <v>34594970.783268616</v>
      </c>
    </row>
    <row r="7" spans="1:31" x14ac:dyDescent="0.25">
      <c r="A7" s="76">
        <v>2030</v>
      </c>
      <c r="B7" s="94">
        <v>124178.61725785545</v>
      </c>
      <c r="C7" s="94">
        <v>631461.05928391102</v>
      </c>
      <c r="D7" s="94">
        <v>3476964.7441181806</v>
      </c>
      <c r="E7" s="94">
        <v>312275.41229839239</v>
      </c>
      <c r="F7" s="94">
        <v>92780.774884581508</v>
      </c>
      <c r="G7" s="94">
        <v>938122.47170424869</v>
      </c>
      <c r="H7" s="94"/>
      <c r="I7" s="94">
        <v>876164.1573938689</v>
      </c>
      <c r="J7" s="94">
        <v>612258.98454027576</v>
      </c>
      <c r="K7" s="94">
        <v>1964806.5573061737</v>
      </c>
      <c r="L7" s="94">
        <v>2547468.970403323</v>
      </c>
      <c r="M7" s="94"/>
      <c r="N7" s="94">
        <v>2238037.5658944622</v>
      </c>
      <c r="O7" s="94">
        <v>578872.90781827224</v>
      </c>
      <c r="P7" s="94">
        <v>880.09999999999991</v>
      </c>
      <c r="Q7" s="94"/>
      <c r="R7" s="94">
        <v>2274008.9680147558</v>
      </c>
      <c r="S7" s="94">
        <v>1837304.5406875086</v>
      </c>
      <c r="T7" s="94">
        <v>157887.36784693503</v>
      </c>
      <c r="U7" s="94">
        <v>72257.110477988099</v>
      </c>
      <c r="V7" s="94">
        <v>862397.83544536354</v>
      </c>
      <c r="W7" s="94">
        <v>382.5</v>
      </c>
      <c r="X7" s="94">
        <v>4496969.982036991</v>
      </c>
      <c r="Y7" s="94">
        <v>1955817.7720196291</v>
      </c>
      <c r="Z7" s="94">
        <v>1498.9002676989185</v>
      </c>
      <c r="AA7" s="94">
        <v>499417.02887550322</v>
      </c>
      <c r="AB7" s="94">
        <v>887159.44985439931</v>
      </c>
      <c r="AC7" s="94">
        <v>1276615.9272226524</v>
      </c>
      <c r="AD7" s="94">
        <v>270096.49538353545</v>
      </c>
      <c r="AE7" s="94">
        <v>28986086.201036502</v>
      </c>
    </row>
    <row r="8" spans="1:31" x14ac:dyDescent="0.25">
      <c r="A8" s="76">
        <v>2050</v>
      </c>
      <c r="B8" s="94"/>
      <c r="C8" s="94">
        <v>1185491.998086863</v>
      </c>
      <c r="D8" s="94"/>
      <c r="E8" s="94">
        <v>40868.939648840125</v>
      </c>
      <c r="F8" s="94"/>
      <c r="G8" s="94"/>
      <c r="H8" s="94">
        <v>25628541.750816099</v>
      </c>
      <c r="I8" s="94">
        <v>1499984.2790306609</v>
      </c>
      <c r="J8" s="94">
        <v>386055.55758656352</v>
      </c>
      <c r="K8" s="94">
        <v>1023260.5652748231</v>
      </c>
      <c r="L8" s="94"/>
      <c r="M8" s="94"/>
      <c r="N8" s="94"/>
      <c r="O8" s="94"/>
      <c r="P8" s="94">
        <v>880.09999999999991</v>
      </c>
      <c r="Q8" s="94"/>
      <c r="R8" s="94"/>
      <c r="S8" s="94">
        <v>1387245.8090624576</v>
      </c>
      <c r="T8" s="94">
        <v>7693.1684467145769</v>
      </c>
      <c r="U8" s="94">
        <v>606.87431088280846</v>
      </c>
      <c r="V8" s="94"/>
      <c r="W8" s="94">
        <v>382.5</v>
      </c>
      <c r="X8" s="94">
        <v>4651984.7473605312</v>
      </c>
      <c r="Y8" s="94">
        <v>331920.71060311096</v>
      </c>
      <c r="Z8" s="94">
        <v>1555.3805178590992</v>
      </c>
      <c r="AA8" s="94">
        <v>1107353.4638436597</v>
      </c>
      <c r="AB8" s="94">
        <v>515416.99573239626</v>
      </c>
      <c r="AC8" s="94"/>
      <c r="AD8" s="94">
        <v>389192.08726584667</v>
      </c>
      <c r="AE8" s="94">
        <v>38158434.927587315</v>
      </c>
    </row>
    <row r="9" spans="1:31" x14ac:dyDescent="0.25">
      <c r="A9" s="76" t="s">
        <v>61</v>
      </c>
      <c r="B9" s="94">
        <v>300775.5166598513</v>
      </c>
      <c r="C9" s="94">
        <v>2029907.8219049606</v>
      </c>
      <c r="D9" s="94">
        <v>6707493.8163596932</v>
      </c>
      <c r="E9" s="94">
        <v>1705362.3590900898</v>
      </c>
      <c r="F9" s="94">
        <v>231056.05491348065</v>
      </c>
      <c r="G9" s="94">
        <v>2446405.1409550118</v>
      </c>
      <c r="H9" s="94">
        <v>29716113.3043794</v>
      </c>
      <c r="I9" s="94">
        <v>2376148.4364245296</v>
      </c>
      <c r="J9" s="94">
        <v>998314.54212683928</v>
      </c>
      <c r="K9" s="94">
        <v>5029798.1901905099</v>
      </c>
      <c r="L9" s="94">
        <v>4524437.1794286966</v>
      </c>
      <c r="M9" s="94">
        <v>51892.132620096323</v>
      </c>
      <c r="N9" s="94">
        <v>3512525.6479340121</v>
      </c>
      <c r="O9" s="94">
        <v>3115656.149147212</v>
      </c>
      <c r="P9" s="94">
        <v>2640.2999999999997</v>
      </c>
      <c r="Q9" s="94">
        <v>8064.2063400965635</v>
      </c>
      <c r="R9" s="94">
        <v>7543008.9680147562</v>
      </c>
      <c r="S9" s="94">
        <v>4862325.8971674144</v>
      </c>
      <c r="T9" s="94">
        <v>382590.90372917283</v>
      </c>
      <c r="U9" s="94">
        <v>178810.29636082618</v>
      </c>
      <c r="V9" s="94">
        <v>2245049.26662427</v>
      </c>
      <c r="W9" s="94">
        <v>841.5</v>
      </c>
      <c r="X9" s="94">
        <v>13517278.631076181</v>
      </c>
      <c r="Y9" s="94">
        <v>2287738.4826227399</v>
      </c>
      <c r="Z9" s="94">
        <v>3054.2807855580177</v>
      </c>
      <c r="AA9" s="94">
        <v>1606770.492719163</v>
      </c>
      <c r="AB9" s="94">
        <v>2314675.8969558761</v>
      </c>
      <c r="AC9" s="94">
        <v>3282683.1760502523</v>
      </c>
      <c r="AD9" s="94">
        <v>758073.32131174486</v>
      </c>
      <c r="AE9" s="94">
        <v>101739491.91189243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5" t="s">
        <v>62</v>
      </c>
    </row>
    <row r="4" spans="1:11" x14ac:dyDescent="0.25">
      <c r="A4" s="75" t="s">
        <v>60</v>
      </c>
      <c r="B4" t="s">
        <v>230</v>
      </c>
      <c r="C4" t="s">
        <v>158</v>
      </c>
      <c r="D4" t="s">
        <v>224</v>
      </c>
      <c r="E4" t="s">
        <v>227</v>
      </c>
      <c r="F4" t="s">
        <v>226</v>
      </c>
      <c r="G4" t="s">
        <v>222</v>
      </c>
      <c r="H4" t="s">
        <v>312</v>
      </c>
      <c r="I4" t="s">
        <v>231</v>
      </c>
      <c r="J4" t="s">
        <v>225</v>
      </c>
      <c r="K4" t="s">
        <v>61</v>
      </c>
    </row>
    <row r="5" spans="1:11" x14ac:dyDescent="0.25">
      <c r="A5" s="76" t="s">
        <v>285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</row>
    <row r="6" spans="1:11" x14ac:dyDescent="0.25">
      <c r="A6" s="77">
        <v>2019</v>
      </c>
      <c r="B6" s="212">
        <v>17.543930524502301</v>
      </c>
      <c r="C6" s="212">
        <v>0</v>
      </c>
      <c r="D6" s="212">
        <v>0</v>
      </c>
      <c r="E6" s="212">
        <v>19.591464268115235</v>
      </c>
      <c r="F6" s="212">
        <v>0</v>
      </c>
      <c r="G6" s="212">
        <v>0</v>
      </c>
      <c r="H6" s="212">
        <v>0</v>
      </c>
      <c r="I6" s="212">
        <v>3.9505661308495017</v>
      </c>
      <c r="J6" s="212">
        <v>47.491430804576645</v>
      </c>
      <c r="K6" s="212">
        <v>88.577391728043679</v>
      </c>
    </row>
    <row r="7" spans="1:11" x14ac:dyDescent="0.25">
      <c r="A7" s="77">
        <v>2030</v>
      </c>
      <c r="B7" s="212">
        <v>30.051427762336345</v>
      </c>
      <c r="C7" s="212">
        <v>0</v>
      </c>
      <c r="D7" s="212">
        <v>13.021072877168645</v>
      </c>
      <c r="E7" s="212">
        <v>26.959344980881699</v>
      </c>
      <c r="F7" s="212">
        <v>1.1331835E-3</v>
      </c>
      <c r="G7" s="212">
        <v>0.67264123809073706</v>
      </c>
      <c r="H7" s="212">
        <v>0</v>
      </c>
      <c r="I7" s="212">
        <v>10.774713450429996</v>
      </c>
      <c r="J7" s="212">
        <v>63.179698095321122</v>
      </c>
      <c r="K7" s="212">
        <v>144.66003158772855</v>
      </c>
    </row>
    <row r="8" spans="1:11" x14ac:dyDescent="0.25">
      <c r="A8" s="77">
        <v>2050</v>
      </c>
      <c r="B8" s="212">
        <v>28.329415690596107</v>
      </c>
      <c r="C8" s="212">
        <v>0</v>
      </c>
      <c r="D8" s="212" t="e">
        <v>#DIV/0!</v>
      </c>
      <c r="E8" s="212">
        <v>8.9168233956715746</v>
      </c>
      <c r="F8" s="212">
        <v>1.1331835E-3</v>
      </c>
      <c r="G8" s="212">
        <v>8.803169600360175E-2</v>
      </c>
      <c r="H8" s="212">
        <v>0</v>
      </c>
      <c r="I8" s="212">
        <v>9.6910796059277224</v>
      </c>
      <c r="J8" s="212">
        <v>75.090056482812983</v>
      </c>
      <c r="K8" s="212" t="e">
        <v>#DIV/0!</v>
      </c>
    </row>
    <row r="9" spans="1:11" x14ac:dyDescent="0.25">
      <c r="A9" s="76" t="s">
        <v>243</v>
      </c>
      <c r="B9" s="212"/>
      <c r="C9" s="212"/>
      <c r="D9" s="212"/>
      <c r="E9" s="212"/>
      <c r="F9" s="212"/>
      <c r="G9" s="212"/>
      <c r="H9" s="212"/>
      <c r="I9" s="212"/>
      <c r="J9" s="212"/>
      <c r="K9" s="212"/>
    </row>
    <row r="10" spans="1:11" x14ac:dyDescent="0.25">
      <c r="A10" s="77">
        <v>2019</v>
      </c>
      <c r="B10" s="212">
        <v>7.483154704207001</v>
      </c>
      <c r="C10" s="212">
        <v>2.1694819870080004</v>
      </c>
      <c r="D10" s="212">
        <v>1.420171986175</v>
      </c>
      <c r="E10" s="212">
        <v>0.45076703431999982</v>
      </c>
      <c r="F10" s="212">
        <v>0</v>
      </c>
      <c r="G10" s="212">
        <v>5.0922829580050024</v>
      </c>
      <c r="H10" s="212">
        <v>0</v>
      </c>
      <c r="I10" s="212">
        <v>0</v>
      </c>
      <c r="J10" s="212">
        <v>0</v>
      </c>
      <c r="K10" s="212">
        <v>16.615858669715003</v>
      </c>
    </row>
    <row r="11" spans="1:11" x14ac:dyDescent="0.25">
      <c r="A11" s="77">
        <v>2030</v>
      </c>
      <c r="B11" s="212">
        <v>4.7038617898251704</v>
      </c>
      <c r="C11" s="212">
        <v>0</v>
      </c>
      <c r="D11" s="212">
        <v>0</v>
      </c>
      <c r="E11" s="212">
        <v>0</v>
      </c>
      <c r="F11" s="212">
        <v>0</v>
      </c>
      <c r="G11" s="212">
        <v>11.088836060689401</v>
      </c>
      <c r="H11" s="212">
        <v>0</v>
      </c>
      <c r="I11" s="212">
        <v>0</v>
      </c>
      <c r="J11" s="212">
        <v>0</v>
      </c>
      <c r="K11" s="212">
        <v>15.792697850514571</v>
      </c>
    </row>
    <row r="12" spans="1:11" x14ac:dyDescent="0.25">
      <c r="A12" s="77">
        <v>2050</v>
      </c>
      <c r="B12" s="212">
        <v>3.1151113645169533</v>
      </c>
      <c r="C12" s="212">
        <v>0</v>
      </c>
      <c r="D12" s="212" t="e">
        <v>#DIV/0!</v>
      </c>
      <c r="E12" s="212">
        <v>0</v>
      </c>
      <c r="F12" s="212">
        <v>0</v>
      </c>
      <c r="G12" s="212">
        <v>1.6129599877402425</v>
      </c>
      <c r="H12" s="212">
        <v>0</v>
      </c>
      <c r="I12" s="212">
        <v>0</v>
      </c>
      <c r="J12" s="212">
        <v>0</v>
      </c>
      <c r="K12" s="212" t="e">
        <v>#DIV/0!</v>
      </c>
    </row>
    <row r="13" spans="1:11" x14ac:dyDescent="0.25">
      <c r="A13" s="76" t="s">
        <v>286</v>
      </c>
      <c r="B13" s="212">
        <v>75.924773977434754</v>
      </c>
      <c r="C13" s="212">
        <v>0</v>
      </c>
      <c r="D13" s="212" t="e">
        <v>#DIV/0!</v>
      </c>
      <c r="E13" s="212">
        <v>55.467632644668512</v>
      </c>
      <c r="F13" s="212">
        <v>2.266367E-3</v>
      </c>
      <c r="G13" s="212">
        <v>0.76067293409433878</v>
      </c>
      <c r="H13" s="212">
        <v>0</v>
      </c>
      <c r="I13" s="212">
        <v>24.41635918720722</v>
      </c>
      <c r="J13" s="212">
        <v>185.76118538271075</v>
      </c>
      <c r="K13" s="212" t="e">
        <v>#DIV/0!</v>
      </c>
    </row>
    <row r="14" spans="1:11" x14ac:dyDescent="0.25">
      <c r="A14" s="76" t="s">
        <v>244</v>
      </c>
      <c r="B14" s="212">
        <v>15.302127858549124</v>
      </c>
      <c r="C14" s="212">
        <v>2.1694819870080004</v>
      </c>
      <c r="D14" s="212" t="e">
        <v>#DIV/0!</v>
      </c>
      <c r="E14" s="212">
        <v>0.45076703431999982</v>
      </c>
      <c r="F14" s="212">
        <v>0</v>
      </c>
      <c r="G14" s="212">
        <v>17.794079006434647</v>
      </c>
      <c r="H14" s="212">
        <v>0</v>
      </c>
      <c r="I14" s="212">
        <v>0</v>
      </c>
      <c r="J14" s="212">
        <v>0</v>
      </c>
      <c r="K14" s="212" t="e">
        <v>#DIV/0!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9" width="11.28515625" bestFit="1" customWidth="1"/>
    <col min="10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5" t="s">
        <v>239</v>
      </c>
      <c r="B1" s="75" t="s">
        <v>62</v>
      </c>
    </row>
    <row r="2" spans="1:9" x14ac:dyDescent="0.25">
      <c r="A2" s="75" t="s">
        <v>60</v>
      </c>
      <c r="B2" t="s">
        <v>230</v>
      </c>
      <c r="C2" t="s">
        <v>158</v>
      </c>
      <c r="D2" t="s">
        <v>224</v>
      </c>
      <c r="E2" t="s">
        <v>227</v>
      </c>
      <c r="F2" t="s">
        <v>226</v>
      </c>
      <c r="G2" t="s">
        <v>222</v>
      </c>
      <c r="H2" t="s">
        <v>225</v>
      </c>
      <c r="I2" t="s">
        <v>61</v>
      </c>
    </row>
    <row r="3" spans="1:9" x14ac:dyDescent="0.25">
      <c r="A3" s="76">
        <v>2019</v>
      </c>
      <c r="B3" s="213">
        <v>1077304.94</v>
      </c>
      <c r="C3" s="213">
        <v>128467.8</v>
      </c>
      <c r="D3" s="213">
        <v>128726.35999999999</v>
      </c>
      <c r="E3" s="213">
        <v>1676887.9013836056</v>
      </c>
      <c r="F3" s="213">
        <v>0</v>
      </c>
      <c r="G3" s="213">
        <v>704016.11583333346</v>
      </c>
      <c r="H3" s="213">
        <v>1575935.1462763192</v>
      </c>
      <c r="I3" s="213">
        <v>5291338.2634932585</v>
      </c>
    </row>
    <row r="4" spans="1:9" x14ac:dyDescent="0.25">
      <c r="A4" s="76">
        <v>2030</v>
      </c>
      <c r="B4" s="213">
        <v>1423123.6689063776</v>
      </c>
      <c r="C4" s="213">
        <v>0</v>
      </c>
      <c r="D4" s="213">
        <v>1038872.1779058403</v>
      </c>
      <c r="E4" s="213">
        <v>2289301.0767938984</v>
      </c>
      <c r="F4" s="213">
        <v>189.39</v>
      </c>
      <c r="G4" s="213">
        <v>1590924.1512438636</v>
      </c>
      <c r="H4" s="213">
        <v>1907059.7755079945</v>
      </c>
      <c r="I4" s="213">
        <v>8249470.2403579745</v>
      </c>
    </row>
    <row r="5" spans="1:9" x14ac:dyDescent="0.25">
      <c r="A5" s="76">
        <v>2050</v>
      </c>
      <c r="B5" s="213">
        <v>1152111.3881136673</v>
      </c>
      <c r="C5" s="213">
        <v>0</v>
      </c>
      <c r="D5" s="213" t="e">
        <v>#DIV/0!</v>
      </c>
      <c r="E5" s="213">
        <v>733305.13727055886</v>
      </c>
      <c r="F5" s="213">
        <v>189.39</v>
      </c>
      <c r="G5" s="213">
        <v>240537.94155021981</v>
      </c>
      <c r="H5" s="213">
        <v>2189071.7243205421</v>
      </c>
      <c r="I5" s="213" t="e">
        <v>#DIV/0!</v>
      </c>
    </row>
    <row r="6" spans="1:9" x14ac:dyDescent="0.25">
      <c r="A6" s="76" t="s">
        <v>61</v>
      </c>
      <c r="B6" s="213">
        <v>3652539.9970200448</v>
      </c>
      <c r="C6" s="213">
        <v>128467.8</v>
      </c>
      <c r="D6" s="213" t="e">
        <v>#DIV/0!</v>
      </c>
      <c r="E6" s="213">
        <v>4699494.1154480623</v>
      </c>
      <c r="F6" s="213">
        <v>378.78</v>
      </c>
      <c r="G6" s="213">
        <v>2535478.2086274172</v>
      </c>
      <c r="H6" s="213">
        <v>5672066.6461048555</v>
      </c>
      <c r="I6" s="213" t="e">
        <v>#DIV/0!</v>
      </c>
    </row>
  </sheetData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5" t="s">
        <v>198</v>
      </c>
      <c r="B1" s="75" t="s">
        <v>62</v>
      </c>
    </row>
    <row r="2" spans="1:10" x14ac:dyDescent="0.25">
      <c r="A2" s="75" t="s">
        <v>60</v>
      </c>
      <c r="B2" t="s">
        <v>111</v>
      </c>
      <c r="C2" t="s">
        <v>200</v>
      </c>
      <c r="D2" t="s">
        <v>193</v>
      </c>
      <c r="E2" t="s">
        <v>194</v>
      </c>
      <c r="F2" t="s">
        <v>10</v>
      </c>
      <c r="G2" t="s">
        <v>261</v>
      </c>
      <c r="H2" t="s">
        <v>310</v>
      </c>
      <c r="I2" t="s">
        <v>332</v>
      </c>
      <c r="J2" t="s">
        <v>61</v>
      </c>
    </row>
    <row r="3" spans="1:10" x14ac:dyDescent="0.25">
      <c r="A3" s="76">
        <v>2019</v>
      </c>
      <c r="B3" s="94">
        <v>15057851.655114504</v>
      </c>
      <c r="C3" s="94">
        <v>-158.43719999999996</v>
      </c>
      <c r="D3" s="94">
        <v>6181573.3288251217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-121290.05206481964</v>
      </c>
      <c r="J3" s="94">
        <v>30115703.310229003</v>
      </c>
    </row>
    <row r="4" spans="1:10" x14ac:dyDescent="0.25">
      <c r="A4" s="76">
        <v>2030</v>
      </c>
      <c r="B4" s="94">
        <v>8931240.6195746418</v>
      </c>
      <c r="C4" s="94">
        <v>-158.43719999999996</v>
      </c>
      <c r="D4" s="94">
        <v>4155505.2570030689</v>
      </c>
      <c r="E4" s="94">
        <v>7369960.2910637064</v>
      </c>
      <c r="F4" s="94">
        <v>-2123333.884788854</v>
      </c>
      <c r="G4" s="94">
        <v>-344700.06956241012</v>
      </c>
      <c r="H4" s="94">
        <v>0</v>
      </c>
      <c r="I4" s="94">
        <v>-126032.53694086988</v>
      </c>
      <c r="J4" s="94">
        <v>17862481.239149287</v>
      </c>
    </row>
    <row r="5" spans="1:10" x14ac:dyDescent="0.25">
      <c r="A5" s="76">
        <v>2050</v>
      </c>
      <c r="B5" s="94">
        <v>313238.09705260006</v>
      </c>
      <c r="C5" s="94">
        <v>-158.43719999999996</v>
      </c>
      <c r="D5" s="94">
        <v>443070.84862270928</v>
      </c>
      <c r="E5" s="94">
        <v>3529358.6806623335</v>
      </c>
      <c r="F5" s="94">
        <v>-3088495.2895071078</v>
      </c>
      <c r="G5" s="94">
        <v>-19500.172409126408</v>
      </c>
      <c r="H5" s="94">
        <v>0</v>
      </c>
      <c r="I5" s="94">
        <v>-551037.53311620932</v>
      </c>
      <c r="J5" s="94">
        <v>626476.19410519977</v>
      </c>
    </row>
    <row r="6" spans="1:10" x14ac:dyDescent="0.25">
      <c r="A6" s="76" t="s">
        <v>61</v>
      </c>
      <c r="B6" s="94">
        <v>24302330.371741746</v>
      </c>
      <c r="C6" s="94">
        <v>-475.31159999999988</v>
      </c>
      <c r="D6" s="94">
        <v>10780149.4344509</v>
      </c>
      <c r="E6" s="94">
        <v>20624662.998175304</v>
      </c>
      <c r="F6" s="94">
        <v>-5774239.1742959619</v>
      </c>
      <c r="G6" s="94">
        <v>-529407.45286659629</v>
      </c>
      <c r="H6" s="94">
        <v>0</v>
      </c>
      <c r="I6" s="94">
        <v>-798360.12212189881</v>
      </c>
      <c r="J6" s="94">
        <v>48604660.743483491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C8" sqref="C8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12925230.885890532</v>
      </c>
      <c r="D2" s="94" t="s">
        <v>111</v>
      </c>
      <c r="E2" s="94" t="s">
        <v>111</v>
      </c>
    </row>
    <row r="3" spans="1:9" x14ac:dyDescent="0.25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5679335.5964851258</v>
      </c>
      <c r="D3" t="s">
        <v>69</v>
      </c>
      <c r="E3" t="s">
        <v>193</v>
      </c>
      <c r="G3" s="94" t="s">
        <v>167</v>
      </c>
      <c r="H3" s="94" t="s">
        <v>168</v>
      </c>
      <c r="I3" s="94" t="s">
        <v>169</v>
      </c>
    </row>
    <row r="4" spans="1:9" x14ac:dyDescent="0.25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x14ac:dyDescent="0.25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-93826.565102358349</v>
      </c>
      <c r="D9" t="s">
        <v>331</v>
      </c>
      <c r="E9" t="s">
        <v>332</v>
      </c>
      <c r="G9" t="s">
        <v>330</v>
      </c>
    </row>
    <row r="10" spans="1:9" x14ac:dyDescent="0.25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-151930.36566196129</v>
      </c>
      <c r="D10" t="s">
        <v>261</v>
      </c>
      <c r="E10" t="s">
        <v>261</v>
      </c>
      <c r="G10" t="s">
        <v>261</v>
      </c>
    </row>
    <row r="11" spans="1:9" x14ac:dyDescent="0.25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310</v>
      </c>
      <c r="E11" t="s">
        <v>310</v>
      </c>
      <c r="G11" t="s">
        <v>310</v>
      </c>
    </row>
    <row r="12" spans="1:9" x14ac:dyDescent="0.25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7559500.2479222175</v>
      </c>
      <c r="D12" s="94" t="str">
        <f>IF(D2&lt;&gt;"",D2,"")</f>
        <v>CO2 - atmosfære</v>
      </c>
      <c r="E12" s="94" t="str">
        <f>E2</f>
        <v>CO2 - atmosfære</v>
      </c>
      <c r="F12" s="94" t="str">
        <f>IF(F2&lt;&gt;"",F2,"")</f>
        <v/>
      </c>
      <c r="G12" s="94" t="str">
        <f>IF(G2&lt;&gt;"",G2,"")</f>
        <v/>
      </c>
      <c r="H12" s="94" t="str">
        <f>IF(H2&lt;&gt;"",H2,"")</f>
        <v/>
      </c>
      <c r="I12" s="94" t="str">
        <f>IF(I2&lt;&gt;"",I2,"")</f>
        <v/>
      </c>
    </row>
    <row r="13" spans="1:9" x14ac:dyDescent="0.25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3816109.5273284824</v>
      </c>
      <c r="D13" s="94" t="str">
        <f t="shared" ref="D13:I13" si="2">IF(D3&lt;&gt;"",D3,"")</f>
        <v>Landbrug</v>
      </c>
      <c r="E13" s="94" t="str">
        <f t="shared" ref="E13:E61" si="3">E3</f>
        <v>Husdyr</v>
      </c>
      <c r="F13" s="94" t="str">
        <f t="shared" si="2"/>
        <v/>
      </c>
      <c r="G13" s="94" t="str">
        <f t="shared" si="2"/>
        <v>Grisestald</v>
      </c>
      <c r="H13" s="94" t="str">
        <f t="shared" si="2"/>
        <v>Kostald</v>
      </c>
      <c r="I13" s="94" t="str">
        <f t="shared" si="2"/>
        <v>Fjerkræbrug</v>
      </c>
    </row>
    <row r="14" spans="1:9" x14ac:dyDescent="0.25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3537250.8406453063</v>
      </c>
      <c r="D14" s="94" t="str">
        <f t="shared" ref="D14:I14" si="4">IF(D4&lt;&gt;"",D4,"")</f>
        <v>Landbrug</v>
      </c>
      <c r="E14" s="94" t="str">
        <f t="shared" si="3"/>
        <v>Marker</v>
      </c>
      <c r="F14" s="94" t="str">
        <f t="shared" si="4"/>
        <v>JB1-10</v>
      </c>
      <c r="G14" s="94" t="str">
        <f t="shared" si="4"/>
        <v/>
      </c>
      <c r="H14" s="94" t="str">
        <f t="shared" si="4"/>
        <v/>
      </c>
      <c r="I14" s="94" t="str">
        <f t="shared" si="4"/>
        <v/>
      </c>
    </row>
    <row r="15" spans="1:9" x14ac:dyDescent="0.25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813964.99741630361</v>
      </c>
      <c r="D15" s="94" t="str">
        <f t="shared" ref="D15:I15" si="5">IF(D5&lt;&gt;"",D5,"")</f>
        <v>Landbrug</v>
      </c>
      <c r="E15" s="94" t="str">
        <f t="shared" si="3"/>
        <v>Marker</v>
      </c>
      <c r="F15" s="94" t="str">
        <f t="shared" si="5"/>
        <v>OC6</v>
      </c>
      <c r="G15" s="94" t="str">
        <f t="shared" si="5"/>
        <v/>
      </c>
      <c r="H15" s="94" t="str">
        <f t="shared" si="5"/>
        <v/>
      </c>
      <c r="I15" s="94" t="str">
        <f t="shared" si="5"/>
        <v/>
      </c>
    </row>
    <row r="16" spans="1:9" x14ac:dyDescent="0.25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1569367.8441367322</v>
      </c>
      <c r="D16" s="94" t="str">
        <f t="shared" ref="D16:I16" si="6">IF(D6&lt;&gt;"",D6,"")</f>
        <v>Landbrug</v>
      </c>
      <c r="E16" s="94" t="str">
        <f t="shared" si="3"/>
        <v>Marker</v>
      </c>
      <c r="F16" s="94" t="str">
        <f t="shared" si="6"/>
        <v>OC12</v>
      </c>
      <c r="G16" s="94" t="str">
        <f t="shared" si="6"/>
        <v/>
      </c>
      <c r="H16" s="94" t="str">
        <f t="shared" si="6"/>
        <v/>
      </c>
      <c r="I16" s="94" t="str">
        <f t="shared" si="6"/>
        <v/>
      </c>
    </row>
    <row r="17" spans="1:9" x14ac:dyDescent="0.25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7">IF(D7&lt;&gt;"",D7,"")</f>
        <v>Hav</v>
      </c>
      <c r="E17" s="94" t="str">
        <f t="shared" si="3"/>
        <v>Hav</v>
      </c>
      <c r="F17" s="94" t="str">
        <f t="shared" si="7"/>
        <v/>
      </c>
      <c r="G17" s="94" t="str">
        <f t="shared" si="7"/>
        <v>Muslingefarm</v>
      </c>
      <c r="H17" s="94" t="str">
        <f t="shared" si="7"/>
        <v>Tangfarm</v>
      </c>
      <c r="I17" s="94" t="str">
        <f t="shared" si="7"/>
        <v/>
      </c>
    </row>
    <row r="18" spans="1:9" x14ac:dyDescent="0.25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-1763766.4824510801</v>
      </c>
      <c r="D18" s="94" t="str">
        <f t="shared" ref="D18:I18" si="8">IF(D8&lt;&gt;"",D8,"")</f>
        <v>Skov</v>
      </c>
      <c r="E18" s="94" t="str">
        <f t="shared" si="3"/>
        <v>Skov</v>
      </c>
      <c r="F18" s="94" t="str">
        <f t="shared" si="8"/>
        <v/>
      </c>
      <c r="G18" s="94" t="str">
        <f t="shared" si="8"/>
        <v>Skovproduktion</v>
      </c>
      <c r="H18" s="94" t="str">
        <f t="shared" si="8"/>
        <v/>
      </c>
      <c r="I18" s="94" t="str">
        <f t="shared" si="8"/>
        <v/>
      </c>
    </row>
    <row r="19" spans="1:9" x14ac:dyDescent="0.25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-98348.072466594749</v>
      </c>
      <c r="D19" t="s">
        <v>331</v>
      </c>
      <c r="E19" s="94" t="str">
        <f t="shared" si="3"/>
        <v>Træprodukter</v>
      </c>
      <c r="G19" t="s">
        <v>330</v>
      </c>
      <c r="H19" s="94"/>
      <c r="I19" s="94"/>
    </row>
    <row r="20" spans="1:9" x14ac:dyDescent="0.25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-314920.16351215332</v>
      </c>
      <c r="D20" s="94" t="str">
        <f t="shared" ref="D20:I20" si="9">IF(D10&lt;&gt;"",D10,"")</f>
        <v>Biogasanlæg</v>
      </c>
      <c r="E20" s="94" t="str">
        <f t="shared" si="3"/>
        <v>Biogasanlæg</v>
      </c>
      <c r="F20" s="94" t="str">
        <f t="shared" si="9"/>
        <v/>
      </c>
      <c r="G20" s="94" t="str">
        <f t="shared" si="9"/>
        <v>Biogasanlæg</v>
      </c>
      <c r="H20" s="94" t="str">
        <f t="shared" si="9"/>
        <v/>
      </c>
      <c r="I20" s="94" t="str">
        <f t="shared" si="9"/>
        <v/>
      </c>
    </row>
    <row r="21" spans="1:9" x14ac:dyDescent="0.25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0">IF(D11&lt;&gt;"",D11,"")</f>
        <v>Pyrolyseproces</v>
      </c>
      <c r="E21" s="94" t="str">
        <f t="shared" si="3"/>
        <v>Pyrolyseproces</v>
      </c>
      <c r="F21" s="94" t="str">
        <f t="shared" si="10"/>
        <v/>
      </c>
      <c r="G21" s="94" t="str">
        <f t="shared" si="10"/>
        <v>Pyrolyseproces</v>
      </c>
      <c r="H21" s="94" t="str">
        <f t="shared" si="10"/>
        <v/>
      </c>
      <c r="I21" s="94" t="str">
        <f t="shared" si="10"/>
        <v/>
      </c>
    </row>
    <row r="22" spans="1:9" x14ac:dyDescent="0.25">
      <c r="A22" t="s">
        <v>23</v>
      </c>
      <c r="B22">
        <f t="shared" ref="B22:B31" si="11">År3</f>
        <v>2050</v>
      </c>
      <c r="C22" s="94">
        <f ca="1">SUMIF('Resultater - Vestdanmark'!$F$3:$F$509,'CO2-udledning'!$D$2,'Resultater - Vestdanmark'!J$3:J$509)</f>
        <v>18779.430687195636</v>
      </c>
      <c r="D22" s="94" t="str">
        <f t="shared" ref="D22:I22" si="12">IF(D12&lt;&gt;"",D12,"")</f>
        <v>CO2 - atmosfære</v>
      </c>
      <c r="E22" s="94" t="str">
        <f t="shared" si="3"/>
        <v>CO2 - atmosfære</v>
      </c>
      <c r="F22" s="94" t="str">
        <f t="shared" si="12"/>
        <v/>
      </c>
      <c r="G22" s="94" t="str">
        <f t="shared" si="12"/>
        <v/>
      </c>
      <c r="H22" s="94" t="str">
        <f t="shared" si="12"/>
        <v/>
      </c>
      <c r="I22" s="94" t="str">
        <f t="shared" si="12"/>
        <v/>
      </c>
    </row>
    <row r="23" spans="1:9" x14ac:dyDescent="0.25">
      <c r="A23" t="s">
        <v>23</v>
      </c>
      <c r="B23">
        <f t="shared" si="11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403361.09981940413</v>
      </c>
      <c r="D23" s="94" t="str">
        <f t="shared" ref="D23:I23" si="13">IF(D13&lt;&gt;"",D13,"")</f>
        <v>Landbrug</v>
      </c>
      <c r="E23" s="94" t="str">
        <f t="shared" si="3"/>
        <v>Husdyr</v>
      </c>
      <c r="F23" s="94" t="str">
        <f t="shared" si="13"/>
        <v/>
      </c>
      <c r="G23" s="94" t="str">
        <f t="shared" si="13"/>
        <v>Grisestald</v>
      </c>
      <c r="H23" s="94" t="str">
        <f t="shared" si="13"/>
        <v>Kostald</v>
      </c>
      <c r="I23" s="94" t="str">
        <f t="shared" si="13"/>
        <v>Fjerkræbrug</v>
      </c>
    </row>
    <row r="24" spans="1:9" x14ac:dyDescent="0.25">
      <c r="A24" t="s">
        <v>23</v>
      </c>
      <c r="B24">
        <f t="shared" si="11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2593142.9450039971</v>
      </c>
      <c r="D24" s="94" t="str">
        <f t="shared" ref="D24:I24" si="14">IF(D14&lt;&gt;"",D14,"")</f>
        <v>Landbrug</v>
      </c>
      <c r="E24" s="94" t="str">
        <f t="shared" si="3"/>
        <v>Marker</v>
      </c>
      <c r="F24" s="94" t="str">
        <f t="shared" si="14"/>
        <v>JB1-10</v>
      </c>
      <c r="G24" s="94" t="str">
        <f t="shared" si="14"/>
        <v/>
      </c>
      <c r="H24" s="94" t="str">
        <f t="shared" si="14"/>
        <v/>
      </c>
      <c r="I24" s="94" t="str">
        <f t="shared" si="14"/>
        <v/>
      </c>
    </row>
    <row r="25" spans="1:9" x14ac:dyDescent="0.25">
      <c r="A25" t="s">
        <v>23</v>
      </c>
      <c r="B25">
        <f t="shared" si="11"/>
        <v>2050</v>
      </c>
      <c r="C25" s="94">
        <f>SUMIFS('Resultater - Vestdanmark'!J$3:J$496,'Resultater - Vestdanmark'!$F$3:$F$496,'CO2-udledning'!$D$2,'Resultater - Vestdanmark'!$C$3:$C$496,'CO2-udledning'!$F5)</f>
        <v>63917.095435242481</v>
      </c>
      <c r="D25" s="94" t="str">
        <f t="shared" ref="D25:I25" si="15">IF(D15&lt;&gt;"",D15,"")</f>
        <v>Landbrug</v>
      </c>
      <c r="E25" s="94" t="str">
        <f t="shared" si="3"/>
        <v>Marker</v>
      </c>
      <c r="F25" s="94" t="str">
        <f t="shared" si="15"/>
        <v>OC6</v>
      </c>
      <c r="G25" s="94" t="str">
        <f t="shared" si="15"/>
        <v/>
      </c>
      <c r="H25" s="94" t="str">
        <f t="shared" si="15"/>
        <v/>
      </c>
      <c r="I25" s="94" t="str">
        <f t="shared" si="15"/>
        <v/>
      </c>
    </row>
    <row r="26" spans="1:9" x14ac:dyDescent="0.25">
      <c r="A26" t="s">
        <v>23</v>
      </c>
      <c r="B26">
        <f t="shared" si="11"/>
        <v>2050</v>
      </c>
      <c r="C26" s="94">
        <f>SUMIFS('Resultater - Vestdanmark'!J$3:J$496,'Resultater - Vestdanmark'!$F$3:$F$496,'CO2-udledning'!$D$2,'Resultater - Vestdanmark'!$C$3:$C$496,'CO2-udledning'!$F6)</f>
        <v>0</v>
      </c>
      <c r="D26" s="94" t="str">
        <f t="shared" ref="D26:I26" si="16">IF(D16&lt;&gt;"",D16,"")</f>
        <v>Landbrug</v>
      </c>
      <c r="E26" s="94" t="str">
        <f t="shared" si="3"/>
        <v>Marker</v>
      </c>
      <c r="F26" s="94" t="str">
        <f t="shared" si="16"/>
        <v>OC12</v>
      </c>
      <c r="G26" s="94" t="str">
        <f t="shared" si="16"/>
        <v/>
      </c>
      <c r="H26" s="94" t="str">
        <f t="shared" si="16"/>
        <v/>
      </c>
      <c r="I26" s="94" t="str">
        <f t="shared" si="16"/>
        <v/>
      </c>
    </row>
    <row r="27" spans="1:9" x14ac:dyDescent="0.25">
      <c r="A27" t="s">
        <v>23</v>
      </c>
      <c r="B27">
        <f t="shared" si="11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7">IF(D17&lt;&gt;"",D17,"")</f>
        <v>Hav</v>
      </c>
      <c r="E27" s="94" t="str">
        <f t="shared" si="3"/>
        <v>Hav</v>
      </c>
      <c r="F27" s="94" t="str">
        <f t="shared" si="17"/>
        <v/>
      </c>
      <c r="G27" s="94" t="str">
        <f t="shared" si="17"/>
        <v>Muslingefarm</v>
      </c>
      <c r="H27" s="94" t="str">
        <f t="shared" si="17"/>
        <v>Tangfarm</v>
      </c>
      <c r="I27" s="94" t="str">
        <f t="shared" si="17"/>
        <v/>
      </c>
    </row>
    <row r="28" spans="1:9" x14ac:dyDescent="0.25">
      <c r="A28" t="s">
        <v>23</v>
      </c>
      <c r="B28">
        <f t="shared" si="11"/>
        <v>2050</v>
      </c>
      <c r="C28" s="94">
        <f ca="1">SUMIFS('Resultater - Vestdanmark'!J$3:J$496,'Resultater - Vestdanmark'!$F$3:$F$496,'CO2-udledning'!$D$2,'Resultater - Vestdanmark'!$A$3:$A$496,'CO2-udledning'!$G8)</f>
        <v>-2570873.911416363</v>
      </c>
      <c r="D28" s="94" t="str">
        <f t="shared" ref="D28:I28" si="18">IF(D18&lt;&gt;"",D18,"")</f>
        <v>Skov</v>
      </c>
      <c r="E28" s="94" t="str">
        <f t="shared" si="3"/>
        <v>Skov</v>
      </c>
      <c r="F28" s="94" t="str">
        <f t="shared" si="18"/>
        <v/>
      </c>
      <c r="G28" s="94" t="str">
        <f t="shared" si="18"/>
        <v>Skovproduktion</v>
      </c>
      <c r="H28" s="94" t="str">
        <f t="shared" si="18"/>
        <v/>
      </c>
      <c r="I28" s="94" t="str">
        <f t="shared" si="18"/>
        <v/>
      </c>
    </row>
    <row r="29" spans="1:9" x14ac:dyDescent="0.25">
      <c r="A29" t="s">
        <v>23</v>
      </c>
      <c r="B29">
        <f t="shared" si="11"/>
        <v>2050</v>
      </c>
      <c r="C29" s="94">
        <f ca="1">SUMIFS('Resultater - Vestdanmark'!J$3:J$496,'Resultater - Vestdanmark'!$F$3:$F$496,'CO2-udledning'!$D$2,'Resultater - Vestdanmark'!$A$3:$A$496,'CO2-udledning'!$G9)</f>
        <v>-452403.36919811758</v>
      </c>
      <c r="D29" t="s">
        <v>331</v>
      </c>
      <c r="E29" s="94" t="str">
        <f t="shared" si="3"/>
        <v>Træprodukter</v>
      </c>
      <c r="G29" t="s">
        <v>330</v>
      </c>
      <c r="H29" s="94"/>
      <c r="I29" s="94"/>
    </row>
    <row r="30" spans="1:9" x14ac:dyDescent="0.25">
      <c r="A30" t="s">
        <v>23</v>
      </c>
      <c r="B30">
        <f t="shared" si="11"/>
        <v>2050</v>
      </c>
      <c r="C30" s="94">
        <f>SUMIFS('Resultater - Vestdanmark'!J$3:J$496,'Resultater - Vestdanmark'!$F$3:$F$496,'CO2-udledning'!$D$2,'Resultater - Vestdanmark'!$A$3:$A$496,'CO2-udledning'!$G10)</f>
        <v>-18206.185782189059</v>
      </c>
      <c r="D30" s="94" t="str">
        <f t="shared" ref="D30:I30" si="19">IF(D20&lt;&gt;"",D20,"")</f>
        <v>Biogasanlæg</v>
      </c>
      <c r="E30" s="94" t="str">
        <f t="shared" si="3"/>
        <v>Biogasanlæg</v>
      </c>
      <c r="F30" s="94" t="str">
        <f t="shared" si="19"/>
        <v/>
      </c>
      <c r="G30" s="94" t="str">
        <f t="shared" si="19"/>
        <v>Biogasanlæg</v>
      </c>
      <c r="H30" s="94" t="str">
        <f t="shared" si="19"/>
        <v/>
      </c>
      <c r="I30" s="94" t="str">
        <f t="shared" si="19"/>
        <v/>
      </c>
    </row>
    <row r="31" spans="1:9" x14ac:dyDescent="0.25">
      <c r="A31" t="s">
        <v>23</v>
      </c>
      <c r="B31">
        <f t="shared" si="11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0">IF(D21&lt;&gt;"",D21,"")</f>
        <v>Pyrolyseproces</v>
      </c>
      <c r="E31" s="94" t="str">
        <f t="shared" si="3"/>
        <v>Pyrolyseproces</v>
      </c>
      <c r="F31" s="94" t="str">
        <f t="shared" si="20"/>
        <v/>
      </c>
      <c r="G31" s="94" t="str">
        <f t="shared" si="20"/>
        <v>Pyrolyseproces</v>
      </c>
      <c r="H31" s="94" t="str">
        <f t="shared" si="20"/>
        <v/>
      </c>
      <c r="I31" s="94" t="str">
        <f t="shared" si="20"/>
        <v/>
      </c>
    </row>
    <row r="32" spans="1:9" x14ac:dyDescent="0.25">
      <c r="A32" t="s">
        <v>24</v>
      </c>
      <c r="B32">
        <f t="shared" ref="B32:B41" si="21">År1</f>
        <v>2019</v>
      </c>
      <c r="C32" s="94">
        <f ca="1">SUMIF('Resultater - Østdanmark'!$F$3:$F$509,'CO2-udledning'!$D$2,'Resultater - Østdanmark'!H$3:H$509)</f>
        <v>2132620.7692239708</v>
      </c>
      <c r="D32" s="94" t="str">
        <f t="shared" ref="D32:I32" si="22">IF(D22&lt;&gt;"",D22,"")</f>
        <v>CO2 - atmosfære</v>
      </c>
      <c r="E32" s="94" t="str">
        <f t="shared" si="3"/>
        <v>CO2 - atmosfære</v>
      </c>
      <c r="F32" s="94" t="str">
        <f t="shared" si="22"/>
        <v/>
      </c>
      <c r="G32" s="94" t="str">
        <f t="shared" si="22"/>
        <v/>
      </c>
      <c r="H32" s="94" t="str">
        <f t="shared" si="22"/>
        <v/>
      </c>
      <c r="I32" s="94" t="str">
        <f t="shared" si="22"/>
        <v/>
      </c>
    </row>
    <row r="33" spans="1:9" x14ac:dyDescent="0.25">
      <c r="A33" t="s">
        <v>24</v>
      </c>
      <c r="B33">
        <f t="shared" si="21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502237.73233999556</v>
      </c>
      <c r="D33" s="94" t="str">
        <f t="shared" ref="D33:I33" si="23">IF(D23&lt;&gt;"",D23,"")</f>
        <v>Landbrug</v>
      </c>
      <c r="E33" s="94" t="str">
        <f t="shared" si="3"/>
        <v>Husdyr</v>
      </c>
      <c r="F33" s="94" t="str">
        <f t="shared" si="23"/>
        <v/>
      </c>
      <c r="G33" s="94" t="str">
        <f t="shared" si="23"/>
        <v>Grisestald</v>
      </c>
      <c r="H33" s="94" t="str">
        <f t="shared" si="23"/>
        <v>Kostald</v>
      </c>
      <c r="I33" s="94" t="str">
        <f t="shared" si="23"/>
        <v>Fjerkræbrug</v>
      </c>
    </row>
    <row r="34" spans="1:9" x14ac:dyDescent="0.25">
      <c r="A34" t="s">
        <v>24</v>
      </c>
      <c r="B34">
        <f t="shared" si="21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4">IF(D24&lt;&gt;"",D24,"")</f>
        <v>Landbrug</v>
      </c>
      <c r="E34" s="94" t="str">
        <f t="shared" si="3"/>
        <v>Marker</v>
      </c>
      <c r="F34" s="94" t="str">
        <f t="shared" si="24"/>
        <v>JB1-10</v>
      </c>
      <c r="G34" s="94" t="str">
        <f t="shared" si="24"/>
        <v/>
      </c>
      <c r="H34" s="94" t="str">
        <f t="shared" si="24"/>
        <v/>
      </c>
      <c r="I34" s="94" t="str">
        <f t="shared" si="24"/>
        <v/>
      </c>
    </row>
    <row r="35" spans="1:9" x14ac:dyDescent="0.25">
      <c r="A35" t="s">
        <v>24</v>
      </c>
      <c r="B35">
        <f t="shared" si="21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5">IF(D25&lt;&gt;"",D25,"")</f>
        <v>Landbrug</v>
      </c>
      <c r="E35" s="94" t="str">
        <f t="shared" si="3"/>
        <v>Marker</v>
      </c>
      <c r="F35" s="94" t="str">
        <f t="shared" si="25"/>
        <v>OC6</v>
      </c>
      <c r="G35" s="94" t="str">
        <f t="shared" si="25"/>
        <v/>
      </c>
      <c r="H35" s="94" t="str">
        <f t="shared" si="25"/>
        <v/>
      </c>
      <c r="I35" s="94" t="str">
        <f t="shared" si="25"/>
        <v/>
      </c>
    </row>
    <row r="36" spans="1:9" x14ac:dyDescent="0.25">
      <c r="A36" t="s">
        <v>24</v>
      </c>
      <c r="B36">
        <f t="shared" si="21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6">IF(D26&lt;&gt;"",D26,"")</f>
        <v>Landbrug</v>
      </c>
      <c r="E36" s="94" t="str">
        <f t="shared" si="3"/>
        <v>Marker</v>
      </c>
      <c r="F36" s="94" t="str">
        <f t="shared" si="26"/>
        <v>OC12</v>
      </c>
      <c r="G36" s="94" t="str">
        <f t="shared" si="26"/>
        <v/>
      </c>
      <c r="H36" s="94" t="str">
        <f t="shared" si="26"/>
        <v/>
      </c>
      <c r="I36" s="94" t="str">
        <f t="shared" si="26"/>
        <v/>
      </c>
    </row>
    <row r="37" spans="1:9" x14ac:dyDescent="0.25">
      <c r="A37" t="s">
        <v>24</v>
      </c>
      <c r="B37">
        <f t="shared" si="21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7">IF(D27&lt;&gt;"",D27,"")</f>
        <v>Hav</v>
      </c>
      <c r="E37" s="94" t="str">
        <f t="shared" si="3"/>
        <v>Hav</v>
      </c>
      <c r="F37" s="94" t="str">
        <f t="shared" si="27"/>
        <v/>
      </c>
      <c r="G37" s="94" t="str">
        <f t="shared" si="27"/>
        <v>Muslingefarm</v>
      </c>
      <c r="H37" s="94" t="str">
        <f t="shared" si="27"/>
        <v>Tangfarm</v>
      </c>
      <c r="I37" s="94" t="str">
        <f t="shared" si="27"/>
        <v/>
      </c>
    </row>
    <row r="38" spans="1:9" x14ac:dyDescent="0.25">
      <c r="A38" t="s">
        <v>24</v>
      </c>
      <c r="B38">
        <f t="shared" si="21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8">IF(D28&lt;&gt;"",D28,"")</f>
        <v>Skov</v>
      </c>
      <c r="E38" s="94" t="str">
        <f t="shared" si="3"/>
        <v>Skov</v>
      </c>
      <c r="F38" s="94" t="str">
        <f t="shared" si="28"/>
        <v/>
      </c>
      <c r="G38" s="94" t="str">
        <f t="shared" si="28"/>
        <v>Skovproduktion</v>
      </c>
      <c r="H38" s="94" t="str">
        <f t="shared" si="28"/>
        <v/>
      </c>
      <c r="I38" s="94" t="str">
        <f t="shared" si="28"/>
        <v/>
      </c>
    </row>
    <row r="39" spans="1:9" x14ac:dyDescent="0.25">
      <c r="A39" t="s">
        <v>24</v>
      </c>
      <c r="B39">
        <f t="shared" si="21"/>
        <v>2019</v>
      </c>
      <c r="C39" s="94">
        <f ca="1">SUMIFS('Resultater - Østdanmark'!H$3:H$496,'Resultater - Østdanmark'!$F$3:$F$496,'CO2-udledning'!$D$2,'Resultater - Østdanmark'!$A$3:$A$496,'CO2-udledning'!$G39)</f>
        <v>-27463.486962461298</v>
      </c>
      <c r="D39" t="s">
        <v>331</v>
      </c>
      <c r="E39" s="94" t="str">
        <f t="shared" si="3"/>
        <v>Træprodukter</v>
      </c>
      <c r="G39" t="s">
        <v>330</v>
      </c>
      <c r="H39" s="94"/>
      <c r="I39" s="94"/>
    </row>
    <row r="40" spans="1:9" x14ac:dyDescent="0.25">
      <c r="A40" t="s">
        <v>24</v>
      </c>
      <c r="B40">
        <f t="shared" si="21"/>
        <v>2019</v>
      </c>
      <c r="C40" s="94">
        <f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29">IF(D30&lt;&gt;"",D30,"")</f>
        <v>Biogasanlæg</v>
      </c>
      <c r="E40" s="94" t="str">
        <f t="shared" si="3"/>
        <v>Biogasanlæg</v>
      </c>
      <c r="F40" s="94" t="str">
        <f t="shared" si="29"/>
        <v/>
      </c>
      <c r="G40" s="94" t="str">
        <f t="shared" si="29"/>
        <v>Biogasanlæg</v>
      </c>
      <c r="H40" s="94" t="str">
        <f t="shared" si="29"/>
        <v/>
      </c>
      <c r="I40" s="94" t="str">
        <f t="shared" si="29"/>
        <v/>
      </c>
    </row>
    <row r="41" spans="1:9" x14ac:dyDescent="0.25">
      <c r="A41" t="s">
        <v>24</v>
      </c>
      <c r="B41">
        <f t="shared" si="21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0">IF(D31&lt;&gt;"",D31,"")</f>
        <v>Pyrolyseproces</v>
      </c>
      <c r="E41" s="94" t="str">
        <f t="shared" si="3"/>
        <v>Pyrolyseproces</v>
      </c>
      <c r="F41" s="94" t="str">
        <f t="shared" si="30"/>
        <v/>
      </c>
      <c r="G41" s="94" t="str">
        <f t="shared" si="30"/>
        <v>Pyrolyseproces</v>
      </c>
      <c r="H41" s="94" t="str">
        <f t="shared" si="30"/>
        <v/>
      </c>
      <c r="I41" s="94" t="str">
        <f t="shared" si="30"/>
        <v/>
      </c>
    </row>
    <row r="42" spans="1:9" x14ac:dyDescent="0.25">
      <c r="A42" t="s">
        <v>24</v>
      </c>
      <c r="B42">
        <f t="shared" ref="B42:B51" si="31">År2</f>
        <v>2030</v>
      </c>
      <c r="C42" s="94">
        <f ca="1">SUMIF('Resultater - Østdanmark'!$F$3:$F$509,'CO2-udledning'!$D$2,'Resultater - Østdanmark'!I$3:I$509)</f>
        <v>1371740.3716524243</v>
      </c>
      <c r="D42" s="94" t="str">
        <f t="shared" ref="D42:I42" si="32">IF(D32&lt;&gt;"",D32,"")</f>
        <v>CO2 - atmosfære</v>
      </c>
      <c r="E42" s="94" t="str">
        <f t="shared" si="3"/>
        <v>CO2 - atmosfære</v>
      </c>
      <c r="F42" s="94" t="str">
        <f t="shared" si="32"/>
        <v/>
      </c>
      <c r="G42" s="94" t="str">
        <f t="shared" si="32"/>
        <v/>
      </c>
      <c r="H42" s="94" t="str">
        <f t="shared" si="32"/>
        <v/>
      </c>
      <c r="I42" s="94" t="str">
        <f t="shared" si="32"/>
        <v/>
      </c>
    </row>
    <row r="43" spans="1:9" x14ac:dyDescent="0.25">
      <c r="A43" t="s">
        <v>24</v>
      </c>
      <c r="B43">
        <f t="shared" si="31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339395.72967458674</v>
      </c>
      <c r="D43" s="94" t="str">
        <f t="shared" ref="D43:I43" si="33">IF(D33&lt;&gt;"",D33,"")</f>
        <v>Landbrug</v>
      </c>
      <c r="E43" s="94" t="str">
        <f t="shared" si="3"/>
        <v>Husdyr</v>
      </c>
      <c r="F43" s="94" t="str">
        <f t="shared" si="33"/>
        <v/>
      </c>
      <c r="G43" s="94" t="str">
        <f t="shared" si="33"/>
        <v>Grisestald</v>
      </c>
      <c r="H43" s="94" t="str">
        <f t="shared" si="33"/>
        <v>Kostald</v>
      </c>
      <c r="I43" s="94" t="str">
        <f t="shared" si="33"/>
        <v>Fjerkræbrug</v>
      </c>
    </row>
    <row r="44" spans="1:9" x14ac:dyDescent="0.25">
      <c r="A44" t="s">
        <v>24</v>
      </c>
      <c r="B44">
        <f t="shared" si="31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1087468.1807039436</v>
      </c>
      <c r="D44" s="94" t="str">
        <f t="shared" ref="D44:I44" si="34">IF(D34&lt;&gt;"",D34,"")</f>
        <v>Landbrug</v>
      </c>
      <c r="E44" s="94" t="str">
        <f t="shared" si="3"/>
        <v>Marker</v>
      </c>
      <c r="F44" s="94" t="str">
        <f t="shared" si="34"/>
        <v>JB1-10</v>
      </c>
      <c r="G44" s="94" t="str">
        <f t="shared" si="34"/>
        <v/>
      </c>
      <c r="H44" s="94" t="str">
        <f t="shared" si="34"/>
        <v/>
      </c>
      <c r="I44" s="94" t="str">
        <f t="shared" si="34"/>
        <v/>
      </c>
    </row>
    <row r="45" spans="1:9" x14ac:dyDescent="0.25">
      <c r="A45" t="s">
        <v>24</v>
      </c>
      <c r="B45">
        <f t="shared" si="31"/>
        <v>2030</v>
      </c>
      <c r="C45" s="74">
        <f>SUMIFS('Resultater - Østdanmark'!I$3:I$496,'Resultater - Østdanmark'!$F$3:$F$496,'CO2-udledning'!$D$2,'Resultater - Østdanmark'!$C$3:$C$496,'CO2-udledning'!$F5)</f>
        <v>123623.29144463547</v>
      </c>
      <c r="D45" s="94" t="str">
        <f t="shared" ref="D45:I45" si="35">IF(D35&lt;&gt;"",D35,"")</f>
        <v>Landbrug</v>
      </c>
      <c r="E45" s="94" t="str">
        <f t="shared" si="3"/>
        <v>Marker</v>
      </c>
      <c r="F45" s="94" t="str">
        <f t="shared" si="35"/>
        <v>OC6</v>
      </c>
      <c r="G45" s="94" t="str">
        <f t="shared" si="35"/>
        <v/>
      </c>
      <c r="H45" s="94" t="str">
        <f t="shared" si="35"/>
        <v/>
      </c>
      <c r="I45" s="94" t="str">
        <f t="shared" si="35"/>
        <v/>
      </c>
    </row>
    <row r="46" spans="1:9" x14ac:dyDescent="0.25">
      <c r="A46" t="s">
        <v>24</v>
      </c>
      <c r="B46">
        <f t="shared" si="31"/>
        <v>2030</v>
      </c>
      <c r="C46" s="74">
        <f>SUMIFS('Resultater - Østdanmark'!I$3:I$496,'Resultater - Østdanmark'!$F$3:$F$496,'CO2-udledning'!$D$2,'Resultater - Østdanmark'!$C$3:$C$496,'CO2-udledning'!$F6)</f>
        <v>238285.1367167854</v>
      </c>
      <c r="D46" s="94" t="str">
        <f t="shared" ref="D46:I46" si="36">IF(D36&lt;&gt;"",D36,"")</f>
        <v>Landbrug</v>
      </c>
      <c r="E46" s="94" t="str">
        <f t="shared" si="3"/>
        <v>Marker</v>
      </c>
      <c r="F46" s="94" t="str">
        <f t="shared" si="36"/>
        <v>OC12</v>
      </c>
      <c r="G46" s="94" t="str">
        <f t="shared" si="36"/>
        <v/>
      </c>
      <c r="H46" s="94" t="str">
        <f t="shared" si="36"/>
        <v/>
      </c>
      <c r="I46" s="94" t="str">
        <f t="shared" si="36"/>
        <v/>
      </c>
    </row>
    <row r="47" spans="1:9" x14ac:dyDescent="0.25">
      <c r="A47" t="s">
        <v>24</v>
      </c>
      <c r="B47">
        <f t="shared" si="31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7">IF(D37&lt;&gt;"",D37,"")</f>
        <v>Hav</v>
      </c>
      <c r="E47" s="94" t="str">
        <f t="shared" si="3"/>
        <v>Hav</v>
      </c>
      <c r="F47" s="94" t="str">
        <f t="shared" si="37"/>
        <v/>
      </c>
      <c r="G47" s="94" t="str">
        <f t="shared" si="37"/>
        <v>Muslingefarm</v>
      </c>
      <c r="H47" s="94" t="str">
        <f t="shared" si="37"/>
        <v>Tangfarm</v>
      </c>
      <c r="I47" s="94" t="str">
        <f t="shared" si="37"/>
        <v/>
      </c>
    </row>
    <row r="48" spans="1:9" x14ac:dyDescent="0.25">
      <c r="A48" t="s">
        <v>24</v>
      </c>
      <c r="B48">
        <f t="shared" si="31"/>
        <v>2030</v>
      </c>
      <c r="C48" s="94">
        <f ca="1">SUMIFS('Resultater - Østdanmark'!I$3:I$496,'Resultater - Østdanmark'!$F$3:$F$496,'CO2-udledning'!$D$2,'Resultater - Østdanmark'!$A$3:$A$496,'CO2-udledning'!$G38)</f>
        <v>-359567.40233777399</v>
      </c>
      <c r="D48" s="94" t="str">
        <f t="shared" ref="D48:I48" si="38">IF(D38&lt;&gt;"",D38,"")</f>
        <v>Skov</v>
      </c>
      <c r="E48" s="94" t="str">
        <f t="shared" si="3"/>
        <v>Skov</v>
      </c>
      <c r="F48" s="94" t="str">
        <f t="shared" si="38"/>
        <v/>
      </c>
      <c r="G48" s="94" t="str">
        <f t="shared" si="38"/>
        <v>Skovproduktion</v>
      </c>
      <c r="H48" s="94" t="str">
        <f t="shared" si="38"/>
        <v/>
      </c>
      <c r="I48" s="94" t="str">
        <f t="shared" si="38"/>
        <v/>
      </c>
    </row>
    <row r="49" spans="1:9" x14ac:dyDescent="0.25">
      <c r="A49" t="s">
        <v>24</v>
      </c>
      <c r="B49">
        <f t="shared" si="31"/>
        <v>2030</v>
      </c>
      <c r="C49" s="94">
        <f ca="1">SUMIFS('Resultater - Østdanmark'!I$3:I$496,'Resultater - Østdanmark'!$F$3:$F$496,'CO2-udledning'!$D$2,'Resultater - Østdanmark'!$A$3:$A$496,'CO2-udledning'!$G39)</f>
        <v>-27684.464474275122</v>
      </c>
      <c r="D49" t="s">
        <v>331</v>
      </c>
      <c r="E49" s="94" t="str">
        <f t="shared" si="3"/>
        <v>Træprodukter</v>
      </c>
      <c r="G49" t="s">
        <v>330</v>
      </c>
      <c r="H49" s="94"/>
      <c r="I49" s="94"/>
    </row>
    <row r="50" spans="1:9" x14ac:dyDescent="0.25">
      <c r="A50" t="s">
        <v>24</v>
      </c>
      <c r="B50">
        <f t="shared" si="31"/>
        <v>2030</v>
      </c>
      <c r="C50" s="94">
        <f>SUMIFS('Resultater - Østdanmark'!I$3:I$496,'Resultater - Østdanmark'!$F$3:$F$496,'CO2-udledning'!$D$2,'Resultater - Østdanmark'!$A$3:$A$496,'CO2-udledning'!$G40)</f>
        <v>-29779.906050256774</v>
      </c>
      <c r="D50" s="94" t="str">
        <f t="shared" ref="D50:I50" si="39">IF(D40&lt;&gt;"",D40,"")</f>
        <v>Biogasanlæg</v>
      </c>
      <c r="E50" s="94" t="str">
        <f t="shared" si="3"/>
        <v>Biogasanlæg</v>
      </c>
      <c r="F50" s="94" t="str">
        <f t="shared" si="39"/>
        <v/>
      </c>
      <c r="G50" s="94" t="str">
        <f t="shared" si="39"/>
        <v>Biogasanlæg</v>
      </c>
      <c r="H50" s="94" t="str">
        <f t="shared" si="39"/>
        <v/>
      </c>
      <c r="I50" s="94" t="str">
        <f t="shared" si="39"/>
        <v/>
      </c>
    </row>
    <row r="51" spans="1:9" x14ac:dyDescent="0.25">
      <c r="A51" t="s">
        <v>24</v>
      </c>
      <c r="B51">
        <f t="shared" si="31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0">IF(D41&lt;&gt;"",D41,"")</f>
        <v>Pyrolyseproces</v>
      </c>
      <c r="E51" s="94" t="str">
        <f t="shared" si="3"/>
        <v>Pyrolyseproces</v>
      </c>
      <c r="F51" s="94" t="str">
        <f t="shared" si="40"/>
        <v/>
      </c>
      <c r="G51" s="94" t="str">
        <f t="shared" si="40"/>
        <v>Pyrolyseproces</v>
      </c>
      <c r="H51" s="94" t="str">
        <f t="shared" si="40"/>
        <v/>
      </c>
      <c r="I51" s="94" t="str">
        <f t="shared" si="40"/>
        <v/>
      </c>
    </row>
    <row r="52" spans="1:9" x14ac:dyDescent="0.25">
      <c r="A52" t="s">
        <v>24</v>
      </c>
      <c r="B52">
        <f t="shared" ref="B52:B61" si="41">År3</f>
        <v>2050</v>
      </c>
      <c r="C52" s="94">
        <f ca="1">SUMIF('Resultater - Østdanmark'!$F$3:$F$509,'CO2-udledning'!$D$2,'Resultater - Østdanmark'!J$3:J$509)</f>
        <v>294458.66636540444</v>
      </c>
      <c r="D52" s="94" t="str">
        <f t="shared" ref="D52:I52" si="42">IF(D42&lt;&gt;"",D42,"")</f>
        <v>CO2 - atmosfære</v>
      </c>
      <c r="E52" s="94" t="str">
        <f t="shared" si="3"/>
        <v>CO2 - atmosfære</v>
      </c>
      <c r="F52" s="94" t="str">
        <f t="shared" si="42"/>
        <v/>
      </c>
      <c r="G52" s="94" t="str">
        <f t="shared" si="42"/>
        <v/>
      </c>
      <c r="H52" s="94" t="str">
        <f t="shared" si="42"/>
        <v/>
      </c>
      <c r="I52" s="94" t="str">
        <f t="shared" si="42"/>
        <v/>
      </c>
    </row>
    <row r="53" spans="1:9" x14ac:dyDescent="0.25">
      <c r="A53" t="s">
        <v>24</v>
      </c>
      <c r="B53">
        <f t="shared" si="41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39709.74880330517</v>
      </c>
      <c r="D53" s="94" t="str">
        <f t="shared" ref="D53:I53" si="43">IF(D43&lt;&gt;"",D43,"")</f>
        <v>Landbrug</v>
      </c>
      <c r="E53" s="94" t="str">
        <f t="shared" si="3"/>
        <v>Husdyr</v>
      </c>
      <c r="F53" s="94" t="str">
        <f t="shared" si="43"/>
        <v/>
      </c>
      <c r="G53" s="94" t="str">
        <f t="shared" si="43"/>
        <v>Grisestald</v>
      </c>
      <c r="H53" s="94" t="str">
        <f t="shared" si="43"/>
        <v>Kostald</v>
      </c>
      <c r="I53" s="94" t="str">
        <f t="shared" si="43"/>
        <v>Fjerkræbrug</v>
      </c>
    </row>
    <row r="54" spans="1:9" x14ac:dyDescent="0.25">
      <c r="A54" t="s">
        <v>24</v>
      </c>
      <c r="B54">
        <f t="shared" si="41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862591.09501193953</v>
      </c>
      <c r="D54" s="94" t="str">
        <f t="shared" ref="D54:I54" si="44">IF(D44&lt;&gt;"",D44,"")</f>
        <v>Landbrug</v>
      </c>
      <c r="E54" s="94" t="str">
        <f t="shared" si="3"/>
        <v>Marker</v>
      </c>
      <c r="F54" s="94" t="str">
        <f t="shared" si="44"/>
        <v>JB1-10</v>
      </c>
      <c r="G54" s="94" t="str">
        <f t="shared" si="44"/>
        <v/>
      </c>
      <c r="H54" s="94" t="str">
        <f t="shared" si="44"/>
        <v/>
      </c>
      <c r="I54" s="94" t="str">
        <f t="shared" si="44"/>
        <v/>
      </c>
    </row>
    <row r="55" spans="1:9" x14ac:dyDescent="0.25">
      <c r="A55" t="s">
        <v>24</v>
      </c>
      <c r="B55">
        <f t="shared" si="41"/>
        <v>2050</v>
      </c>
      <c r="C55" s="74">
        <f>SUMIFS('Resultater - Østdanmark'!J$3:J$496,'Resultater - Østdanmark'!$F$3:$F$496,'CO2-udledning'!$D$2,'Resultater - Østdanmark'!$C$3:$C$496,'CO2-udledning'!$F5)</f>
        <v>9707.5452111545728</v>
      </c>
      <c r="D55" s="94" t="str">
        <f t="shared" ref="D55:I55" si="45">IF(D45&lt;&gt;"",D45,"")</f>
        <v>Landbrug</v>
      </c>
      <c r="E55" s="94" t="str">
        <f t="shared" si="3"/>
        <v>Marker</v>
      </c>
      <c r="F55" s="94" t="str">
        <f t="shared" si="45"/>
        <v>OC6</v>
      </c>
      <c r="G55" s="94" t="str">
        <f t="shared" si="45"/>
        <v/>
      </c>
      <c r="H55" s="94" t="str">
        <f t="shared" si="45"/>
        <v/>
      </c>
      <c r="I55" s="94" t="str">
        <f t="shared" si="45"/>
        <v/>
      </c>
    </row>
    <row r="56" spans="1:9" x14ac:dyDescent="0.25">
      <c r="A56" t="s">
        <v>24</v>
      </c>
      <c r="B56">
        <f t="shared" si="41"/>
        <v>2050</v>
      </c>
      <c r="C56" s="74">
        <f>SUMIFS('Resultater - Østdanmark'!J$3:J$496,'Resultater - Østdanmark'!$F$3:$F$496,'CO2-udledning'!$D$2,'Resultater - Østdanmark'!$C$3:$C$496,'CO2-udledning'!$F6)</f>
        <v>0</v>
      </c>
      <c r="D56" s="94" t="str">
        <f t="shared" ref="D56:I56" si="46">IF(D46&lt;&gt;"",D46,"")</f>
        <v>Landbrug</v>
      </c>
      <c r="E56" s="94" t="str">
        <f t="shared" si="3"/>
        <v>Marker</v>
      </c>
      <c r="F56" s="94" t="str">
        <f t="shared" si="46"/>
        <v>OC12</v>
      </c>
      <c r="G56" s="94" t="str">
        <f t="shared" si="46"/>
        <v/>
      </c>
      <c r="H56" s="94" t="str">
        <f t="shared" si="46"/>
        <v/>
      </c>
      <c r="I56" s="94" t="str">
        <f t="shared" si="46"/>
        <v/>
      </c>
    </row>
    <row r="57" spans="1:9" x14ac:dyDescent="0.25">
      <c r="A57" t="s">
        <v>24</v>
      </c>
      <c r="B57">
        <f t="shared" si="41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7">IF(D47&lt;&gt;"",D47,"")</f>
        <v>Hav</v>
      </c>
      <c r="E57" s="94" t="str">
        <f t="shared" si="3"/>
        <v>Hav</v>
      </c>
      <c r="F57" s="94" t="str">
        <f t="shared" si="47"/>
        <v/>
      </c>
      <c r="G57" s="94" t="str">
        <f t="shared" si="47"/>
        <v>Muslingefarm</v>
      </c>
      <c r="H57" s="94" t="str">
        <f t="shared" si="47"/>
        <v>Tangfarm</v>
      </c>
      <c r="I57" s="94" t="str">
        <f t="shared" si="47"/>
        <v/>
      </c>
    </row>
    <row r="58" spans="1:9" x14ac:dyDescent="0.25">
      <c r="A58" t="s">
        <v>24</v>
      </c>
      <c r="B58">
        <f t="shared" si="41"/>
        <v>2050</v>
      </c>
      <c r="C58" s="94">
        <f ca="1">SUMIFS('Resultater - Østdanmark'!J$3:J$496,'Resultater - Østdanmark'!$F$3:$F$496,'CO2-udledning'!$D$2,'Resultater - Østdanmark'!$A$3:$A$496,'CO2-udledning'!$G38)</f>
        <v>-517621.37809074466</v>
      </c>
      <c r="D58" s="94" t="str">
        <f t="shared" ref="D58:I58" si="48">IF(D48&lt;&gt;"",D48,"")</f>
        <v>Skov</v>
      </c>
      <c r="E58" s="94" t="str">
        <f t="shared" si="3"/>
        <v>Skov</v>
      </c>
      <c r="F58" s="94" t="str">
        <f t="shared" si="48"/>
        <v/>
      </c>
      <c r="G58" s="94" t="str">
        <f t="shared" si="48"/>
        <v>Skovproduktion</v>
      </c>
      <c r="H58" s="94" t="str">
        <f t="shared" si="48"/>
        <v/>
      </c>
      <c r="I58" s="94" t="str">
        <f t="shared" si="48"/>
        <v/>
      </c>
    </row>
    <row r="59" spans="1:9" x14ac:dyDescent="0.25">
      <c r="A59" t="s">
        <v>24</v>
      </c>
      <c r="B59">
        <f t="shared" si="41"/>
        <v>2050</v>
      </c>
      <c r="C59" s="94">
        <f ca="1">SUMIFS('Resultater - Østdanmark'!J$3:J$496,'Resultater - Østdanmark'!$F$3:$F$496,'CO2-udledning'!$D$2,'Resultater - Østdanmark'!$A$3:$A$496,'CO2-udledning'!$G39)</f>
        <v>-98634.16391809177</v>
      </c>
      <c r="D59" t="s">
        <v>331</v>
      </c>
      <c r="E59" s="94" t="str">
        <f t="shared" si="3"/>
        <v>Træprodukter</v>
      </c>
      <c r="G59" t="s">
        <v>330</v>
      </c>
      <c r="H59" s="94"/>
      <c r="I59" s="94"/>
    </row>
    <row r="60" spans="1:9" x14ac:dyDescent="0.25">
      <c r="A60" t="s">
        <v>24</v>
      </c>
      <c r="B60">
        <f t="shared" si="41"/>
        <v>2050</v>
      </c>
      <c r="C60" s="94">
        <f>SUMIFS('Resultater - Østdanmark'!J$3:J$496,'Resultater - Østdanmark'!$F$3:$F$496,'CO2-udledning'!$D$2,'Resultater - Østdanmark'!$A$3:$A$496,'CO2-udledning'!$G40)</f>
        <v>-1293.9866269373474</v>
      </c>
      <c r="D60" s="94" t="str">
        <f t="shared" ref="D60:I60" si="49">IF(D50&lt;&gt;"",D50,"")</f>
        <v>Biogasanlæg</v>
      </c>
      <c r="E60" s="94" t="str">
        <f t="shared" si="3"/>
        <v>Biogasanlæg</v>
      </c>
      <c r="F60" s="94" t="str">
        <f t="shared" si="49"/>
        <v/>
      </c>
      <c r="G60" s="94" t="str">
        <f t="shared" si="49"/>
        <v>Biogasanlæg</v>
      </c>
      <c r="H60" s="94" t="str">
        <f t="shared" si="49"/>
        <v/>
      </c>
      <c r="I60" s="94" t="str">
        <f t="shared" si="49"/>
        <v/>
      </c>
    </row>
    <row r="61" spans="1:9" x14ac:dyDescent="0.25">
      <c r="A61" t="s">
        <v>24</v>
      </c>
      <c r="B61">
        <f t="shared" si="41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0">IF(D51&lt;&gt;"",D51,"")</f>
        <v>Pyrolyseproces</v>
      </c>
      <c r="E61" s="94" t="str">
        <f t="shared" si="3"/>
        <v>Pyrolyseproces</v>
      </c>
      <c r="F61" s="94" t="str">
        <f t="shared" si="50"/>
        <v/>
      </c>
      <c r="G61" s="94" t="str">
        <f t="shared" si="50"/>
        <v>Pyrolyseproces</v>
      </c>
      <c r="H61" s="94" t="str">
        <f t="shared" si="50"/>
        <v/>
      </c>
      <c r="I61" s="94" t="str">
        <f t="shared" si="50"/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4" width="9.1406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5" t="s">
        <v>64</v>
      </c>
      <c r="B1" t="s">
        <v>80</v>
      </c>
    </row>
    <row r="3" spans="1:15" x14ac:dyDescent="0.25">
      <c r="A3" s="75" t="s">
        <v>126</v>
      </c>
      <c r="B3" s="75" t="s">
        <v>62</v>
      </c>
    </row>
    <row r="4" spans="1:15" x14ac:dyDescent="0.25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25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25">
      <c r="A6" s="76">
        <v>2030</v>
      </c>
      <c r="B6" s="94">
        <v>960305.60934986256</v>
      </c>
      <c r="C6" s="94">
        <v>938122.47170424869</v>
      </c>
      <c r="D6" s="94">
        <v>980664.26590672811</v>
      </c>
      <c r="E6" s="94">
        <v>25656198.327026106</v>
      </c>
      <c r="F6" s="94">
        <v>1380207.3161792045</v>
      </c>
      <c r="G6" s="94">
        <v>887159.44985439931</v>
      </c>
      <c r="H6" s="94">
        <v>2195298.6550421813</v>
      </c>
      <c r="I6" s="94">
        <v>6079568.6860821554</v>
      </c>
      <c r="J6" s="94">
        <v>5105364.9354811171</v>
      </c>
      <c r="K6" s="94">
        <v>1276615.9272226524</v>
      </c>
      <c r="L6" s="94">
        <v>1169185.1597315338</v>
      </c>
      <c r="M6" s="94">
        <v>962027.98664553557</v>
      </c>
      <c r="N6" s="94">
        <v>2498151.9864618396</v>
      </c>
      <c r="O6" s="94">
        <v>50088870.77668757</v>
      </c>
    </row>
    <row r="7" spans="1:15" x14ac:dyDescent="0.25">
      <c r="A7" s="76">
        <v>2050</v>
      </c>
      <c r="B7" s="94">
        <v>1311141.8578415348</v>
      </c>
      <c r="C7" s="94">
        <v>0</v>
      </c>
      <c r="D7" s="94">
        <v>1609127.400187155</v>
      </c>
      <c r="E7" s="94">
        <v>34773018.351034001</v>
      </c>
      <c r="F7" s="94">
        <v>2025526.4544641112</v>
      </c>
      <c r="G7" s="94">
        <v>515416.99573239626</v>
      </c>
      <c r="H7" s="94">
        <v>1263583.871628813</v>
      </c>
      <c r="I7" s="94">
        <v>559770.92661797442</v>
      </c>
      <c r="J7" s="94">
        <v>0</v>
      </c>
      <c r="K7" s="94">
        <v>0</v>
      </c>
      <c r="L7" s="94">
        <v>1753629.766003873</v>
      </c>
      <c r="M7" s="94">
        <v>865274.96481497539</v>
      </c>
      <c r="N7" s="94">
        <v>1486735.5223291777</v>
      </c>
      <c r="O7" s="94">
        <v>46163226.110653996</v>
      </c>
    </row>
    <row r="8" spans="1:15" x14ac:dyDescent="0.25">
      <c r="A8" s="76" t="s">
        <v>61</v>
      </c>
      <c r="B8" s="94">
        <v>2556817.3239545161</v>
      </c>
      <c r="C8" s="94">
        <v>2446405.1409550118</v>
      </c>
      <c r="D8" s="94">
        <v>2631520.6151110972</v>
      </c>
      <c r="E8" s="94">
        <v>78342223.21689342</v>
      </c>
      <c r="F8" s="94">
        <v>3686056.2074026321</v>
      </c>
      <c r="G8" s="94">
        <v>2314675.8969558761</v>
      </c>
      <c r="H8" s="94">
        <v>5722058.6840479393</v>
      </c>
      <c r="I8" s="94">
        <v>15751425.461858502</v>
      </c>
      <c r="J8" s="94">
        <v>13061286.065099917</v>
      </c>
      <c r="K8" s="94">
        <v>3282683.1760502523</v>
      </c>
      <c r="L8" s="94">
        <v>3132682.0644123512</v>
      </c>
      <c r="M8" s="94">
        <v>2505628.1799717578</v>
      </c>
      <c r="N8" s="94">
        <v>6595721.550694121</v>
      </c>
      <c r="O8" s="94">
        <v>142029183.58340737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11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11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11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11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11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11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11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11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11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11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11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11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11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11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4663363.7758037988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11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735809.0653745383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11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736256.34152477351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11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20061837.661928307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11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1055655.6204498296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11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1695915.6587194109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11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1903494.0653747609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11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3948930.9849556261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11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750025.29549583921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11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982115.03636884945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11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710419.72735456063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11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681865.66095142043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11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896780.35875026754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11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420045.64366621693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11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983865.71975473268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11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649292.34846099082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11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26114077.403632663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11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1519931.6771751184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11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948178.75571234117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11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1115629.1792631589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11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0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11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1207470.6320248828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11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0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11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0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11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386762.96576702269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11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1315903.5397993135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11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11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11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11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11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11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11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11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11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11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11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11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11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11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1416204.9102783564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11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224496.54397532428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11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225771.64512076203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11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5594360.665097801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11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324551.69572937489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11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499382.99632277054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11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594657.92108707852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11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1156433.9505254913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11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230638.97041088896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11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294500.89085380302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11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227702.74434968803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11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205293.78890297885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11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272404.80098126631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11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139725.28295175743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11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327276.13808680209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11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215982.61635398451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11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8658940.9474013411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11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505594.77728899289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11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315405.11591647175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11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371106.34306601883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11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0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11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401656.76816227223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11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0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11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0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11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128654.0299653736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11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437726.22620455944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119</v>
      </c>
      <c r="C5" t="s">
        <v>118</v>
      </c>
      <c r="D5" t="s">
        <v>61</v>
      </c>
    </row>
    <row r="6" spans="1:4" x14ac:dyDescent="0.25">
      <c r="A6" s="76">
        <v>2019</v>
      </c>
      <c r="B6" s="213">
        <v>3010292.0648196544</v>
      </c>
      <c r="C6" s="213">
        <v>827707.93518034508</v>
      </c>
      <c r="D6" s="213">
        <v>3837999.9999999995</v>
      </c>
    </row>
    <row r="7" spans="1:4" x14ac:dyDescent="0.25">
      <c r="A7" s="76">
        <v>2030</v>
      </c>
      <c r="B7" s="213">
        <v>2874839.9680931582</v>
      </c>
      <c r="C7" s="213">
        <v>792057.93807476689</v>
      </c>
      <c r="D7" s="213">
        <v>3666897.9061679253</v>
      </c>
    </row>
    <row r="8" spans="1:4" x14ac:dyDescent="0.25">
      <c r="A8" s="76">
        <v>2050</v>
      </c>
      <c r="B8" s="213">
        <v>2954639.3356608618</v>
      </c>
      <c r="C8" s="213">
        <v>859926.76116467617</v>
      </c>
      <c r="D8" s="213">
        <v>3814566.0968255382</v>
      </c>
    </row>
    <row r="9" spans="1:4" x14ac:dyDescent="0.25">
      <c r="A9" s="76" t="s">
        <v>61</v>
      </c>
      <c r="B9" s="213">
        <v>8839771.3685736749</v>
      </c>
      <c r="C9" s="213">
        <v>2479692.6344197881</v>
      </c>
      <c r="D9" s="213">
        <v>11319464.002993463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106</v>
      </c>
      <c r="C5" t="s">
        <v>99</v>
      </c>
      <c r="D5" t="s">
        <v>61</v>
      </c>
    </row>
    <row r="6" spans="1:4" x14ac:dyDescent="0.25">
      <c r="A6" s="76">
        <v>2019</v>
      </c>
      <c r="B6" s="213">
        <v>880.09999999999991</v>
      </c>
      <c r="C6" s="213">
        <v>76.5</v>
      </c>
      <c r="D6" s="213">
        <v>956.59999999999991</v>
      </c>
    </row>
    <row r="7" spans="1:4" x14ac:dyDescent="0.25">
      <c r="A7" s="76">
        <v>2030</v>
      </c>
      <c r="B7" s="213">
        <v>880.09999999999991</v>
      </c>
      <c r="C7" s="213">
        <v>382.5</v>
      </c>
      <c r="D7" s="213">
        <v>1262.5999999999999</v>
      </c>
    </row>
    <row r="8" spans="1:4" x14ac:dyDescent="0.25">
      <c r="A8" s="76">
        <v>2050</v>
      </c>
      <c r="B8" s="213">
        <v>880.09999999999991</v>
      </c>
      <c r="C8" s="213">
        <v>382.5</v>
      </c>
      <c r="D8" s="213">
        <v>1262.5999999999999</v>
      </c>
    </row>
    <row r="9" spans="1:4" x14ac:dyDescent="0.25">
      <c r="A9" s="76" t="s">
        <v>61</v>
      </c>
      <c r="B9" s="213">
        <v>2640.2999999999997</v>
      </c>
      <c r="C9" s="213">
        <v>841.5</v>
      </c>
      <c r="D9" s="213">
        <v>3481.7999999999997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5" t="s">
        <v>64</v>
      </c>
      <c r="B1" t="s">
        <v>80</v>
      </c>
    </row>
    <row r="3" spans="1:7" x14ac:dyDescent="0.25">
      <c r="A3" s="75" t="s">
        <v>79</v>
      </c>
      <c r="B3" s="75" t="s">
        <v>62</v>
      </c>
    </row>
    <row r="4" spans="1:7" x14ac:dyDescent="0.25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25">
      <c r="A5" s="76">
        <v>2019</v>
      </c>
      <c r="B5" s="213">
        <v>66640</v>
      </c>
      <c r="C5" s="213">
        <v>592120</v>
      </c>
      <c r="D5" s="213">
        <v>2578669.9999999995</v>
      </c>
      <c r="E5" s="213">
        <v>505590.00000000006</v>
      </c>
      <c r="F5" s="213">
        <v>562410</v>
      </c>
      <c r="G5" s="213">
        <v>4305430</v>
      </c>
    </row>
    <row r="6" spans="1:7" x14ac:dyDescent="0.25">
      <c r="A6" s="76">
        <v>2030</v>
      </c>
      <c r="B6" s="213">
        <v>66640</v>
      </c>
      <c r="C6" s="213">
        <v>592120</v>
      </c>
      <c r="D6" s="213">
        <v>2357744.0740740737</v>
      </c>
      <c r="E6" s="213">
        <v>601515.92592592584</v>
      </c>
      <c r="F6" s="213">
        <v>687410</v>
      </c>
      <c r="G6" s="213">
        <v>4305430</v>
      </c>
    </row>
    <row r="7" spans="1:7" x14ac:dyDescent="0.25">
      <c r="A7" s="76">
        <v>2050</v>
      </c>
      <c r="B7" s="213">
        <v>66640</v>
      </c>
      <c r="C7" s="213">
        <v>592120</v>
      </c>
      <c r="D7" s="213">
        <v>1958670</v>
      </c>
      <c r="E7" s="213">
        <v>875590.00000000012</v>
      </c>
      <c r="F7" s="213">
        <v>812410</v>
      </c>
      <c r="G7" s="213">
        <v>4305430</v>
      </c>
    </row>
    <row r="8" spans="1:7" x14ac:dyDescent="0.25">
      <c r="A8" s="76" t="s">
        <v>61</v>
      </c>
      <c r="B8" s="213">
        <v>199920</v>
      </c>
      <c r="C8" s="213">
        <v>1776360</v>
      </c>
      <c r="D8" s="213">
        <v>6895084.0740740728</v>
      </c>
      <c r="E8" s="213">
        <v>1982695.9259259258</v>
      </c>
      <c r="F8" s="213">
        <v>2062230</v>
      </c>
      <c r="G8" s="213">
        <v>12916290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9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5" t="s">
        <v>63</v>
      </c>
      <c r="B1" t="s">
        <v>80</v>
      </c>
    </row>
    <row r="2" spans="1:16" x14ac:dyDescent="0.25">
      <c r="A2" s="75" t="s">
        <v>64</v>
      </c>
      <c r="B2" t="s">
        <v>80</v>
      </c>
    </row>
    <row r="4" spans="1:16" x14ac:dyDescent="0.25">
      <c r="A4" s="75" t="s">
        <v>87</v>
      </c>
      <c r="B4" s="75" t="s">
        <v>62</v>
      </c>
    </row>
    <row r="5" spans="1:16" x14ac:dyDescent="0.25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25">
      <c r="A6" s="76">
        <v>2019</v>
      </c>
      <c r="B6" s="213">
        <v>76936.491003913645</v>
      </c>
      <c r="C6" s="213">
        <v>5112.5796318426765</v>
      </c>
      <c r="D6" s="213">
        <v>288510.97448626079</v>
      </c>
      <c r="E6" s="213">
        <v>12737.861407364735</v>
      </c>
      <c r="F6" s="213">
        <v>18955.494408534123</v>
      </c>
      <c r="G6" s="213">
        <v>55123.467536910946</v>
      </c>
      <c r="H6" s="213">
        <v>1338020.0537015593</v>
      </c>
      <c r="I6" s="213">
        <v>180387.32565123856</v>
      </c>
      <c r="J6" s="213">
        <v>69972.60108508839</v>
      </c>
      <c r="K6" s="213">
        <v>161391.51776080468</v>
      </c>
      <c r="L6" s="213">
        <v>33713.005264576917</v>
      </c>
      <c r="M6" s="213">
        <v>221142.47330260737</v>
      </c>
      <c r="N6" s="213">
        <v>8583.1535453348897</v>
      </c>
      <c r="O6" s="213">
        <v>108083.00121396239</v>
      </c>
      <c r="P6" s="213">
        <v>2578669.9999999995</v>
      </c>
    </row>
    <row r="7" spans="1:16" x14ac:dyDescent="0.25">
      <c r="A7" s="76">
        <v>2030</v>
      </c>
      <c r="B7" s="213">
        <v>243161.64195310054</v>
      </c>
      <c r="C7" s="213">
        <v>113048.17422078672</v>
      </c>
      <c r="D7" s="213">
        <v>365230.68050764938</v>
      </c>
      <c r="E7" s="213">
        <v>58535.371458949026</v>
      </c>
      <c r="F7" s="213">
        <v>17261.901103033066</v>
      </c>
      <c r="G7" s="213">
        <v>50167.676826770279</v>
      </c>
      <c r="H7" s="213">
        <v>832982.16801695561</v>
      </c>
      <c r="I7" s="213">
        <v>108000.23540961105</v>
      </c>
      <c r="J7" s="213">
        <v>41551.771304393085</v>
      </c>
      <c r="K7" s="213">
        <v>214030.76587929804</v>
      </c>
      <c r="L7" s="213">
        <v>30065.125187418707</v>
      </c>
      <c r="M7" s="213">
        <v>174138.6393081928</v>
      </c>
      <c r="N7" s="213">
        <v>46702.542592572347</v>
      </c>
      <c r="O7" s="213">
        <v>62867.380305343104</v>
      </c>
      <c r="P7" s="213">
        <v>2357744.0740740742</v>
      </c>
    </row>
    <row r="8" spans="1:16" x14ac:dyDescent="0.25">
      <c r="A8" s="76">
        <v>2050</v>
      </c>
      <c r="B8" s="213">
        <v>487484</v>
      </c>
      <c r="C8" s="213">
        <v>272007.40559841489</v>
      </c>
      <c r="D8" s="213">
        <v>487484</v>
      </c>
      <c r="E8" s="213">
        <v>126035.68080385611</v>
      </c>
      <c r="F8" s="213">
        <v>14794.037636208201</v>
      </c>
      <c r="G8" s="213">
        <v>42698.301890549148</v>
      </c>
      <c r="H8" s="213">
        <v>97496.799999999988</v>
      </c>
      <c r="I8" s="213">
        <v>0</v>
      </c>
      <c r="J8" s="213">
        <v>0</v>
      </c>
      <c r="K8" s="213">
        <v>292490.40000000002</v>
      </c>
      <c r="L8" s="213">
        <v>26259.617305594744</v>
      </c>
      <c r="M8" s="213">
        <v>8733.9999999999964</v>
      </c>
      <c r="N8" s="213">
        <v>103185.75676537695</v>
      </c>
      <c r="O8" s="213">
        <v>0</v>
      </c>
      <c r="P8" s="213">
        <v>1958670</v>
      </c>
    </row>
    <row r="9" spans="1:16" x14ac:dyDescent="0.25">
      <c r="A9" s="76" t="s">
        <v>61</v>
      </c>
      <c r="B9" s="213">
        <v>807582.13295701426</v>
      </c>
      <c r="C9" s="213">
        <v>390168.15945104428</v>
      </c>
      <c r="D9" s="213">
        <v>1141225.6549939101</v>
      </c>
      <c r="E9" s="213">
        <v>197308.91367016989</v>
      </c>
      <c r="F9" s="213">
        <v>51011.433147775388</v>
      </c>
      <c r="G9" s="213">
        <v>147989.4462542304</v>
      </c>
      <c r="H9" s="213">
        <v>2268499.0217185146</v>
      </c>
      <c r="I9" s="213">
        <v>288387.56106084958</v>
      </c>
      <c r="J9" s="213">
        <v>111524.37238948148</v>
      </c>
      <c r="K9" s="213">
        <v>667912.68364010274</v>
      </c>
      <c r="L9" s="213">
        <v>90037.747757590376</v>
      </c>
      <c r="M9" s="213">
        <v>404015.11261080019</v>
      </c>
      <c r="N9" s="213">
        <v>158471.4529032842</v>
      </c>
      <c r="O9" s="213">
        <v>170950.38151930549</v>
      </c>
      <c r="P9" s="213">
        <v>6895084.0740740737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1700342.5314320424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543583.04014158307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362850.67167361401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66595.901673525368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74044.098326474632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50308.863648834013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61682.247462277082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1463209.4724471318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491465.21214000636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7582.4059259259229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133057.59407407406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111991.11111111109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522741.61671610549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143826.95985841687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82325.18017823789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10114.39462277092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11245.605377229082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7640.7659807956097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9368.122908093279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486726.52755286818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101858.78785999372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1151.5940740740734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20208.405925925927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17008.888888888891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7019935.8896729527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791373.67349799909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14365153.861353351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0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0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0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291855.95871414396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140119.4403069797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549570.00189249648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3852485.7132664006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1350328.4938290967</v>
      </c>
      <c r="J16" s="74">
        <f t="shared" si="2"/>
        <v>1350328.4938290967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2379805.8031627773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163865.56173743002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632521.06830647995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201653.45648562003</v>
      </c>
      <c r="J17" s="74">
        <f t="shared" si="2"/>
        <v>201653.45648562003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1074244.3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143784.0142759982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632649.66281439213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362862.00504546956</v>
      </c>
      <c r="J18" s="74">
        <f t="shared" si="2"/>
        <v>362862.00504546956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93364.229814031074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232128.24388948342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11518203.461796168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11518203.461796168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8509733.5999999996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39640.409978651463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822538.50705701788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822538.50705701788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33011.927807710199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1402046.2672618506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1402046.2672618506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20302.460574954777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1649650.6771649821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1649650.6771649821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70768.074420551435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3149886.9924587444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3149886.9924587444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1541102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76597.510260677154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650312.86211314914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650312.86211314914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82455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27203.247984048536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810546.44017189322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810546.44017189322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1570560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39289.80368337129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561406.53409953392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100155.67351354605</v>
      </c>
      <c r="J26" s="74">
        <f t="shared" si="2"/>
        <v>100155.67351354605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1169559.3041937244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11437.918624561291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571895.93122806458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571895.93122806458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-10807.957958172134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31145.785633214087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759653.30812717287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>IF(I28&lt;&gt;0,I28,H28)</f>
        <v>759653.30812717287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272840.10660097841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68835.987693799732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949248.27029749833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949248.27029749833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Korn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0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0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0</v>
      </c>
      <c r="J30" s="74">
        <f t="shared" si="2"/>
        <v>0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Bælgsæd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0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0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0</v>
      </c>
      <c r="J31" s="74">
        <f t="shared" si="2"/>
        <v>0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Raps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0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0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0</v>
      </c>
      <c r="J32" s="74">
        <f t="shared" si="2"/>
        <v>0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15447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0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0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0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16513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3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0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0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0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214987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3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0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0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0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386989.69580627553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3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0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0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0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109775.95795817213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3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0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0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0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1512706.8933990216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3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0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0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0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3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0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0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0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3"/>
        <v>JB1-10</v>
      </c>
      <c r="F40" t="str">
        <f t="shared" si="1"/>
        <v>Frø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0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0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0</v>
      </c>
      <c r="J40" s="74">
        <f t="shared" si="2"/>
        <v>0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3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0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0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0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3"/>
        <v>JB1-10</v>
      </c>
      <c r="F42" t="str">
        <f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0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0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>IF(I42&lt;&gt;0,I42,H42)</f>
        <v>0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3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3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3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3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3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3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3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3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3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3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3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3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3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3"/>
        <v>JB1-10</v>
      </c>
      <c r="F56" t="str">
        <f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3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3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70268.852646918647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330031.72022678284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115678.88082102813</v>
      </c>
      <c r="J58" s="74">
        <f t="shared" si="2"/>
        <v>115678.88082102813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3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20952.098862711297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46098.807917737402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14696.718294882417</v>
      </c>
      <c r="J59" s="74">
        <f t="shared" si="2"/>
        <v>14696.718294882417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3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18384.441795130875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44490.349144216721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25517.846992640829</v>
      </c>
      <c r="J60" s="74">
        <f t="shared" si="2"/>
        <v>25517.846992640829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3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29680.26877174573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1148733.2504341381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1148733.2504341381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3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5068.4828467005436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59947.480869350678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59947.480869350678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3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4220.9550789209043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102182.62253197838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102182.62253197838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3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2595.9033528006162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120228.29516430649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120228.29516430649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3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9048.5131583594866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334281.93616322207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334281.93616322207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4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9793.8736522981453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47395.492765566421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47395.492765566421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4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3478.2484806778398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59073.486285495703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59073.486285495703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4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5023.6537948685918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40915.905059904195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7299.4519653461457</v>
      </c>
      <c r="J68" s="74">
        <f t="shared" si="2"/>
        <v>7299.4519653461457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4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1462.4695955911445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41680.383474347618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41680.383474347618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4"/>
        <v>JB1-10</v>
      </c>
      <c r="F70" t="str">
        <f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3982.3473146209913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55364.340715462567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>IF(I70&lt;&gt;0,I70,H70)</f>
        <v>55364.340715462567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4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8801.4736237494071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121372.32127150433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121372.32127150433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4"/>
        <v>JB1-10</v>
      </c>
      <c r="F72" t="str">
        <f t="shared" ref="F72:F139" si="5">IF(I72&lt;&gt;0,"Halm",IF(B72&lt;&gt;"Permanent græs",B72,"Græs"))</f>
        <v>Halm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73160.473622356585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343612.79646212218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137101.84797854407</v>
      </c>
      <c r="J72" s="74">
        <f t="shared" ref="J72:J139" si="6">IF(I72&lt;&gt;0,I72,H72)</f>
        <v>137101.84797854407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4"/>
        <v>JB1-10</v>
      </c>
      <c r="F73" t="str">
        <f t="shared" si="5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365802.36811178294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804838.3703195448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292088.81867644796</v>
      </c>
      <c r="J73" s="74">
        <f t="shared" si="6"/>
        <v>292088.81867644796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4"/>
        <v>JB1-10</v>
      </c>
      <c r="F74" t="str">
        <f t="shared" si="5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219481.42086706977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531145.03849830886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346790.28977475752</v>
      </c>
      <c r="J74" s="74">
        <f t="shared" si="6"/>
        <v>346790.28977475752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4"/>
        <v>JB1-10</v>
      </c>
      <c r="F75" t="str">
        <f t="shared" si="5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365802.36811178294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14157868.534451202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6"/>
        <v>14157868.534451202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4"/>
        <v>JB1-10</v>
      </c>
      <c r="F76" t="str">
        <f t="shared" si="5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94575.720443401937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1118594.3335443365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6"/>
        <v>1118594.3335443365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4"/>
        <v>JB1-10</v>
      </c>
      <c r="F77" t="str">
        <f t="shared" si="5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32040.313007021148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775645.12026028824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6"/>
        <v>775645.12026028824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4"/>
        <v>JB1-10</v>
      </c>
      <c r="F78" t="str">
        <f t="shared" si="5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19704.9137942901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912625.72980277194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6"/>
        <v>912625.72980277194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4"/>
        <v>JB1-10</v>
      </c>
      <c r="F79" t="str">
        <f t="shared" si="5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0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0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6"/>
        <v>0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4"/>
        <v>JB1-10</v>
      </c>
      <c r="F80" t="str">
        <f t="shared" si="5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204111.21823863432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987755.41842222307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6"/>
        <v>987755.41842222307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4"/>
        <v>JB1-10</v>
      </c>
      <c r="F81" t="str">
        <f t="shared" si="5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0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0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6"/>
        <v>0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4"/>
        <v>JB1-10</v>
      </c>
      <c r="F82" t="str">
        <f t="shared" si="5"/>
        <v>Frø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0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0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0</v>
      </c>
      <c r="J82" s="74">
        <f t="shared" si="6"/>
        <v>0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4"/>
        <v>JB1-10</v>
      </c>
      <c r="F83" t="str">
        <f t="shared" si="5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11101.275121357427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316386.3409586866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6"/>
        <v>316386.3409586866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4"/>
        <v>JB1-10</v>
      </c>
      <c r="F84" t="str">
        <f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77429.401129434642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1076457.5278970182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>IF(I84&lt;&gt;0,I84,H84)</f>
        <v>1076457.5278970182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4"/>
        <v>JB1-10</v>
      </c>
      <c r="F85" t="str">
        <f t="shared" si="5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6"/>
        <v>0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7">Organ6</f>
        <v>OC6</v>
      </c>
      <c r="F86" t="str">
        <f t="shared" si="5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6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7"/>
        <v>OC6</v>
      </c>
      <c r="F87" t="str">
        <f t="shared" si="5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6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7"/>
        <v>OC6</v>
      </c>
      <c r="F88" t="str">
        <f t="shared" si="5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6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7"/>
        <v>OC6</v>
      </c>
      <c r="F89" t="str">
        <f t="shared" si="5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6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7"/>
        <v>OC6</v>
      </c>
      <c r="F90" t="str">
        <f t="shared" si="5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6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7"/>
        <v>OC6</v>
      </c>
      <c r="F91" t="str">
        <f t="shared" si="5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6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7"/>
        <v>OC6</v>
      </c>
      <c r="F92" t="str">
        <f t="shared" si="5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6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7"/>
        <v>OC6</v>
      </c>
      <c r="F93" t="str">
        <f t="shared" si="5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6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7"/>
        <v>OC6</v>
      </c>
      <c r="F94" t="str">
        <f t="shared" si="5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6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7"/>
        <v>OC6</v>
      </c>
      <c r="F95" t="str">
        <f t="shared" si="5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6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7"/>
        <v>OC6</v>
      </c>
      <c r="F96" t="str">
        <f t="shared" si="5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6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7"/>
        <v>OC6</v>
      </c>
      <c r="F97" t="str">
        <f t="shared" si="5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6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7"/>
        <v>OC6</v>
      </c>
      <c r="F98" t="str">
        <f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7"/>
        <v>OC6</v>
      </c>
      <c r="F99" t="str">
        <f t="shared" si="5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6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7"/>
        <v>OC6</v>
      </c>
      <c r="F100" t="str">
        <f t="shared" si="5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11146.675971614259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93765.838273219139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32865.711281443299</v>
      </c>
      <c r="J100" s="74">
        <f t="shared" si="6"/>
        <v>32865.711281443299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7"/>
        <v>OC6</v>
      </c>
      <c r="F101" t="str">
        <f t="shared" si="5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955.53991373678116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4426.0608804287704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1411.0683736494675</v>
      </c>
      <c r="J101" s="74">
        <f t="shared" si="6"/>
        <v>1411.0683736494675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7"/>
        <v>OC6</v>
      </c>
      <c r="F102" t="str">
        <f t="shared" si="5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1023.175894073177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5402.368720706374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3098.5780301689088</v>
      </c>
      <c r="J102" s="74">
        <f t="shared" si="6"/>
        <v>3098.5780301689088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7"/>
        <v>OC6</v>
      </c>
      <c r="F103" t="str">
        <f t="shared" si="5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9442.2283096878091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562228.04247205087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6"/>
        <v>562228.04247205087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7"/>
        <v>OC6</v>
      </c>
      <c r="F104" t="str">
        <f t="shared" si="5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44.161656964352275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1099.6252584123717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6"/>
        <v>1099.6252584123717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7"/>
        <v>OC6</v>
      </c>
      <c r="F105" t="str">
        <f t="shared" si="5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697.1981006225534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35532.756531411018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6"/>
        <v>35532.756531411018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7"/>
        <v>OC6</v>
      </c>
      <c r="F106" t="str">
        <f t="shared" si="5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18.291214869045849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1783.4753506940704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6"/>
        <v>1783.4753506940704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7"/>
        <v>OC6</v>
      </c>
      <c r="F107" t="str">
        <f t="shared" si="5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2361.1209681497958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126112.19315081689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6"/>
        <v>126112.19315081689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7"/>
        <v>OC6</v>
      </c>
      <c r="F108" t="str">
        <f t="shared" si="5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40.223725441831391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409.79931480137822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6"/>
        <v>409.79931480137822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7"/>
        <v>OC6</v>
      </c>
      <c r="F109" t="str">
        <f t="shared" si="5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711.39284184725705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25435.945113370781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6"/>
        <v>25435.945113370781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7"/>
        <v>OC6</v>
      </c>
      <c r="F110" t="str">
        <f t="shared" si="5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1755.9273228354043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30108.241223742698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5371.3503404604662</v>
      </c>
      <c r="J110" s="74">
        <f t="shared" si="6"/>
        <v>5371.3503404604662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7"/>
        <v>OC6</v>
      </c>
      <c r="F111" t="str">
        <f t="shared" si="5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201.74386646472948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12104.631987883768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6"/>
        <v>12104.631987883768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7"/>
        <v>OC6</v>
      </c>
      <c r="F112" t="str">
        <f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331.33782011929418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9697.692296174464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>IF(I112&lt;&gt;0,I112,H112)</f>
        <v>9697.692296174464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7"/>
        <v>OC6</v>
      </c>
      <c r="F113" t="str">
        <f t="shared" si="5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30317.151475612973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501688.22261844354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6"/>
        <v>501688.22261844354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7"/>
        <v>OC6</v>
      </c>
      <c r="F114" t="str">
        <f t="shared" si="5"/>
        <v>Korn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4">
        <f t="shared" si="6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7"/>
        <v>OC6</v>
      </c>
      <c r="F115" t="str">
        <f t="shared" si="5"/>
        <v>Bælgsæd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4">
        <f t="shared" si="6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7"/>
        <v>OC6</v>
      </c>
      <c r="F116" t="str">
        <f t="shared" si="5"/>
        <v>Raps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4">
        <f t="shared" si="6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7"/>
        <v>OC6</v>
      </c>
      <c r="F117" t="str">
        <f t="shared" si="5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6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8">Organ6</f>
        <v>OC6</v>
      </c>
      <c r="F118" t="str">
        <f t="shared" si="5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6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8"/>
        <v>OC6</v>
      </c>
      <c r="F119" t="str">
        <f t="shared" si="5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6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8"/>
        <v>OC6</v>
      </c>
      <c r="F120" t="str">
        <f t="shared" si="5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6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8"/>
        <v>OC6</v>
      </c>
      <c r="F121" t="str">
        <f t="shared" si="5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6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8"/>
        <v>OC6</v>
      </c>
      <c r="F122" t="str">
        <f t="shared" si="5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6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8"/>
        <v>OC6</v>
      </c>
      <c r="F123" t="str">
        <f t="shared" si="5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6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8"/>
        <v>OC6</v>
      </c>
      <c r="F124" t="str">
        <f t="shared" si="5"/>
        <v>Frø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4">
        <f t="shared" si="6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8"/>
        <v>OC6</v>
      </c>
      <c r="F125" t="str">
        <f t="shared" si="5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6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8"/>
        <v>OC6</v>
      </c>
      <c r="F126" t="str">
        <f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8"/>
        <v>OC6</v>
      </c>
      <c r="F127" t="str">
        <f t="shared" si="5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6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8"/>
        <v>OC6</v>
      </c>
      <c r="F128" t="str">
        <f t="shared" si="5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6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8"/>
        <v>OC6</v>
      </c>
      <c r="F129" t="str">
        <f t="shared" si="5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6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8"/>
        <v>OC6</v>
      </c>
      <c r="F130" t="str">
        <f t="shared" si="5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6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8"/>
        <v>OC6</v>
      </c>
      <c r="F131" t="str">
        <f t="shared" si="5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6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8"/>
        <v>OC6</v>
      </c>
      <c r="F132" t="str">
        <f t="shared" si="5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6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8"/>
        <v>OC6</v>
      </c>
      <c r="F133" t="str">
        <f t="shared" si="5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6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8"/>
        <v>OC6</v>
      </c>
      <c r="F134" t="str">
        <f t="shared" si="5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6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8"/>
        <v>OC6</v>
      </c>
      <c r="F135" t="str">
        <f t="shared" si="5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6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8"/>
        <v>OC6</v>
      </c>
      <c r="F136" t="str">
        <f t="shared" si="5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6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8"/>
        <v>OC6</v>
      </c>
      <c r="F137" t="str">
        <f t="shared" si="5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6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8"/>
        <v>OC6</v>
      </c>
      <c r="F138" t="str">
        <f t="shared" si="5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6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8"/>
        <v>OC6</v>
      </c>
      <c r="F139" t="str">
        <f t="shared" si="5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6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8"/>
        <v>OC6</v>
      </c>
      <c r="F140" t="str">
        <f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8"/>
        <v>OC6</v>
      </c>
      <c r="F141" t="str">
        <f t="shared" ref="F141:F208" si="9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10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8"/>
        <v>OC6</v>
      </c>
      <c r="F142" t="str">
        <f t="shared" si="9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1425.2308689613089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8032.6581867006962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2815.5139403475987</v>
      </c>
      <c r="J142" s="74">
        <f t="shared" si="10"/>
        <v>2815.5139403475987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8"/>
        <v>OC6</v>
      </c>
      <c r="F143" t="str">
        <f t="shared" si="9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122.17678032898468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322.5760224957985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102.84016323728595</v>
      </c>
      <c r="J143" s="74">
        <f t="shared" si="10"/>
        <v>102.84016323728595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8"/>
        <v>OC6</v>
      </c>
      <c r="F144" t="str">
        <f t="shared" si="9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130.82481919486474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379.91527494188728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217.90388348513</v>
      </c>
      <c r="J144" s="74">
        <f t="shared" si="10"/>
        <v>217.90388348513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8"/>
        <v>OC6</v>
      </c>
      <c r="F145" t="str">
        <f t="shared" si="9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1207.2976098899321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56072.116528963175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10"/>
        <v>56072.116528963175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8"/>
        <v>OC6</v>
      </c>
      <c r="F146" t="str">
        <f t="shared" si="9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5.6465763327432592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80.141857890625076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10"/>
        <v>80.141857890625076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8"/>
        <v>OC6</v>
      </c>
      <c r="F147" t="str">
        <f t="shared" si="9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89.144804901380255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2589.6650723665152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10"/>
        <v>2589.6650723665152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8"/>
        <v>OC6</v>
      </c>
      <c r="F148" t="str">
        <f t="shared" si="9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2.3387424312463354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129.98157964570527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10"/>
        <v>129.98157964570527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8"/>
        <v>OC6</v>
      </c>
      <c r="F149" t="str">
        <f t="shared" si="9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301.89650239483569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13383.66366830776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10"/>
        <v>13383.66366830776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11">Organ6</f>
        <v>OC6</v>
      </c>
      <c r="F150" t="str">
        <f t="shared" si="9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5.1430664451278778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29.866609737488808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10"/>
        <v>29.866609737488808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11"/>
        <v>OC6</v>
      </c>
      <c r="F151" t="str">
        <f t="shared" si="9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90.959766009237356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1853.7987218778912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10"/>
        <v>1853.7987218778912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11"/>
        <v>OC6</v>
      </c>
      <c r="F152" t="str">
        <f t="shared" si="9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224.51552647001208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2194.3206297149018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391.46972331960779</v>
      </c>
      <c r="J152" s="74">
        <f t="shared" si="10"/>
        <v>391.46972331960779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11"/>
        <v>OC6</v>
      </c>
      <c r="F153" t="str">
        <f t="shared" si="9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25.79527626364656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882.19844821671234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10"/>
        <v>882.19844821671234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11"/>
        <v>OC6</v>
      </c>
      <c r="F154" t="str">
        <f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42.365355419942198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706.77812456684057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>IF(I154&lt;&gt;0,I154,H154)</f>
        <v>706.77812456684057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11"/>
        <v>OC6</v>
      </c>
      <c r="F155" t="str">
        <f t="shared" si="9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3876.3968964428427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64146.615842336163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10"/>
        <v>64146.615842336163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11"/>
        <v>OC6</v>
      </c>
      <c r="F156" t="str">
        <f t="shared" si="9"/>
        <v>Korn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4">
        <f t="shared" si="10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11"/>
        <v>OC6</v>
      </c>
      <c r="F157" t="str">
        <f t="shared" si="9"/>
        <v>Bælgsæd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4">
        <f t="shared" si="10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11"/>
        <v>OC6</v>
      </c>
      <c r="F158" t="str">
        <f t="shared" si="9"/>
        <v>Raps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4">
        <f t="shared" si="10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11"/>
        <v>OC6</v>
      </c>
      <c r="F159" t="str">
        <f t="shared" si="9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10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11"/>
        <v>OC6</v>
      </c>
      <c r="F160" t="str">
        <f t="shared" si="9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10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11"/>
        <v>OC6</v>
      </c>
      <c r="F161" t="str">
        <f t="shared" si="9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10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11"/>
        <v>OC6</v>
      </c>
      <c r="F162" t="str">
        <f t="shared" si="9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10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11"/>
        <v>OC6</v>
      </c>
      <c r="F163" t="str">
        <f t="shared" si="9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10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11"/>
        <v>OC6</v>
      </c>
      <c r="F164" t="str">
        <f t="shared" si="9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10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11"/>
        <v>OC6</v>
      </c>
      <c r="F165" t="str">
        <f t="shared" si="9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10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11"/>
        <v>OC6</v>
      </c>
      <c r="F166" t="str">
        <f t="shared" si="9"/>
        <v>Frø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4">
        <f t="shared" si="10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11"/>
        <v>OC6</v>
      </c>
      <c r="F167" t="str">
        <f t="shared" si="9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10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11"/>
        <v>OC6</v>
      </c>
      <c r="F168" t="str">
        <f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11"/>
        <v>OC6</v>
      </c>
      <c r="F169" t="str">
        <f t="shared" si="9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7582.4059259259229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125473.65326222217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10"/>
        <v>125473.65326222217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12">Organ12</f>
        <v>OC12</v>
      </c>
      <c r="F170" t="str">
        <f t="shared" si="9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10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12"/>
        <v>OC12</v>
      </c>
      <c r="F171" t="str">
        <f t="shared" si="9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10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12"/>
        <v>OC12</v>
      </c>
      <c r="F172" t="str">
        <f t="shared" si="9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10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12"/>
        <v>OC12</v>
      </c>
      <c r="F173" t="str">
        <f t="shared" si="9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10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12"/>
        <v>OC12</v>
      </c>
      <c r="F174" t="str">
        <f t="shared" si="9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10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12"/>
        <v>OC12</v>
      </c>
      <c r="F175" t="str">
        <f t="shared" si="9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10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12"/>
        <v>OC12</v>
      </c>
      <c r="F176" t="str">
        <f t="shared" si="9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10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12"/>
        <v>OC12</v>
      </c>
      <c r="F177" t="str">
        <f t="shared" si="9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10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12"/>
        <v>OC12</v>
      </c>
      <c r="F178" t="str">
        <f t="shared" si="9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10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12"/>
        <v>OC12</v>
      </c>
      <c r="F179" t="str">
        <f t="shared" si="9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10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12"/>
        <v>OC12</v>
      </c>
      <c r="F180" t="str">
        <f t="shared" si="9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10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12"/>
        <v>OC12</v>
      </c>
      <c r="F181" t="str">
        <f t="shared" si="9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10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12"/>
        <v>OC12</v>
      </c>
      <c r="F182" t="str">
        <f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12"/>
        <v>OC12</v>
      </c>
      <c r="F183" t="str">
        <f t="shared" si="9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10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12"/>
        <v>OC12</v>
      </c>
      <c r="F184" t="str">
        <f t="shared" si="9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5468.2738439636605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53665.639504659368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18810.255911698143</v>
      </c>
      <c r="J184" s="74">
        <f t="shared" si="10"/>
        <v>18810.255911698143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12"/>
        <v>OC12</v>
      </c>
      <c r="F185" t="str">
        <f t="shared" si="9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314.85895525594401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1701.4977942031217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542.45293729483592</v>
      </c>
      <c r="J185" s="74">
        <f t="shared" si="10"/>
        <v>542.45293729483592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12"/>
        <v>OC12</v>
      </c>
      <c r="F186" t="str">
        <f t="shared" si="9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407.7280895234743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2511.6050314646018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1440.5540556921364</v>
      </c>
      <c r="J186" s="74">
        <f t="shared" si="10"/>
        <v>1440.5540556921364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12"/>
        <v>OC12</v>
      </c>
      <c r="F187" t="str">
        <f t="shared" si="9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9403.4968308872321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653242.1178480743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10"/>
        <v>653242.1178480743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12"/>
        <v>OC12</v>
      </c>
      <c r="F188" t="str">
        <f t="shared" si="9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10.929801981174222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317.51074755311117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10"/>
        <v>317.51074755311117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12"/>
        <v>OC12</v>
      </c>
      <c r="F189" t="str">
        <f t="shared" si="9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578.51762396536299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34398.22938940717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10"/>
        <v>34398.22938940717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12"/>
        <v>OC12</v>
      </c>
      <c r="F190" t="str">
        <f t="shared" si="9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6.2561258552502439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711.66699728918286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10"/>
        <v>711.66699728918286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12"/>
        <v>OC12</v>
      </c>
      <c r="F191" t="str">
        <f t="shared" si="9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778.01049498528334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48480.945984512946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10"/>
        <v>48480.945984512946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12"/>
        <v>OC12</v>
      </c>
      <c r="F192" t="str">
        <f t="shared" si="9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22.295416568120192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265.00332132867663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10"/>
        <v>265.00332132867663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12"/>
        <v>OC12</v>
      </c>
      <c r="F193" t="str">
        <f t="shared" si="9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394.31453895289167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16448.563217935643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10"/>
        <v>16448.563217935643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12"/>
        <v>OC12</v>
      </c>
      <c r="F194" t="str">
        <f t="shared" si="9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1254.5770292800325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25097.067076818235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4477.3501974377168</v>
      </c>
      <c r="J194" s="74">
        <f t="shared" si="10"/>
        <v>4477.3501974377168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12"/>
        <v>OC12</v>
      </c>
      <c r="F195" t="str">
        <f t="shared" si="9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111.82364371989816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7827.6550603928699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10"/>
        <v>7827.6550603928699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12"/>
        <v>OC12</v>
      </c>
      <c r="F196" t="str">
        <f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263.96237747912357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9013.3494748969024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>IF(I196&lt;&gt;0,I196,H196)</f>
        <v>9013.3494748969024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12"/>
        <v>OC12</v>
      </c>
      <c r="F197" t="str">
        <f t="shared" si="9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25590.487920823747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494049.95979942329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10"/>
        <v>494049.95979942329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12"/>
        <v>OC12</v>
      </c>
      <c r="F198" t="str">
        <f t="shared" si="9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10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12"/>
        <v>OC12</v>
      </c>
      <c r="F199" t="str">
        <f t="shared" si="9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10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12"/>
        <v>OC12</v>
      </c>
      <c r="F200" t="str">
        <f t="shared" si="9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10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12"/>
        <v>OC12</v>
      </c>
      <c r="F201" t="str">
        <f t="shared" si="9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10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13">Organ12</f>
        <v>OC12</v>
      </c>
      <c r="F202" t="str">
        <f t="shared" si="9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10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13"/>
        <v>OC12</v>
      </c>
      <c r="F203" t="str">
        <f t="shared" si="9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10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13"/>
        <v>OC12</v>
      </c>
      <c r="F204" t="str">
        <f t="shared" si="9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10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13"/>
        <v>OC12</v>
      </c>
      <c r="F205" t="str">
        <f t="shared" si="9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10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13"/>
        <v>OC12</v>
      </c>
      <c r="F206" t="str">
        <f t="shared" si="9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10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13"/>
        <v>OC12</v>
      </c>
      <c r="F207" t="str">
        <f t="shared" si="9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10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13"/>
        <v>OC12</v>
      </c>
      <c r="F208" t="str">
        <f t="shared" si="9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10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13"/>
        <v>OC12</v>
      </c>
      <c r="F209" t="str">
        <f t="shared" ref="F209:F253" si="14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15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13"/>
        <v>OC12</v>
      </c>
      <c r="F210" t="str">
        <f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13"/>
        <v>OC12</v>
      </c>
      <c r="F211" t="str">
        <f t="shared" si="14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15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13"/>
        <v>OC12</v>
      </c>
      <c r="F212" t="str">
        <f t="shared" si="14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15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13"/>
        <v>OC12</v>
      </c>
      <c r="F213" t="str">
        <f t="shared" si="14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15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13"/>
        <v>OC12</v>
      </c>
      <c r="F214" t="str">
        <f t="shared" si="14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15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13"/>
        <v>OC12</v>
      </c>
      <c r="F215" t="str">
        <f t="shared" si="14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15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13"/>
        <v>OC12</v>
      </c>
      <c r="F216" t="str">
        <f t="shared" si="14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15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13"/>
        <v>OC12</v>
      </c>
      <c r="F217" t="str">
        <f t="shared" si="14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15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13"/>
        <v>OC12</v>
      </c>
      <c r="F218" t="str">
        <f t="shared" si="14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15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13"/>
        <v>OC12</v>
      </c>
      <c r="F219" t="str">
        <f t="shared" si="14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15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13"/>
        <v>OC12</v>
      </c>
      <c r="F220" t="str">
        <f t="shared" si="14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15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13"/>
        <v>OC12</v>
      </c>
      <c r="F221" t="str">
        <f t="shared" si="14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15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13"/>
        <v>OC12</v>
      </c>
      <c r="F222" t="str">
        <f t="shared" si="14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15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13"/>
        <v>OC12</v>
      </c>
      <c r="F223" t="str">
        <f t="shared" si="14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15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13"/>
        <v>OC12</v>
      </c>
      <c r="F224" t="str">
        <f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13"/>
        <v>OC12</v>
      </c>
      <c r="F225" t="str">
        <f t="shared" si="14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15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13"/>
        <v>OC12</v>
      </c>
      <c r="F226" t="str">
        <f t="shared" si="14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699.18177420762208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4597.3858544893137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1611.4222293066468</v>
      </c>
      <c r="J226" s="74">
        <f t="shared" si="15"/>
        <v>1611.4222293066468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13"/>
        <v>OC12</v>
      </c>
      <c r="F227" t="str">
        <f t="shared" si="14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40.258342804836346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124.00696817488129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39.534546774417556</v>
      </c>
      <c r="J227" s="74">
        <f t="shared" si="15"/>
        <v>39.534546774417556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13"/>
        <v>OC12</v>
      </c>
      <c r="F228" t="str">
        <f t="shared" si="14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52.132730942507166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176.62569243321428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101.30528263264657</v>
      </c>
      <c r="J228" s="74">
        <f t="shared" si="15"/>
        <v>101.30528263264657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13"/>
        <v>OC12</v>
      </c>
      <c r="F229" t="str">
        <f t="shared" si="14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1202.3453443600399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65149.130577962533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15"/>
        <v>65149.130577962533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13"/>
        <v>OC12</v>
      </c>
      <c r="F230" t="str">
        <f t="shared" si="14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1.3975010321348786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23.140520840605387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15"/>
        <v>23.140520840605387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13"/>
        <v>OC12</v>
      </c>
      <c r="F231" t="str">
        <f t="shared" si="14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73.97013944007017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2506.9795280940934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15"/>
        <v>2506.9795280940934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13"/>
        <v>OC12</v>
      </c>
      <c r="F232" t="str">
        <f t="shared" si="14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0.79991772540225237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51.867047365338948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15"/>
        <v>51.867047365338948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13"/>
        <v>OC12</v>
      </c>
      <c r="F233" t="str">
        <f t="shared" si="14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99.477600017497522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5145.0431490169831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15"/>
        <v>5145.0431490169831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16">Organ12</f>
        <v>OC12</v>
      </c>
      <c r="F234" t="str">
        <f t="shared" si="14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2.8507257239876962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19.313723794531121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15"/>
        <v>19.313723794531121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16"/>
        <v>OC12</v>
      </c>
      <c r="F235" t="str">
        <f t="shared" si="14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50.417654054630312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1198.7887744775815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15"/>
        <v>1198.7887744775815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16"/>
        <v>OC12</v>
      </c>
      <c r="F236" t="str">
        <f t="shared" si="14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160.41211874940078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1829.1009302985503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326.31404244722529</v>
      </c>
      <c r="J236" s="74">
        <f t="shared" si="15"/>
        <v>326.31404244722529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16"/>
        <v>OC12</v>
      </c>
      <c r="F237" t="str">
        <f t="shared" si="14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14.297940418756939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570.48782270840184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15"/>
        <v>570.48782270840184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16"/>
        <v>OC12</v>
      </c>
      <c r="F238" t="str">
        <f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33.750629298429502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656.90249219870088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>IF(I238&lt;&gt;0,I238,H238)</f>
        <v>656.90249219870088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16"/>
        <v>OC12</v>
      </c>
      <c r="F239" t="str">
        <f t="shared" si="14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3272.0385368175012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63169.975991798681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15"/>
        <v>63169.975991798681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16"/>
        <v>OC12</v>
      </c>
      <c r="F240" t="str">
        <f t="shared" si="14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15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16"/>
        <v>OC12</v>
      </c>
      <c r="F241" t="str">
        <f t="shared" si="14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15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16"/>
        <v>OC12</v>
      </c>
      <c r="F242" t="str">
        <f t="shared" si="14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15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16"/>
        <v>OC12</v>
      </c>
      <c r="F243" t="str">
        <f t="shared" si="14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15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16"/>
        <v>OC12</v>
      </c>
      <c r="F244" t="str">
        <f t="shared" si="14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15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16"/>
        <v>OC12</v>
      </c>
      <c r="F245" t="str">
        <f t="shared" si="14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15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16"/>
        <v>OC12</v>
      </c>
      <c r="F246" t="str">
        <f t="shared" si="14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15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16"/>
        <v>OC12</v>
      </c>
      <c r="F247" t="str">
        <f t="shared" si="14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15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16"/>
        <v>OC12</v>
      </c>
      <c r="F248" t="str">
        <f t="shared" si="14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15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16"/>
        <v>OC12</v>
      </c>
      <c r="F249" t="str">
        <f t="shared" si="14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15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16"/>
        <v>OC12</v>
      </c>
      <c r="F250" t="str">
        <f t="shared" si="14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15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16"/>
        <v>OC12</v>
      </c>
      <c r="F251" t="str">
        <f t="shared" si="14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15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16"/>
        <v>OC12</v>
      </c>
      <c r="F252" t="str">
        <f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16"/>
        <v>OC12</v>
      </c>
      <c r="F253" t="str">
        <f t="shared" si="14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15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17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15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17"/>
        <v>JB1-10</v>
      </c>
      <c r="F255" t="str">
        <f t="shared" ref="F255:F265" si="18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15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17"/>
        <v>JB1-10</v>
      </c>
      <c r="F256" t="str">
        <f t="shared" si="18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15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17"/>
        <v>JB1-10</v>
      </c>
      <c r="F257" t="str">
        <f t="shared" si="18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15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17"/>
        <v>JB1-10</v>
      </c>
      <c r="F258" t="str">
        <f t="shared" si="18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15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17"/>
        <v>JB1-10</v>
      </c>
      <c r="F259" t="str">
        <f t="shared" si="18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15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17"/>
        <v>JB1-10</v>
      </c>
      <c r="F260" t="str">
        <f t="shared" si="18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15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17"/>
        <v>JB1-10</v>
      </c>
      <c r="F261" t="str">
        <f t="shared" si="18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15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17"/>
        <v>JB1-10</v>
      </c>
      <c r="F262" t="str">
        <f t="shared" si="18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15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17"/>
        <v>JB1-10</v>
      </c>
      <c r="F263" t="str">
        <f t="shared" si="18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15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17"/>
        <v>JB1-10</v>
      </c>
      <c r="F264" t="str">
        <f t="shared" si="18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15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17"/>
        <v>JB1-10</v>
      </c>
      <c r="F265" t="str">
        <f t="shared" si="18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15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17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15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17"/>
        <v>JB1-10</v>
      </c>
      <c r="F267" t="str">
        <f t="shared" ref="F267:F335" si="19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15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17"/>
        <v>JB1-10</v>
      </c>
      <c r="F268" t="str">
        <f t="shared" si="19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168956.022670329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1184381.7189190062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415135.70760801574</v>
      </c>
      <c r="J268" s="74">
        <f t="shared" si="15"/>
        <v>415135.70760801574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17"/>
        <v>JB1-10</v>
      </c>
      <c r="F269" t="str">
        <f t="shared" si="19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50377.701600261658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194457.92817701004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61994.952141145608</v>
      </c>
      <c r="J269" s="74">
        <f t="shared" si="15"/>
        <v>61994.952141145608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17"/>
        <v>JB1-10</v>
      </c>
      <c r="F270" t="str">
        <f t="shared" si="19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44203.968724622173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194497.46238833759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111555.79987907718</v>
      </c>
      <c r="J270" s="74">
        <f t="shared" si="15"/>
        <v>111555.79987907718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17"/>
        <v>JB1-10</v>
      </c>
      <c r="F271" t="str">
        <f t="shared" si="19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71363.91124326158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3541077.2758906395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15"/>
        <v>3541077.2758906395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17"/>
        <v>JB1-10</v>
      </c>
      <c r="F272" t="str">
        <f t="shared" si="19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12186.775085886682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252875.58303214866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15"/>
        <v>252875.58303214866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17"/>
        <v>JB1-10</v>
      </c>
      <c r="F273" t="str">
        <f t="shared" si="19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10148.960103105841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431035.46427317767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15"/>
        <v>431035.46427317767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17"/>
        <v>JB1-10</v>
      </c>
      <c r="F274" t="str">
        <f t="shared" si="19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6241.6488843154139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507157.26158527029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15"/>
        <v>507157.26158527029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17"/>
        <v>JB1-10</v>
      </c>
      <c r="F275" t="str">
        <f t="shared" si="19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21756.450215550725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968379.59909416293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15"/>
        <v>968379.59909416293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17"/>
        <v>JB1-10</v>
      </c>
      <c r="F276" t="str">
        <f t="shared" si="19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23548.611888436528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199927.71493282614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15"/>
        <v>199927.71493282614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17"/>
        <v>JB1-10</v>
      </c>
      <c r="F277" t="str">
        <f t="shared" si="19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8363.1795172083603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249188.82444356114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20">IF(I277&lt;&gt;0,I277,H277)</f>
        <v>249188.82444356114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17"/>
        <v>JB1-10</v>
      </c>
      <c r="F278" t="str">
        <f t="shared" si="19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12078.987097150528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172594.96474690456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30791.171618619235</v>
      </c>
      <c r="J278" s="74">
        <f t="shared" si="20"/>
        <v>30791.171618619235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17"/>
        <v>JB1-10</v>
      </c>
      <c r="F279" t="str">
        <f t="shared" si="19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3516.3950575504314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175819.75287752156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20"/>
        <v>175819.75287752156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17"/>
        <v>JB1-10</v>
      </c>
      <c r="F280" t="str">
        <f t="shared" si="19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9575.2461841246914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233542.58985669981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20"/>
        <v>233542.58985669981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17"/>
        <v>JB1-10</v>
      </c>
      <c r="F281" t="str">
        <f t="shared" si="19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21162.462756843044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291830.36141686561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20"/>
        <v>291830.36141686561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17"/>
        <v>JB1-10</v>
      </c>
      <c r="F282" t="str">
        <f t="shared" si="19"/>
        <v>Korn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0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0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0</v>
      </c>
      <c r="J282" s="74">
        <f t="shared" si="20"/>
        <v>0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17"/>
        <v>JB1-10</v>
      </c>
      <c r="F283" t="str">
        <f t="shared" si="19"/>
        <v>Bælgsæd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0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0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0</v>
      </c>
      <c r="J283" s="74">
        <f t="shared" si="20"/>
        <v>0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17"/>
        <v>JB1-10</v>
      </c>
      <c r="F284" t="str">
        <f t="shared" si="19"/>
        <v>Raps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0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0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0</v>
      </c>
      <c r="J284" s="74">
        <f t="shared" si="20"/>
        <v>0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17"/>
        <v>JB1-10</v>
      </c>
      <c r="F285" t="str">
        <f t="shared" si="19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0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0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20"/>
        <v>0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21">Jordbund1</f>
        <v>JB1-10</v>
      </c>
      <c r="F286" t="str">
        <f t="shared" si="19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0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0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20"/>
        <v>0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21"/>
        <v>JB1-10</v>
      </c>
      <c r="F287" t="str">
        <f t="shared" si="19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0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0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20"/>
        <v>0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21"/>
        <v>JB1-10</v>
      </c>
      <c r="F288" t="str">
        <f t="shared" si="19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0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0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20"/>
        <v>0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21"/>
        <v>JB1-10</v>
      </c>
      <c r="F289" t="str">
        <f t="shared" si="19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0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0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20"/>
        <v>0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21"/>
        <v>JB1-10</v>
      </c>
      <c r="F290" t="str">
        <f t="shared" si="19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0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0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20"/>
        <v>0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21"/>
        <v>JB1-10</v>
      </c>
      <c r="F291" t="str">
        <f t="shared" si="19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0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0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20"/>
        <v>0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21"/>
        <v>JB1-10</v>
      </c>
      <c r="F292" t="str">
        <f t="shared" si="19"/>
        <v>Frø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0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0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0</v>
      </c>
      <c r="J292" s="74">
        <f t="shared" si="20"/>
        <v>0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21"/>
        <v>JB1-10</v>
      </c>
      <c r="F293" t="str">
        <f t="shared" si="19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0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0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20"/>
        <v>0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21"/>
        <v>JB1-10</v>
      </c>
      <c r="F294" t="str">
        <f t="shared" si="19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0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0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20"/>
        <v>0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21"/>
        <v>JB1-10</v>
      </c>
      <c r="F295" t="str">
        <f t="shared" si="19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20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21"/>
        <v>JB1-10</v>
      </c>
      <c r="F296" t="str">
        <f t="shared" si="19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20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21"/>
        <v>JB1-10</v>
      </c>
      <c r="F297" t="str">
        <f t="shared" si="19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20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21"/>
        <v>JB1-10</v>
      </c>
      <c r="F298" t="str">
        <f t="shared" si="19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20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21"/>
        <v>JB1-10</v>
      </c>
      <c r="F299" t="str">
        <f t="shared" si="19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20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21"/>
        <v>JB1-10</v>
      </c>
      <c r="F300" t="str">
        <f t="shared" si="19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20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21"/>
        <v>JB1-10</v>
      </c>
      <c r="F301" t="str">
        <f t="shared" si="19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20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21"/>
        <v>JB1-10</v>
      </c>
      <c r="F302" t="str">
        <f t="shared" si="19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20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21"/>
        <v>JB1-10</v>
      </c>
      <c r="F303" t="str">
        <f t="shared" si="19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20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21"/>
        <v>JB1-10</v>
      </c>
      <c r="F304" t="str">
        <f t="shared" si="19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20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21"/>
        <v>JB1-10</v>
      </c>
      <c r="F305" t="str">
        <f t="shared" si="19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20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21"/>
        <v>JB1-10</v>
      </c>
      <c r="F306" t="str">
        <f t="shared" si="19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20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21"/>
        <v>JB1-10</v>
      </c>
      <c r="F307" t="str">
        <f t="shared" si="19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20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21"/>
        <v>JB1-10</v>
      </c>
      <c r="F308" t="str">
        <f t="shared" si="19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20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21"/>
        <v>JB1-10</v>
      </c>
      <c r="F309" t="str">
        <f t="shared" si="19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20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21"/>
        <v>JB1-10</v>
      </c>
      <c r="F310" t="str">
        <f t="shared" si="19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21602.972905994222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101462.68284758307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35563.519739381845</v>
      </c>
      <c r="J310" s="74">
        <f t="shared" si="20"/>
        <v>35563.519739381845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21"/>
        <v>JB1-10</v>
      </c>
      <c r="F311" t="str">
        <f t="shared" si="19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6441.3692127462491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14172.300541884299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4518.2580214691588</v>
      </c>
      <c r="J311" s="74">
        <f t="shared" si="20"/>
        <v>4518.2580214691588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21"/>
        <v>JB1-10</v>
      </c>
      <c r="F312" t="str">
        <f t="shared" si="19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5651.9863784833815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13677.807035929785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7845.0314248228915</v>
      </c>
      <c r="J312" s="74">
        <f t="shared" si="20"/>
        <v>7845.0314248228915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21"/>
        <v>JB1-10</v>
      </c>
      <c r="F313" t="str">
        <f t="shared" si="19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9124.6977567772465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353158.6520992039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20"/>
        <v>353158.6520992039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21"/>
        <v>JB1-10</v>
      </c>
      <c r="F314" t="str">
        <f t="shared" si="19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1558.2195167174077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18429.841333975139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20"/>
        <v>18429.841333975139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21"/>
        <v>JB1-10</v>
      </c>
      <c r="F315" t="str">
        <f t="shared" si="19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1297.6614071888587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31414.32288803086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20"/>
        <v>31414.32288803086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21"/>
        <v>JB1-10</v>
      </c>
      <c r="F316" t="str">
        <f t="shared" si="19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798.06667797628256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36962.160404397655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20"/>
        <v>36962.160404397655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21"/>
        <v>JB1-10</v>
      </c>
      <c r="F317" t="str">
        <f t="shared" si="19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2781.8126700001544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102769.3400116167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20"/>
        <v>102769.3400116167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22">Jordbund1</f>
        <v>JB1-10</v>
      </c>
      <c r="F318" t="str">
        <f t="shared" si="19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3010.9611753366994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14570.944415806889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20"/>
        <v>14570.944415806889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22"/>
        <v>JB1-10</v>
      </c>
      <c r="F319" t="str">
        <f t="shared" si="19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1069.3287972974172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18161.146448491865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20"/>
        <v>18161.146448491865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22"/>
        <v>JB1-10</v>
      </c>
      <c r="F320" t="str">
        <f t="shared" si="19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1544.4375812559992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12578.904523668813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2244.0933229453253</v>
      </c>
      <c r="J320" s="74">
        <f t="shared" si="20"/>
        <v>2244.0933229453253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22"/>
        <v>JB1-10</v>
      </c>
      <c r="F321" t="str">
        <f t="shared" si="19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449.61159687842485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12813.930511035109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20"/>
        <v>12813.930511035109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22"/>
        <v>JB1-10</v>
      </c>
      <c r="F322" t="str">
        <f t="shared" si="19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1224.3054767422425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17020.832237636056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20"/>
        <v>17020.832237636056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22"/>
        <v>JB1-10</v>
      </c>
      <c r="F323" t="str">
        <f t="shared" si="19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2705.8645340642111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37313.871924745472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20"/>
        <v>37313.871924745472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22"/>
        <v>JB1-10</v>
      </c>
      <c r="F324" t="str">
        <f t="shared" si="19"/>
        <v>Halm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24336.326377643411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114300.42409787781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45605.983042246247</v>
      </c>
      <c r="J324" s="74">
        <f t="shared" si="20"/>
        <v>45605.983042246247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22"/>
        <v>JB1-10</v>
      </c>
      <c r="F325" t="str">
        <f t="shared" si="19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121681.63188821705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267723.92648045515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97161.328660373096</v>
      </c>
      <c r="J325" s="74">
        <f t="shared" si="20"/>
        <v>97161.328660373096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22"/>
        <v>JB1-10</v>
      </c>
      <c r="F326" t="str">
        <f t="shared" si="19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73008.979132930224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176681.72950169115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115357.39530774491</v>
      </c>
      <c r="J326" s="74">
        <f t="shared" si="20"/>
        <v>115357.39530774491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22"/>
        <v>JB1-10</v>
      </c>
      <c r="F327" t="str">
        <f t="shared" si="19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121681.63188821705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4709517.2079487974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20"/>
        <v>4709517.2079487974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22"/>
        <v>JB1-10</v>
      </c>
      <c r="F328" t="str">
        <f t="shared" si="19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31459.960360454177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372092.68116327177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20"/>
        <v>372092.68116327177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22"/>
        <v>JB1-10</v>
      </c>
      <c r="F329" t="str">
        <f t="shared" si="19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10657.988883528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258012.99342754055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20"/>
        <v>258012.99342754055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22"/>
        <v>JB1-10</v>
      </c>
      <c r="F330" t="str">
        <f t="shared" si="19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6554.7035113046459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303578.64734118234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20"/>
        <v>303578.64734118234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22"/>
        <v>JB1-10</v>
      </c>
      <c r="F331" t="str">
        <f t="shared" si="19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0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0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20"/>
        <v>0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22"/>
        <v>JB1-10</v>
      </c>
      <c r="F332" t="str">
        <f t="shared" si="19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67896.187359780568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328570.01949018613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20"/>
        <v>328570.01949018613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22"/>
        <v>JB1-10</v>
      </c>
      <c r="F333" t="str">
        <f t="shared" si="19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0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0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20"/>
        <v>0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22"/>
        <v>JB1-10</v>
      </c>
      <c r="F334" t="str">
        <f t="shared" si="19"/>
        <v>Frø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0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0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0</v>
      </c>
      <c r="J334" s="74">
        <f t="shared" si="20"/>
        <v>0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22"/>
        <v>JB1-10</v>
      </c>
      <c r="F335" t="str">
        <f t="shared" si="19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3692.7625148507746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105243.73167324706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20"/>
        <v>105243.73167324706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22"/>
        <v>JB1-10</v>
      </c>
      <c r="F336" t="str">
        <f t="shared" ref="F336:F399" si="23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25756.355635942306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358076.16371919797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20"/>
        <v>358076.16371919797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22"/>
        <v>JB1-10</v>
      </c>
      <c r="F337" t="str">
        <f t="shared" si="23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20"/>
        <v>0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24">Organ6</f>
        <v>OC6</v>
      </c>
      <c r="F338" t="str">
        <f t="shared" si="23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20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24"/>
        <v>OC6</v>
      </c>
      <c r="F339" t="str">
        <f t="shared" si="23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20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24"/>
        <v>OC6</v>
      </c>
      <c r="F340" t="str">
        <f t="shared" si="23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20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24"/>
        <v>OC6</v>
      </c>
      <c r="F341" t="str">
        <f t="shared" si="23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25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24"/>
        <v>OC6</v>
      </c>
      <c r="F342" t="str">
        <f t="shared" si="23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25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24"/>
        <v>OC6</v>
      </c>
      <c r="F343" t="str">
        <f t="shared" si="23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25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24"/>
        <v>OC6</v>
      </c>
      <c r="F344" t="str">
        <f t="shared" si="23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25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24"/>
        <v>OC6</v>
      </c>
      <c r="F345" t="str">
        <f t="shared" si="23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25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24"/>
        <v>OC6</v>
      </c>
      <c r="F346" t="str">
        <f t="shared" si="23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25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24"/>
        <v>OC6</v>
      </c>
      <c r="F347" t="str">
        <f t="shared" si="23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25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24"/>
        <v>OC6</v>
      </c>
      <c r="F348" t="str">
        <f t="shared" si="23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25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24"/>
        <v>OC6</v>
      </c>
      <c r="F349" t="str">
        <f t="shared" si="23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25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24"/>
        <v>OC6</v>
      </c>
      <c r="F350" t="str">
        <f t="shared" si="23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25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24"/>
        <v>OC6</v>
      </c>
      <c r="F351" t="str">
        <f t="shared" si="23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25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24"/>
        <v>OC6</v>
      </c>
      <c r="F352" t="str">
        <f t="shared" si="23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2220.9508631088374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18682.638660471541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6548.4212533933114</v>
      </c>
      <c r="J352" s="74">
        <f t="shared" si="25"/>
        <v>6548.4212533933114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24"/>
        <v>OC6</v>
      </c>
      <c r="F353" t="str">
        <f t="shared" si="23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60.058061487912198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278.18894081200932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88.68915879910864</v>
      </c>
      <c r="J353" s="74">
        <f t="shared" si="25"/>
        <v>88.68915879910864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24"/>
        <v>OC6</v>
      </c>
      <c r="F354" t="str">
        <f t="shared" si="23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242.5838922199716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1280.8429509214502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734.63919865562025</v>
      </c>
      <c r="J354" s="74">
        <f t="shared" si="25"/>
        <v>734.63919865562025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24"/>
        <v>OC6</v>
      </c>
      <c r="F355" t="str">
        <f t="shared" si="23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713.29828663252204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42472.633179246885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25"/>
        <v>42472.633179246885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24"/>
        <v>OC6</v>
      </c>
      <c r="F356" t="str">
        <f t="shared" si="23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13.509097068318159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336.37651700112218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25"/>
        <v>336.37651700112218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24"/>
        <v>OC6</v>
      </c>
      <c r="F357" t="str">
        <f t="shared" si="23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22.96670140121164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1170.4997596668306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25"/>
        <v>1170.4997596668306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24"/>
        <v>OC6</v>
      </c>
      <c r="F358" t="str">
        <f t="shared" si="23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64.164131761142045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6256.2901487938616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25"/>
        <v>6256.2901487938616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24"/>
        <v>OC6</v>
      </c>
      <c r="F359" t="str">
        <f t="shared" si="23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68.408866076590428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3653.8543548828479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25"/>
        <v>3653.8543548828479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24"/>
        <v>OC6</v>
      </c>
      <c r="F360" t="str">
        <f t="shared" si="23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14.757198662082352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150.346339969295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25"/>
        <v>150.346339969295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24"/>
        <v>OC6</v>
      </c>
      <c r="F361" t="str">
        <f t="shared" si="23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105.37355586127558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3767.6454212391372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25"/>
        <v>3767.6454212391372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24"/>
        <v>OC6</v>
      </c>
      <c r="F362" t="str">
        <f t="shared" si="23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765.0070185544738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13117.294521792321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2340.1428157812179</v>
      </c>
      <c r="J362" s="74">
        <f t="shared" si="25"/>
        <v>2340.1428157812179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24"/>
        <v>OC6</v>
      </c>
      <c r="F363" t="str">
        <f t="shared" si="23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23.124446325632409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1387.4667795379446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25"/>
        <v>1387.4667795379446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24"/>
        <v>OC6</v>
      </c>
      <c r="F364" t="str">
        <f t="shared" si="23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49.078711850168098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1436.4501029317491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25"/>
        <v>1436.4501029317491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24"/>
        <v>OC6</v>
      </c>
      <c r="F365" t="str">
        <f t="shared" si="23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4604.4820500504356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76194.96896423462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25"/>
        <v>76194.96896423462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24"/>
        <v>OC6</v>
      </c>
      <c r="F366" t="str">
        <f t="shared" si="23"/>
        <v>Korn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4">
        <f t="shared" si="25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24"/>
        <v>OC6</v>
      </c>
      <c r="F367" t="str">
        <f t="shared" si="23"/>
        <v>Bælgsæd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4">
        <f t="shared" si="25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24"/>
        <v>OC6</v>
      </c>
      <c r="F368" t="str">
        <f t="shared" si="23"/>
        <v>Raps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4">
        <f t="shared" si="25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24"/>
        <v>OC6</v>
      </c>
      <c r="F369" t="str">
        <f t="shared" si="23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25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26">Organ6</f>
        <v>OC6</v>
      </c>
      <c r="F370" t="str">
        <f t="shared" si="23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25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26"/>
        <v>OC6</v>
      </c>
      <c r="F371" t="str">
        <f t="shared" si="23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25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26"/>
        <v>OC6</v>
      </c>
      <c r="F372" t="str">
        <f t="shared" si="23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25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26"/>
        <v>OC6</v>
      </c>
      <c r="F373" t="str">
        <f t="shared" si="23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25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26"/>
        <v>OC6</v>
      </c>
      <c r="F374" t="str">
        <f t="shared" si="23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25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26"/>
        <v>OC6</v>
      </c>
      <c r="F375" t="str">
        <f t="shared" si="23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25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26"/>
        <v>OC6</v>
      </c>
      <c r="F376" t="str">
        <f t="shared" si="23"/>
        <v>Frø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4">
        <f t="shared" si="25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26"/>
        <v>OC6</v>
      </c>
      <c r="F377" t="str">
        <f t="shared" si="23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25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26"/>
        <v>OC6</v>
      </c>
      <c r="F378" t="str">
        <f t="shared" si="23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25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26"/>
        <v>OC6</v>
      </c>
      <c r="F379" t="str">
        <f t="shared" si="23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25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26"/>
        <v>OC6</v>
      </c>
      <c r="F380" t="str">
        <f t="shared" si="23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25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26"/>
        <v>OC6</v>
      </c>
      <c r="F381" t="str">
        <f t="shared" si="23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25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26"/>
        <v>OC6</v>
      </c>
      <c r="F382" t="str">
        <f t="shared" si="23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25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26"/>
        <v>OC6</v>
      </c>
      <c r="F383" t="str">
        <f t="shared" si="23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25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26"/>
        <v>OC6</v>
      </c>
      <c r="F384" t="str">
        <f t="shared" si="23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25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26"/>
        <v>OC6</v>
      </c>
      <c r="F385" t="str">
        <f t="shared" si="23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25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26"/>
        <v>OC6</v>
      </c>
      <c r="F386" t="str">
        <f t="shared" si="23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25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26"/>
        <v>OC6</v>
      </c>
      <c r="F387" t="str">
        <f t="shared" si="23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25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26"/>
        <v>OC6</v>
      </c>
      <c r="F388" t="str">
        <f t="shared" si="23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25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26"/>
        <v>OC6</v>
      </c>
      <c r="F389" t="str">
        <f t="shared" si="23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25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26"/>
        <v>OC6</v>
      </c>
      <c r="F390" t="str">
        <f t="shared" si="23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25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26"/>
        <v>OC6</v>
      </c>
      <c r="F391" t="str">
        <f t="shared" si="23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25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26"/>
        <v>OC6</v>
      </c>
      <c r="F392" t="str">
        <f t="shared" si="23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25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26"/>
        <v>OC6</v>
      </c>
      <c r="F393" t="str">
        <f t="shared" si="23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25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26"/>
        <v>OC6</v>
      </c>
      <c r="F394" t="str">
        <f t="shared" si="23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283.97414050698114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1600.4896148629659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560.98500861009506</v>
      </c>
      <c r="J394" s="74">
        <f t="shared" si="25"/>
        <v>560.98500861009506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26"/>
        <v>OC6</v>
      </c>
      <c r="F395" t="str">
        <f t="shared" si="23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7.6791146867932829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20.274705760659099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6.4637601824273254</v>
      </c>
      <c r="J395" s="74">
        <f t="shared" si="25"/>
        <v>6.4637601824273254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26"/>
        <v>OC6</v>
      </c>
      <c r="F396" t="str">
        <f t="shared" si="23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31.017143800100705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90.073785595492467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51.662644215784752</v>
      </c>
      <c r="J396" s="74">
        <f t="shared" si="25"/>
        <v>51.662644215784752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26"/>
        <v>OC6</v>
      </c>
      <c r="F397" t="str">
        <f t="shared" si="23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91.203399064865479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4235.8798512563135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25"/>
        <v>4235.8798512563135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26"/>
        <v>OC6</v>
      </c>
      <c r="F398" t="str">
        <f t="shared" si="23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1.7272936077618362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24.515478174963739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25"/>
        <v>24.515478174963739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26"/>
        <v>OC6</v>
      </c>
      <c r="F399" t="str">
        <f t="shared" si="23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2.9365572192625082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85.307266891691981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25"/>
        <v>85.307266891691981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26"/>
        <v>OC6</v>
      </c>
      <c r="F400" t="str">
        <f t="shared" ref="F400:F467" si="27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8.204123049684096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455.96507736740989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25"/>
        <v>455.96507736740989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26"/>
        <v>OC6</v>
      </c>
      <c r="F401" t="str">
        <f t="shared" si="27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8.7468612069896832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387.76550115381838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25"/>
        <v>387.76550115381838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28">Organ6</f>
        <v>OC6</v>
      </c>
      <c r="F402" t="str">
        <f t="shared" si="27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1.886877767520535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10.95740109643455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25"/>
        <v>10.95740109643455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28"/>
        <v>OC6</v>
      </c>
      <c r="F403" t="str">
        <f t="shared" si="27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13.473222417889986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274.59000384108862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25"/>
        <v>274.59000384108862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28"/>
        <v>OC6</v>
      </c>
      <c r="F404" t="str">
        <f t="shared" si="27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97.814955830100658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956.00237029179482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170.55209631768457</v>
      </c>
      <c r="J404" s="74">
        <f t="shared" si="25"/>
        <v>170.55209631768457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28"/>
        <v>OC6</v>
      </c>
      <c r="F405" t="str">
        <f t="shared" si="27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2.9567267241695294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101.12005396659789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29">IF(I405&lt;&gt;0,I405,H405)</f>
        <v>101.12005396659789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28"/>
        <v>OC6</v>
      </c>
      <c r="F406" t="str">
        <f t="shared" si="27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6.2752784162601669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104.69001065175496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29"/>
        <v>104.69001065175496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28"/>
        <v>OC6</v>
      </c>
      <c r="F407" t="str">
        <f t="shared" si="27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588.73604741196766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9742.4041125732401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29"/>
        <v>9742.4041125732401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28"/>
        <v>OC6</v>
      </c>
      <c r="F408" t="str">
        <f t="shared" si="27"/>
        <v>Korn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4">
        <f t="shared" si="29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28"/>
        <v>OC6</v>
      </c>
      <c r="F409" t="str">
        <f t="shared" si="27"/>
        <v>Bælgsæd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4">
        <f t="shared" si="29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28"/>
        <v>OC6</v>
      </c>
      <c r="F410" t="str">
        <f t="shared" si="27"/>
        <v>Raps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4">
        <f t="shared" si="29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28"/>
        <v>OC6</v>
      </c>
      <c r="F411" t="str">
        <f t="shared" si="27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29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28"/>
        <v>OC6</v>
      </c>
      <c r="F412" t="str">
        <f t="shared" si="27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29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28"/>
        <v>OC6</v>
      </c>
      <c r="F413" t="str">
        <f t="shared" si="27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29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28"/>
        <v>OC6</v>
      </c>
      <c r="F414" t="str">
        <f t="shared" si="27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29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28"/>
        <v>OC6</v>
      </c>
      <c r="F415" t="str">
        <f t="shared" si="27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29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28"/>
        <v>OC6</v>
      </c>
      <c r="F416" t="str">
        <f t="shared" si="27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29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28"/>
        <v>OC6</v>
      </c>
      <c r="F417" t="str">
        <f t="shared" si="27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29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28"/>
        <v>OC6</v>
      </c>
      <c r="F418" t="str">
        <f t="shared" si="27"/>
        <v>Frø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4">
        <f t="shared" si="29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28"/>
        <v>OC6</v>
      </c>
      <c r="F419" t="str">
        <f t="shared" si="27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29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28"/>
        <v>OC6</v>
      </c>
      <c r="F420" t="str">
        <f t="shared" si="27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29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28"/>
        <v>OC6</v>
      </c>
      <c r="F421" t="str">
        <f t="shared" si="27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1151.5940740740734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19056.578737777771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29"/>
        <v>19056.578737777771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30">Organ12</f>
        <v>OC12</v>
      </c>
      <c r="F422" t="str">
        <f t="shared" si="27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29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30"/>
        <v>OC12</v>
      </c>
      <c r="F423" t="str">
        <f t="shared" si="27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29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30"/>
        <v>OC12</v>
      </c>
      <c r="F424" t="str">
        <f t="shared" si="27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29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30"/>
        <v>OC12</v>
      </c>
      <c r="F425" t="str">
        <f t="shared" si="27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29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30"/>
        <v>OC12</v>
      </c>
      <c r="F426" t="str">
        <f t="shared" si="27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29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30"/>
        <v>OC12</v>
      </c>
      <c r="F427" t="str">
        <f t="shared" si="27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29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30"/>
        <v>OC12</v>
      </c>
      <c r="F428" t="str">
        <f t="shared" si="27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29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30"/>
        <v>OC12</v>
      </c>
      <c r="F429" t="str">
        <f t="shared" si="27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29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30"/>
        <v>OC12</v>
      </c>
      <c r="F430" t="str">
        <f t="shared" si="27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29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30"/>
        <v>OC12</v>
      </c>
      <c r="F431" t="str">
        <f t="shared" si="27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29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30"/>
        <v>OC12</v>
      </c>
      <c r="F432" t="str">
        <f t="shared" si="27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29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30"/>
        <v>OC12</v>
      </c>
      <c r="F433" t="str">
        <f t="shared" si="27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29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30"/>
        <v>OC12</v>
      </c>
      <c r="F434" t="str">
        <f t="shared" si="27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29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30"/>
        <v>OC12</v>
      </c>
      <c r="F435" t="str">
        <f t="shared" si="27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29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30"/>
        <v>OC12</v>
      </c>
      <c r="F436" t="str">
        <f t="shared" si="27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1188.1161134445545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11660.171537344855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4086.9877377071557</v>
      </c>
      <c r="J436" s="74">
        <f t="shared" si="29"/>
        <v>4086.9877377071557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30"/>
        <v>OC12</v>
      </c>
      <c r="F437" t="str">
        <f t="shared" si="27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21.580106548382705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116.61889578746013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37.179162253110889</v>
      </c>
      <c r="J437" s="74">
        <f t="shared" si="29"/>
        <v>37.179162253110889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30"/>
        <v>OC12</v>
      </c>
      <c r="F438" t="str">
        <f t="shared" si="27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105.41377093164485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649.34882893893234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372.43996463147784</v>
      </c>
      <c r="J438" s="74">
        <f t="shared" si="29"/>
        <v>372.43996463147784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30"/>
        <v>OC12</v>
      </c>
      <c r="F439" t="str">
        <f t="shared" si="27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774.64214781175053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53812.840724186681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29"/>
        <v>53812.840724186681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30"/>
        <v>OC12</v>
      </c>
      <c r="F440" t="str">
        <f t="shared" si="27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3.6459298897636652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105.91426329763448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29"/>
        <v>105.91426329763448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30"/>
        <v>OC12</v>
      </c>
      <c r="F441" t="str">
        <f t="shared" si="27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20.781365440527122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1235.6445954897126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29"/>
        <v>1235.6445954897126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30"/>
        <v>OC12</v>
      </c>
      <c r="F442" t="str">
        <f t="shared" si="27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23.931521146893385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2722.3355458680985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29"/>
        <v>2722.3355458680985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30"/>
        <v>OC12</v>
      </c>
      <c r="F443" t="str">
        <f t="shared" si="27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24.580723756526687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1531.7232201642039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29"/>
        <v>1531.7232201642039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30"/>
        <v>OC12</v>
      </c>
      <c r="F444" t="str">
        <f t="shared" si="27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8.9197417432206052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106.02005035992011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29"/>
        <v>106.02005035992011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30"/>
        <v>OC12</v>
      </c>
      <c r="F445" t="str">
        <f t="shared" si="27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63.691282225699887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2656.8385860252656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29"/>
        <v>2656.8385860252656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30"/>
        <v>OC12</v>
      </c>
      <c r="F446" t="str">
        <f t="shared" si="27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596.03432554762389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11923.312079880207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2127.1347576814619</v>
      </c>
      <c r="J446" s="74">
        <f t="shared" si="29"/>
        <v>2127.1347576814619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30"/>
        <v>OC12</v>
      </c>
      <c r="F447" t="str">
        <f t="shared" si="27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13.977184552620391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978.40291868342729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29"/>
        <v>978.40291868342729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30"/>
        <v>OC12</v>
      </c>
      <c r="F448" t="str">
        <f t="shared" si="27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42.636272874021806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1455.8727322836714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29"/>
        <v>1455.8727322836714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30"/>
        <v>OC12</v>
      </c>
      <c r="F449" t="str">
        <f t="shared" si="27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3886.6099401933679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75034.891505373162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29"/>
        <v>75034.891505373162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30"/>
        <v>OC12</v>
      </c>
      <c r="F450" t="str">
        <f t="shared" si="27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29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30"/>
        <v>OC12</v>
      </c>
      <c r="F451" t="str">
        <f t="shared" si="27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29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30"/>
        <v>OC12</v>
      </c>
      <c r="F452" t="str">
        <f t="shared" si="27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29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30"/>
        <v>OC12</v>
      </c>
      <c r="F453" t="str">
        <f t="shared" si="27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29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31">Organ12</f>
        <v>OC12</v>
      </c>
      <c r="F454" t="str">
        <f t="shared" si="27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29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31"/>
        <v>OC12</v>
      </c>
      <c r="F455" t="str">
        <f t="shared" si="27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29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31"/>
        <v>OC12</v>
      </c>
      <c r="F456" t="str">
        <f t="shared" si="27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29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31"/>
        <v>OC12</v>
      </c>
      <c r="F457" t="str">
        <f t="shared" si="27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29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31"/>
        <v>OC12</v>
      </c>
      <c r="F458" t="str">
        <f t="shared" si="27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29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31"/>
        <v>OC12</v>
      </c>
      <c r="F459" t="str">
        <f t="shared" si="27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29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31"/>
        <v>OC12</v>
      </c>
      <c r="F460" t="str">
        <f t="shared" si="27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29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31"/>
        <v>OC12</v>
      </c>
      <c r="F461" t="str">
        <f t="shared" si="27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29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31"/>
        <v>OC12</v>
      </c>
      <c r="F462" t="str">
        <f t="shared" si="27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29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31"/>
        <v>OC12</v>
      </c>
      <c r="F463" t="str">
        <f t="shared" si="27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29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31"/>
        <v>OC12</v>
      </c>
      <c r="F464" t="str">
        <f t="shared" si="27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29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31"/>
        <v>OC12</v>
      </c>
      <c r="F465" t="str">
        <f t="shared" si="27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29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31"/>
        <v>OC12</v>
      </c>
      <c r="F466" t="str">
        <f t="shared" si="27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29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31"/>
        <v>OC12</v>
      </c>
      <c r="F467" t="str">
        <f t="shared" si="27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29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31"/>
        <v>OC12</v>
      </c>
      <c r="F468" t="str">
        <f t="shared" ref="F468:F505" si="32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29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31"/>
        <v>OC12</v>
      </c>
      <c r="F469" t="str">
        <f t="shared" si="32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33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31"/>
        <v>OC12</v>
      </c>
      <c r="F470" t="str">
        <f t="shared" si="32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33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31"/>
        <v>OC12</v>
      </c>
      <c r="F471" t="str">
        <f t="shared" si="32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33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31"/>
        <v>OC12</v>
      </c>
      <c r="F472" t="str">
        <f t="shared" si="32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33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31"/>
        <v>OC12</v>
      </c>
      <c r="F473" t="str">
        <f t="shared" si="32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33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31"/>
        <v>OC12</v>
      </c>
      <c r="F474" t="str">
        <f t="shared" si="32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33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31"/>
        <v>OC12</v>
      </c>
      <c r="F475" t="str">
        <f t="shared" si="32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33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31"/>
        <v>OC12</v>
      </c>
      <c r="F476" t="str">
        <f t="shared" si="32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33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31"/>
        <v>OC12</v>
      </c>
      <c r="F477" t="str">
        <f t="shared" si="32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33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31"/>
        <v>OC12</v>
      </c>
      <c r="F478" t="str">
        <f t="shared" si="32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151.9143254099892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998.89441701433486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350.12085547168078</v>
      </c>
      <c r="J478" s="74">
        <f t="shared" si="33"/>
        <v>350.12085547168078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31"/>
        <v>OC12</v>
      </c>
      <c r="F479" t="str">
        <f t="shared" si="32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2.7592651016816951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8.4993091074080915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2.7096568717266765</v>
      </c>
      <c r="J479" s="74">
        <f t="shared" si="33"/>
        <v>2.7096568717266765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31"/>
        <v>OC12</v>
      </c>
      <c r="F480" t="str">
        <f t="shared" si="32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13.478364377684429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45.66469851159485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26.191405821669594</v>
      </c>
      <c r="J480" s="74">
        <f t="shared" si="33"/>
        <v>26.191405821669594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31"/>
        <v>OC12</v>
      </c>
      <c r="F481" t="str">
        <f t="shared" si="32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99.046918047256085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5366.8612162672925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33"/>
        <v>5366.8612162672925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31"/>
        <v>OC12</v>
      </c>
      <c r="F482" t="str">
        <f t="shared" si="32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0.46617411667770531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7.7191441110077825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33"/>
        <v>7.7191441110077825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31"/>
        <v>OC12</v>
      </c>
      <c r="F483" t="str">
        <f t="shared" si="32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2.6571368541105698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90.055091784658956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33"/>
        <v>90.055091784658956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31"/>
        <v>OC12</v>
      </c>
      <c r="F484" t="str">
        <f t="shared" si="32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3.0599205329562755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198.40670881146775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33"/>
        <v>198.40670881146775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31"/>
        <v>OC12</v>
      </c>
      <c r="F485" t="str">
        <f t="shared" si="32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3.1429285617009759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162.55421382688274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33"/>
        <v>162.55421382688274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34">Organ12</f>
        <v>OC12</v>
      </c>
      <c r="F486" t="str">
        <f t="shared" si="32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1.1404916863084984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7.7268539845738022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33"/>
        <v>7.7268539845738022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34"/>
        <v>OC12</v>
      </c>
      <c r="F487" t="str">
        <f t="shared" si="32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8.1436637920540775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193.63322074556899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33"/>
        <v>193.63322074556899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34"/>
        <v>OC12</v>
      </c>
      <c r="F488" t="str">
        <f t="shared" si="32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76.209851429635265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868.98366055264671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155.0278425856128</v>
      </c>
      <c r="J488" s="74">
        <f t="shared" ref="J488:J505" si="35">IF(I488&lt;&gt;0,I488,H488)</f>
        <v>155.0278425856128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34"/>
        <v>OC12</v>
      </c>
      <c r="F489" t="str">
        <f t="shared" si="32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1.7871439823220083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71.307044894648115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35"/>
        <v>71.307044894648115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34"/>
        <v>OC12</v>
      </c>
      <c r="F490" t="str">
        <f t="shared" si="32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5.4515384130892075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106.10555252793138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35"/>
        <v>106.10555252793138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34"/>
        <v>OC12</v>
      </c>
      <c r="F491" t="str">
        <f t="shared" si="32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496.9478323835454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9594.0748519967292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35"/>
        <v>9594.0748519967292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34"/>
        <v>OC12</v>
      </c>
      <c r="F492" t="str">
        <f t="shared" si="32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35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34"/>
        <v>OC12</v>
      </c>
      <c r="F493" t="str">
        <f t="shared" si="32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35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34"/>
        <v>OC12</v>
      </c>
      <c r="F494" t="str">
        <f t="shared" si="32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35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34"/>
        <v>OC12</v>
      </c>
      <c r="F495" t="str">
        <f t="shared" si="32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35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34"/>
        <v>OC12</v>
      </c>
      <c r="F496" t="str">
        <f t="shared" si="32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35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34"/>
        <v>OC12</v>
      </c>
      <c r="F497" t="str">
        <f t="shared" si="32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35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34"/>
        <v>OC12</v>
      </c>
      <c r="F498" t="str">
        <f t="shared" si="32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35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34"/>
        <v>OC12</v>
      </c>
      <c r="F499" t="str">
        <f t="shared" si="32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35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34"/>
        <v>OC12</v>
      </c>
      <c r="F500" t="str">
        <f t="shared" si="32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35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34"/>
        <v>OC12</v>
      </c>
      <c r="F501" t="str">
        <f t="shared" si="32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35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34"/>
        <v>OC12</v>
      </c>
      <c r="F502" t="str">
        <f t="shared" si="32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35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34"/>
        <v>OC12</v>
      </c>
      <c r="F503" t="str">
        <f t="shared" si="32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35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34"/>
        <v>OC12</v>
      </c>
      <c r="F504" t="str">
        <f t="shared" si="32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35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34"/>
        <v>OC12</v>
      </c>
      <c r="F505" t="str">
        <f t="shared" si="32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35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11</vt:i4>
      </vt:variant>
    </vt:vector>
  </HeadingPairs>
  <TitlesOfParts>
    <vt:vector size="51" baseType="lpstr">
      <vt:lpstr>Overblik</vt:lpstr>
      <vt:lpstr>Resume</vt:lpstr>
      <vt:lpstr>Farvekoder</vt:lpstr>
      <vt:lpstr>Arealanvendelse</vt:lpstr>
      <vt:lpstr>Landbrug</vt:lpstr>
      <vt:lpstr>Landbrugsproduktivititet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CONCITO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2023-12-12T12:46:13Z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