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7E237F8F-00AE-48DA-949F-031DA76DEFB6}" xr6:coauthVersionLast="47" xr6:coauthVersionMax="47" xr10:uidLastSave="{00000000-0000-0000-0000-000000000000}"/>
  <bookViews>
    <workbookView xWindow="1515" yWindow="1515" windowWidth="21600" windowHeight="1245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24" r:id="rId38"/>
    <pivotCache cacheId="25" r:id="rId39"/>
    <pivotCache cacheId="26" r:id="rId40"/>
    <pivotCache cacheId="27" r:id="rId41"/>
    <pivotCache cacheId="28" r:id="rId42"/>
    <pivotCache cacheId="29" r:id="rId43"/>
    <pivotCache cacheId="30" r:id="rId44"/>
    <pivotCache cacheId="31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81" i="72" l="1" a="1"/>
  <c r="D281" i="72" s="1"/>
  <c r="D250" i="72" a="1"/>
  <c r="D250" i="72" s="1"/>
  <c r="D222" i="72" a="1"/>
  <c r="D222" i="72" s="1"/>
  <c r="D221" i="72" a="1"/>
  <c r="D221" i="72" s="1"/>
  <c r="D223" i="72" s="1" a="1"/>
  <c r="D223" i="72" s="1"/>
  <c r="D220" i="72" a="1"/>
  <c r="D220" i="72" s="1"/>
  <c r="D219" i="72" a="1"/>
  <c r="D219" i="72" s="1"/>
  <c r="D190" i="72" a="1"/>
  <c r="D190" i="72" s="1"/>
  <c r="D189" i="72" a="1"/>
  <c r="D189" i="72" s="1"/>
  <c r="D188" i="72" a="1"/>
  <c r="D188" i="72" s="1"/>
  <c r="D158" i="72" a="1"/>
  <c r="D158" i="72" s="1"/>
  <c r="D159" i="72" s="1" a="1"/>
  <c r="D159" i="72" s="1"/>
  <c r="D157" i="72" a="1"/>
  <c r="D157" i="72" s="1"/>
  <c r="D127" i="72" a="1"/>
  <c r="D127" i="72" s="1"/>
  <c r="D126" i="72" a="1"/>
  <c r="D126" i="72" s="1"/>
  <c r="D98" i="72" a="1"/>
  <c r="D98" i="72" s="1"/>
  <c r="D97" i="72" a="1"/>
  <c r="D97" i="72" s="1"/>
  <c r="D96" i="72" a="1"/>
  <c r="D96" i="72" s="1"/>
  <c r="D95" i="72" a="1"/>
  <c r="D95" i="72" s="1"/>
  <c r="D66" i="72" a="1"/>
  <c r="D66" i="72" s="1"/>
  <c r="D65" i="72" a="1"/>
  <c r="D65" i="72" s="1"/>
  <c r="D64" i="72" a="1"/>
  <c r="D64" i="72" s="1"/>
  <c r="D34" i="72" a="1"/>
  <c r="D34" i="72" s="1"/>
  <c r="D33" i="72" a="1"/>
  <c r="D33" i="72" s="1"/>
  <c r="D3" i="72" a="1"/>
  <c r="D3" i="72" s="1"/>
  <c r="D2" i="72" a="1"/>
  <c r="D2" i="72" s="1"/>
  <c r="D35" i="72" l="1" a="1"/>
  <c r="D35" i="72" s="1"/>
  <c r="D67" i="72" a="1"/>
  <c r="D67" i="72" s="1"/>
  <c r="D99" i="72" a="1"/>
  <c r="D99" i="72" s="1"/>
  <c r="D4" i="72" a="1"/>
  <c r="D4" i="72" s="1"/>
  <c r="D36" i="72" a="1"/>
  <c r="D36" i="72" s="1"/>
  <c r="D68" i="72" a="1"/>
  <c r="D68" i="72" s="1"/>
  <c r="D100" i="72" a="1"/>
  <c r="D100" i="72" s="1"/>
  <c r="D37" i="72" a="1"/>
  <c r="D37" i="72" s="1"/>
  <c r="D69" i="72" a="1"/>
  <c r="D69" i="72" s="1"/>
  <c r="D101" i="72" a="1"/>
  <c r="D101" i="72" s="1"/>
  <c r="D38" i="72" a="1"/>
  <c r="D38" i="72" s="1"/>
  <c r="D70" i="72" a="1"/>
  <c r="D70" i="72" s="1"/>
  <c r="D102" i="72" a="1"/>
  <c r="D102" i="72" s="1"/>
  <c r="D39" i="72" a="1"/>
  <c r="D39" i="72" s="1"/>
  <c r="D71" i="72" a="1"/>
  <c r="D71" i="72" s="1"/>
  <c r="D103" i="72" a="1"/>
  <c r="D103" i="72" s="1"/>
  <c r="D191" i="72" a="1"/>
  <c r="D191" i="72" s="1"/>
  <c r="D40" i="72" a="1"/>
  <c r="D40" i="72" s="1"/>
  <c r="D72" i="72" a="1"/>
  <c r="D72" i="72" s="1"/>
  <c r="D104" i="72" a="1"/>
  <c r="D104" i="72" s="1"/>
  <c r="D128" i="72" a="1"/>
  <c r="D128" i="72" s="1"/>
  <c r="D160" i="72" a="1"/>
  <c r="D160" i="72" s="1"/>
  <c r="D192" i="72" a="1"/>
  <c r="D192" i="72" s="1"/>
  <c r="D224" i="72" a="1"/>
  <c r="D224" i="72" s="1"/>
  <c r="D226" i="72" s="1" a="1"/>
  <c r="D226" i="72" s="1"/>
  <c r="D41" i="72" a="1"/>
  <c r="D41" i="72" s="1"/>
  <c r="D105" i="72" a="1"/>
  <c r="D105" i="72" s="1"/>
  <c r="D129" i="72" a="1"/>
  <c r="D129" i="72" s="1"/>
  <c r="D161" i="72" a="1"/>
  <c r="D161" i="72" s="1"/>
  <c r="D225" i="72" a="1"/>
  <c r="D225" i="72" s="1"/>
  <c r="D251" i="72" a="1"/>
  <c r="D251" i="72" s="1"/>
  <c r="D252" i="72" s="1" a="1"/>
  <c r="D252" i="72" s="1"/>
  <c r="D282" i="72" a="1"/>
  <c r="D282" i="72" s="1"/>
  <c r="D7" i="39"/>
  <c r="D5" i="39"/>
  <c r="D4" i="39"/>
  <c r="D3" i="39"/>
  <c r="E35" i="17"/>
  <c r="D5" i="72" l="1" a="1"/>
  <c r="D5" i="72" s="1"/>
  <c r="D6" i="72" a="1"/>
  <c r="D6" i="72" s="1"/>
  <c r="D7" i="72" s="1" a="1"/>
  <c r="D7" i="72" s="1"/>
  <c r="D130" i="72" a="1"/>
  <c r="D130" i="72" s="1"/>
  <c r="D42" i="72" a="1"/>
  <c r="D42" i="72" s="1"/>
  <c r="D75" i="72" a="1"/>
  <c r="D75" i="72" s="1"/>
  <c r="D162" i="72" a="1"/>
  <c r="D162" i="72" s="1"/>
  <c r="D131" i="72" a="1"/>
  <c r="D131" i="72" s="1"/>
  <c r="D73" i="72" a="1"/>
  <c r="D73" i="72" s="1"/>
  <c r="D106" i="72" a="1"/>
  <c r="D106" i="72" s="1"/>
  <c r="D283" i="72" a="1"/>
  <c r="D283" i="72" s="1"/>
  <c r="D74" i="72" a="1"/>
  <c r="D74" i="72" s="1"/>
  <c r="D253" i="72" a="1"/>
  <c r="D253" i="72" s="1"/>
  <c r="D254" i="72" s="1" a="1"/>
  <c r="D254" i="72" s="1"/>
  <c r="D227" i="72" a="1"/>
  <c r="D227" i="72" s="1"/>
  <c r="D163" i="72" a="1"/>
  <c r="D163" i="72" s="1"/>
  <c r="D193" i="72" a="1"/>
  <c r="D193" i="72" s="1"/>
  <c r="D17" i="17"/>
  <c r="E17" i="17" s="1"/>
  <c r="D228" i="72" l="1" a="1"/>
  <c r="D228" i="72" s="1"/>
  <c r="D132" i="72" a="1"/>
  <c r="D132" i="72" s="1"/>
  <c r="D76" i="72" a="1"/>
  <c r="D76" i="72" s="1"/>
  <c r="D230" i="72" a="1"/>
  <c r="D230" i="72" s="1"/>
  <c r="D231" i="72" s="1" a="1"/>
  <c r="D231" i="72" s="1"/>
  <c r="D284" i="72" a="1"/>
  <c r="D284" i="72" s="1"/>
  <c r="D164" i="72" a="1"/>
  <c r="D164" i="72" s="1"/>
  <c r="D255" i="72" a="1"/>
  <c r="D255" i="72" s="1"/>
  <c r="D229" i="72" a="1"/>
  <c r="D229" i="72" s="1"/>
  <c r="D194" i="72" a="1"/>
  <c r="D194" i="72" s="1"/>
  <c r="D195" i="72" a="1"/>
  <c r="D195" i="72" s="1"/>
  <c r="D107" i="72" a="1"/>
  <c r="D107" i="72" s="1"/>
  <c r="D165" i="72" a="1"/>
  <c r="D165" i="72" s="1"/>
  <c r="D77" i="72" a="1"/>
  <c r="D77" i="72" s="1"/>
  <c r="D8" i="72" a="1"/>
  <c r="D8" i="72" s="1"/>
  <c r="D43" i="72" a="1"/>
  <c r="D43" i="72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D232" i="72" l="1" a="1"/>
  <c r="D232" i="72" s="1"/>
  <c r="D166" i="72" a="1"/>
  <c r="D166" i="72" s="1"/>
  <c r="D167" i="72" a="1"/>
  <c r="D167" i="72" s="1"/>
  <c r="D10" i="72" a="1"/>
  <c r="D10" i="72" s="1"/>
  <c r="D79" i="72" a="1"/>
  <c r="D79" i="72" s="1"/>
  <c r="D9" i="72" a="1"/>
  <c r="D9" i="72" s="1"/>
  <c r="D196" i="72" a="1"/>
  <c r="D196" i="72" s="1"/>
  <c r="D134" i="72" a="1"/>
  <c r="D134" i="72" s="1"/>
  <c r="D133" i="72" a="1"/>
  <c r="D133" i="72" s="1"/>
  <c r="D46" i="72" a="1"/>
  <c r="D46" i="72" s="1"/>
  <c r="D108" i="72" a="1"/>
  <c r="D108" i="72" s="1"/>
  <c r="D256" i="72" a="1"/>
  <c r="D256" i="72" s="1"/>
  <c r="D78" i="72" a="1"/>
  <c r="D78" i="72" s="1"/>
  <c r="D44" i="72" a="1"/>
  <c r="D44" i="72" s="1"/>
  <c r="D45" i="72" s="1" a="1"/>
  <c r="D45" i="72" s="1"/>
  <c r="D285" i="72" a="1"/>
  <c r="D285" i="72" s="1"/>
  <c r="E18" i="58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D169" i="72" l="1" a="1"/>
  <c r="D169" i="72" s="1"/>
  <c r="D168" i="72" a="1"/>
  <c r="D168" i="72" s="1"/>
  <c r="D170" i="72" a="1"/>
  <c r="D170" i="72" s="1"/>
  <c r="D135" i="72" a="1"/>
  <c r="D135" i="72" s="1"/>
  <c r="D257" i="72" a="1"/>
  <c r="D257" i="72" s="1"/>
  <c r="D47" i="72" a="1"/>
  <c r="D47" i="72" s="1"/>
  <c r="D171" i="72" a="1"/>
  <c r="D171" i="72" s="1"/>
  <c r="D233" i="72" a="1"/>
  <c r="D233" i="72" s="1"/>
  <c r="D234" i="72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86" i="72" a="1"/>
  <c r="D286" i="72" s="1"/>
  <c r="D287" i="72" a="1"/>
  <c r="D287" i="72" s="1"/>
  <c r="D12" i="72" a="1"/>
  <c r="D12" i="72" s="1"/>
  <c r="D80" i="72" a="1"/>
  <c r="D80" i="72" s="1"/>
  <c r="D172" i="72" a="1"/>
  <c r="D172" i="72" s="1"/>
  <c r="D173" i="72" a="1"/>
  <c r="D173" i="72" s="1"/>
  <c r="D11" i="72" a="1"/>
  <c r="D11" i="72" s="1"/>
  <c r="D197" i="72" a="1"/>
  <c r="D197" i="72" s="1"/>
  <c r="D288" i="72" a="1"/>
  <c r="D288" i="72" s="1"/>
  <c r="D289" i="72" s="1" a="1"/>
  <c r="D289" i="72" s="1"/>
  <c r="D136" i="72" a="1"/>
  <c r="D136" i="72" s="1"/>
  <c r="D109" i="72" a="1"/>
  <c r="D109" i="72" s="1"/>
  <c r="D110" i="72" s="1" a="1"/>
  <c r="D110" i="72" s="1"/>
  <c r="D111" i="72" s="1" a="1"/>
  <c r="D111" i="72" s="1"/>
  <c r="G93" i="37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D198" i="72" l="1" a="1"/>
  <c r="D198" i="72" s="1"/>
  <c r="D48" i="72" a="1"/>
  <c r="D48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137" i="72" a="1"/>
  <c r="D137" i="72" s="1"/>
  <c r="D138" i="72" s="1" a="1"/>
  <c r="D138" i="72" s="1"/>
  <c r="D240" i="72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174" i="72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117" i="72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12" i="72" a="1"/>
  <c r="D112" i="72" s="1"/>
  <c r="D113" i="72" a="1"/>
  <c r="D113" i="72" s="1"/>
  <c r="D114" i="72" s="1" a="1"/>
  <c r="D114" i="72" s="1"/>
  <c r="D115" i="72" s="1" a="1"/>
  <c r="D115" i="72" s="1"/>
  <c r="D116" i="72" s="1" a="1"/>
  <c r="D116" i="72" s="1"/>
  <c r="D13" i="72" a="1"/>
  <c r="D13" i="72" s="1"/>
  <c r="D81" i="72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G17" i="41"/>
  <c r="G84" i="41"/>
  <c r="D139" i="72" l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49" i="72" a="1"/>
  <c r="D49" i="72" s="1"/>
  <c r="D50" i="72" s="1" a="1"/>
  <c r="D50" i="72" s="1"/>
  <c r="D88" i="72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266" i="72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300" i="72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51" i="72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199" i="72" a="1"/>
  <c r="D199" i="72" s="1"/>
  <c r="D200" i="72" s="1" a="1"/>
  <c r="D200" i="72" s="1"/>
  <c r="D14" i="72" a="1"/>
  <c r="D14" i="72" s="1"/>
  <c r="D201" i="72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C341" i="38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15" i="72" l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C60" i="26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B12" i="32" l="1"/>
  <c r="G227" i="35"/>
  <c r="E12" i="32"/>
  <c r="G228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D268" i="66" l="1"/>
  <c r="D264" i="66"/>
  <c r="D121" i="66"/>
  <c r="D117" i="66"/>
  <c r="D185" i="38"/>
  <c r="R36" i="70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A32" i="53"/>
  <c r="A36" i="53"/>
  <c r="C275" i="38"/>
  <c r="D10" i="53" l="1"/>
  <c r="D11" i="53"/>
  <c r="D34" i="53"/>
  <c r="D9" i="53"/>
  <c r="D23" i="53"/>
  <c r="D22" i="53"/>
  <c r="D35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3" i="34" l="1"/>
  <c r="D4" i="34"/>
  <c r="D5" i="34"/>
  <c r="E5" i="34" s="1"/>
  <c r="D6" i="34"/>
  <c r="E6" i="34" s="1"/>
  <c r="E7" i="34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4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Q15" i="39" s="1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P92" i="66"/>
  <c r="S92" i="66"/>
  <c r="F15" i="39"/>
  <c r="N236" i="66"/>
  <c r="S236" i="66"/>
  <c r="P236" i="66"/>
  <c r="M42" i="39"/>
  <c r="E174" i="38" s="1"/>
  <c r="J284" i="66" s="1"/>
  <c r="E42" i="39"/>
  <c r="E123" i="38" s="1"/>
  <c r="J140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N140" i="66"/>
  <c r="G15" i="39"/>
  <c r="P140" i="66"/>
  <c r="S140" i="66"/>
  <c r="N284" i="66"/>
  <c r="P284" i="66"/>
  <c r="S284" i="66"/>
  <c r="Y236" i="66"/>
  <c r="Z92" i="66"/>
  <c r="O92" i="66"/>
  <c r="Q92" i="66" s="1"/>
  <c r="R92" i="66" s="1"/>
  <c r="T92" i="66" s="1"/>
  <c r="Z236" i="66"/>
  <c r="Y92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Y140" i="66"/>
  <c r="O140" i="66"/>
  <c r="Q140" i="66" s="1"/>
  <c r="R140" i="66" s="1"/>
  <c r="T140" i="66" s="1"/>
  <c r="Y284" i="66"/>
  <c r="Z140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58" i="72" l="1"/>
  <c r="G127" i="72"/>
  <c r="G65" i="72"/>
  <c r="G96" i="72"/>
  <c r="G251" i="72"/>
  <c r="G282" i="72"/>
  <c r="G189" i="72"/>
  <c r="G220" i="72"/>
  <c r="J4" i="37"/>
  <c r="J4" i="58"/>
  <c r="I4" i="58"/>
  <c r="I4" i="37"/>
  <c r="G34" i="72"/>
  <c r="G3" i="72"/>
  <c r="H221" i="72" l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I4" i="41"/>
  <c r="D45" i="39" s="1"/>
  <c r="F53" i="66"/>
  <c r="E19" i="53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F197" i="66"/>
  <c r="E25" i="53"/>
  <c r="N4" i="58"/>
  <c r="L45" i="39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H4" i="37"/>
  <c r="H4" i="58"/>
  <c r="E37" i="53"/>
  <c r="F245" i="66"/>
  <c r="O4" i="58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J4" i="41"/>
  <c r="E45" i="39" s="1"/>
  <c r="E31" i="53"/>
  <c r="F101" i="66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E59" i="39" l="1"/>
  <c r="E60" i="39" s="1"/>
  <c r="E56" i="39"/>
  <c r="E124" i="38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M45" i="39"/>
  <c r="L59" i="39"/>
  <c r="L60" i="39" s="1"/>
  <c r="E158" i="38"/>
  <c r="L56" i="39"/>
  <c r="E107" i="38"/>
  <c r="D56" i="39"/>
  <c r="D59" i="39"/>
  <c r="D60" i="39" s="1"/>
  <c r="H4" i="41"/>
  <c r="K45" i="39" s="1"/>
  <c r="F5" i="66"/>
  <c r="E7" i="53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F149" i="66"/>
  <c r="E13" i="53"/>
  <c r="M4" i="58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159" i="72" l="1"/>
  <c r="F159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4" i="72"/>
  <c r="F4" i="72" s="1"/>
  <c r="G5" i="72" s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175" i="38"/>
  <c r="M56" i="39"/>
  <c r="M59" i="39"/>
  <c r="M60" i="39" s="1"/>
  <c r="E283" i="72"/>
  <c r="F283" i="72" s="1"/>
  <c r="D58" i="39"/>
  <c r="D57" i="39"/>
  <c r="E128" i="72"/>
  <c r="F128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I474" i="37"/>
  <c r="I466" i="37"/>
  <c r="J53" i="66"/>
  <c r="D19" i="53"/>
  <c r="F19" i="53" s="1"/>
  <c r="H25" i="53" s="1"/>
  <c r="L58" i="39"/>
  <c r="L57" i="39"/>
  <c r="D31" i="53"/>
  <c r="F31" i="53" s="1"/>
  <c r="H37" i="53" s="1"/>
  <c r="J101" i="66"/>
  <c r="J466" i="37"/>
  <c r="J474" i="37"/>
  <c r="K59" i="39"/>
  <c r="K60" i="39" s="1"/>
  <c r="K56" i="39"/>
  <c r="E141" i="38"/>
  <c r="E97" i="72"/>
  <c r="F97" i="72" s="1"/>
  <c r="C45" i="39"/>
  <c r="J197" i="66"/>
  <c r="I466" i="58"/>
  <c r="D25" i="53"/>
  <c r="F25" i="53" s="1"/>
  <c r="I474" i="58"/>
  <c r="E57" i="39"/>
  <c r="E58" i="39"/>
  <c r="E190" i="72"/>
  <c r="F190" i="72" s="1"/>
  <c r="E66" i="72"/>
  <c r="F66" i="72" s="1"/>
  <c r="E160" i="72" l="1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J489" i="37"/>
  <c r="F102" i="66"/>
  <c r="F54" i="66"/>
  <c r="I489" i="37"/>
  <c r="I466" i="4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C56" i="39"/>
  <c r="C59" i="39"/>
  <c r="C60" i="39" s="1"/>
  <c r="E90" i="38"/>
  <c r="W101" i="66"/>
  <c r="S101" i="66"/>
  <c r="I479" i="37"/>
  <c r="F55" i="66"/>
  <c r="M58" i="39"/>
  <c r="M57" i="39"/>
  <c r="W197" i="66"/>
  <c r="S197" i="66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J466" i="58"/>
  <c r="J466" i="41" s="1"/>
  <c r="D37" i="53"/>
  <c r="F37" i="53" s="1"/>
  <c r="J245" i="66"/>
  <c r="J474" i="58"/>
  <c r="F198" i="66"/>
  <c r="I489" i="58"/>
  <c r="J479" i="37"/>
  <c r="F103" i="66"/>
  <c r="E222" i="72"/>
  <c r="F222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W53" i="66"/>
  <c r="S53" i="66"/>
  <c r="J149" i="66"/>
  <c r="H474" i="58"/>
  <c r="D13" i="53"/>
  <c r="F13" i="53" s="1"/>
  <c r="H7" i="53" s="1"/>
  <c r="H466" i="58"/>
  <c r="E36" i="72"/>
  <c r="F36" i="72" s="1"/>
  <c r="E253" i="72"/>
  <c r="F253" i="72" s="1"/>
  <c r="I474" i="41"/>
  <c r="I479" i="58"/>
  <c r="F199" i="66"/>
  <c r="K57" i="39"/>
  <c r="K58" i="39"/>
  <c r="G25" i="53"/>
  <c r="H19" i="53"/>
  <c r="G19" i="53" s="1"/>
  <c r="E5" i="72"/>
  <c r="F5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I489" i="41" l="1"/>
  <c r="E161" i="72"/>
  <c r="F161" i="72" s="1"/>
  <c r="G162" i="72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366" i="38"/>
  <c r="K103" i="66" s="1"/>
  <c r="N103" i="66" s="1"/>
  <c r="J480" i="37"/>
  <c r="H474" i="37"/>
  <c r="D7" i="53"/>
  <c r="F7" i="53" s="1"/>
  <c r="J5" i="66"/>
  <c r="H466" i="37"/>
  <c r="E307" i="38"/>
  <c r="E313" i="38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98" i="72"/>
  <c r="F98" i="72" s="1"/>
  <c r="E325" i="38"/>
  <c r="M197" i="66" s="1"/>
  <c r="E319" i="38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L198" i="66"/>
  <c r="P198" i="66" s="1"/>
  <c r="C57" i="39"/>
  <c r="C58" i="39"/>
  <c r="H489" i="58"/>
  <c r="F150" i="66"/>
  <c r="J474" i="41"/>
  <c r="J479" i="58"/>
  <c r="F247" i="66"/>
  <c r="E360" i="38"/>
  <c r="K55" i="66" s="1"/>
  <c r="N55" i="66" s="1"/>
  <c r="I480" i="37"/>
  <c r="I479" i="41"/>
  <c r="L54" i="66"/>
  <c r="P54" i="66" s="1"/>
  <c r="E67" i="72"/>
  <c r="F67" i="72" s="1"/>
  <c r="W245" i="66"/>
  <c r="S245" i="66"/>
  <c r="H479" i="58"/>
  <c r="F151" i="66"/>
  <c r="H31" i="53"/>
  <c r="G31" i="53" s="1"/>
  <c r="G37" i="53"/>
  <c r="L102" i="66"/>
  <c r="P102" i="66" s="1"/>
  <c r="E284" i="72"/>
  <c r="F284" i="72" s="1"/>
  <c r="E378" i="38"/>
  <c r="K199" i="66" s="1"/>
  <c r="N199" i="66" s="1"/>
  <c r="I480" i="58"/>
  <c r="E379" i="38" s="1"/>
  <c r="K218" i="66" s="1"/>
  <c r="N218" i="66" s="1"/>
  <c r="W149" i="66"/>
  <c r="S149" i="66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J489" i="58"/>
  <c r="J489" i="41" s="1"/>
  <c r="F246" i="66"/>
  <c r="H163" i="72" l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Z55" i="66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N102" i="66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L53" i="66"/>
  <c r="I486" i="37"/>
  <c r="G7" i="53"/>
  <c r="H13" i="53"/>
  <c r="G13" i="53" s="1"/>
  <c r="H479" i="37"/>
  <c r="H474" i="41"/>
  <c r="F7" i="66"/>
  <c r="E361" i="38"/>
  <c r="K74" i="66" s="1"/>
  <c r="N74" i="66" s="1"/>
  <c r="I480" i="41"/>
  <c r="I486" i="58"/>
  <c r="L197" i="66"/>
  <c r="E367" i="38"/>
  <c r="K122" i="66" s="1"/>
  <c r="N122" i="66" s="1"/>
  <c r="L150" i="66"/>
  <c r="P150" i="66" s="1"/>
  <c r="V150" i="66" s="1"/>
  <c r="X150" i="66" s="1"/>
  <c r="M53" i="66"/>
  <c r="F18" i="39" s="1"/>
  <c r="C20" i="8"/>
  <c r="Z199" i="66"/>
  <c r="Y199" i="66"/>
  <c r="Y55" i="66"/>
  <c r="E372" i="38"/>
  <c r="K151" i="66" s="1"/>
  <c r="N151" i="66" s="1"/>
  <c r="H480" i="58"/>
  <c r="E373" i="38" s="1"/>
  <c r="K170" i="66" s="1"/>
  <c r="N170" i="66" s="1"/>
  <c r="W5" i="66"/>
  <c r="S5" i="66"/>
  <c r="E349" i="38"/>
  <c r="M245" i="66" s="1"/>
  <c r="E343" i="38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L246" i="66"/>
  <c r="P246" i="66" s="1"/>
  <c r="E331" i="38"/>
  <c r="E337" i="38"/>
  <c r="N54" i="66"/>
  <c r="J479" i="41"/>
  <c r="J480" i="58"/>
  <c r="E385" i="38" s="1"/>
  <c r="K266" i="66" s="1"/>
  <c r="N266" i="66" s="1"/>
  <c r="E384" i="38"/>
  <c r="K247" i="66" s="1"/>
  <c r="N247" i="66" s="1"/>
  <c r="Y103" i="66" s="1"/>
  <c r="E254" i="72"/>
  <c r="F254" i="72" s="1"/>
  <c r="N198" i="66"/>
  <c r="F6" i="66"/>
  <c r="H489" i="37"/>
  <c r="H489" i="41" s="1"/>
  <c r="H466" i="41"/>
  <c r="E6" i="72"/>
  <c r="F6" i="72" s="1"/>
  <c r="E68" i="72" l="1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N246" i="66"/>
  <c r="Y102" i="66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I486" i="41"/>
  <c r="Z103" i="6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J480" i="41"/>
  <c r="E301" i="38"/>
  <c r="M149" i="66" s="1"/>
  <c r="E295" i="38"/>
  <c r="E163" i="72"/>
  <c r="F163" i="72" s="1"/>
  <c r="Y122" i="66"/>
  <c r="Y266" i="66"/>
  <c r="Z266" i="66"/>
  <c r="Z122" i="66"/>
  <c r="E283" i="38"/>
  <c r="E289" i="38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Y247" i="66"/>
  <c r="P53" i="66"/>
  <c r="N53" i="66"/>
  <c r="Y54" i="66"/>
  <c r="Z54" i="66"/>
  <c r="O54" i="66"/>
  <c r="Z198" i="66"/>
  <c r="Z247" i="66"/>
  <c r="N150" i="66"/>
  <c r="P197" i="66"/>
  <c r="N197" i="66"/>
  <c r="O197" i="66" s="1"/>
  <c r="E38" i="72"/>
  <c r="F38" i="72" s="1"/>
  <c r="L6" i="66"/>
  <c r="P6" i="66" s="1"/>
  <c r="V6" i="66" s="1"/>
  <c r="X6" i="66" s="1"/>
  <c r="M101" i="66"/>
  <c r="G18" i="39" s="1"/>
  <c r="D20" i="8"/>
  <c r="Y198" i="66"/>
  <c r="O198" i="66"/>
  <c r="L101" i="66"/>
  <c r="J486" i="37"/>
  <c r="E193" i="72"/>
  <c r="F193" i="72" s="1"/>
  <c r="E224" i="72"/>
  <c r="F224" i="72" s="1"/>
  <c r="E285" i="72"/>
  <c r="F285" i="72" s="1"/>
  <c r="L245" i="66"/>
  <c r="J486" i="58"/>
  <c r="Y218" i="66"/>
  <c r="Z74" i="66"/>
  <c r="Z218" i="66"/>
  <c r="Y74" i="66"/>
  <c r="E354" i="38"/>
  <c r="K7" i="66" s="1"/>
  <c r="N7" i="66" s="1"/>
  <c r="H480" i="37"/>
  <c r="H479" i="41"/>
  <c r="Z102" i="66" l="1"/>
  <c r="Y246" i="66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O246" i="66"/>
  <c r="O102" i="66"/>
  <c r="Z246" i="66"/>
  <c r="N6" i="66"/>
  <c r="O6" i="66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B20" i="8"/>
  <c r="M5" i="66"/>
  <c r="L149" i="66"/>
  <c r="H486" i="58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32" i="72"/>
  <c r="F132" i="72" s="1"/>
  <c r="L5" i="66"/>
  <c r="H486" i="37"/>
  <c r="V197" i="66"/>
  <c r="X197" i="66" s="1"/>
  <c r="Q197" i="66"/>
  <c r="R197" i="66" s="1"/>
  <c r="T197" i="66" s="1"/>
  <c r="U197" i="66"/>
  <c r="O53" i="66"/>
  <c r="Y53" i="66"/>
  <c r="Y197" i="66"/>
  <c r="Z53" i="66"/>
  <c r="Z197" i="66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P245" i="66"/>
  <c r="N245" i="66"/>
  <c r="P101" i="66"/>
  <c r="N101" i="66"/>
  <c r="U54" i="66"/>
  <c r="Q54" i="66"/>
  <c r="V54" i="66"/>
  <c r="X54" i="66" s="1"/>
  <c r="E255" i="72"/>
  <c r="F255" i="72" s="1"/>
  <c r="J486" i="41"/>
  <c r="H480" i="41"/>
  <c r="E355" i="38"/>
  <c r="K26" i="66" s="1"/>
  <c r="N26" i="66" s="1"/>
  <c r="V198" i="66"/>
  <c r="X198" i="66" s="1"/>
  <c r="U198" i="66"/>
  <c r="Q198" i="66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Z151" i="66"/>
  <c r="Y151" i="66"/>
  <c r="Y7" i="66"/>
  <c r="Z7" i="66"/>
  <c r="E7" i="72"/>
  <c r="F7" i="72" s="1"/>
  <c r="Y6" i="66" l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Z150" i="66"/>
  <c r="O150" i="66"/>
  <c r="Q150" i="66" s="1"/>
  <c r="U102" i="66"/>
  <c r="V102" i="66"/>
  <c r="X102" i="66" s="1"/>
  <c r="Q102" i="66"/>
  <c r="Y150" i="66"/>
  <c r="Q246" i="66"/>
  <c r="V246" i="66"/>
  <c r="X246" i="66" s="1"/>
  <c r="U246" i="66"/>
  <c r="Z6" i="66"/>
  <c r="O245" i="66"/>
  <c r="V245" i="66" s="1"/>
  <c r="X245" i="66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Y170" i="66"/>
  <c r="Z170" i="66"/>
  <c r="Y26" i="66"/>
  <c r="Z26" i="6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N149" i="66"/>
  <c r="P149" i="66"/>
  <c r="V149" i="66" s="1"/>
  <c r="X149" i="66" s="1"/>
  <c r="R149" i="66"/>
  <c r="T149" i="66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Q53" i="66"/>
  <c r="R53" i="66" s="1"/>
  <c r="T53" i="66" s="1"/>
  <c r="U53" i="66"/>
  <c r="V53" i="66"/>
  <c r="X53" i="66" s="1"/>
  <c r="Q6" i="66"/>
  <c r="U6" i="66"/>
  <c r="P5" i="66"/>
  <c r="V5" i="66" s="1"/>
  <c r="X5" i="66" s="1"/>
  <c r="R5" i="66"/>
  <c r="T5" i="66" s="1"/>
  <c r="N5" i="66"/>
  <c r="Z101" i="66"/>
  <c r="Z245" i="66"/>
  <c r="Y245" i="66"/>
  <c r="Y101" i="66"/>
  <c r="O101" i="66"/>
  <c r="H486" i="41"/>
  <c r="E286" i="72"/>
  <c r="F286" i="72" s="1"/>
  <c r="E164" i="72"/>
  <c r="F164" i="72" s="1"/>
  <c r="U150" i="66" l="1"/>
  <c r="U245" i="66"/>
  <c r="Q245" i="66"/>
  <c r="R245" i="66" s="1"/>
  <c r="T245" i="66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O149" i="66"/>
  <c r="E71" i="72"/>
  <c r="F71" i="72" s="1"/>
  <c r="E8" i="72"/>
  <c r="F8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Q101" i="66"/>
  <c r="R101" i="66" s="1"/>
  <c r="T101" i="66" s="1"/>
  <c r="U101" i="66"/>
  <c r="V101" i="66"/>
  <c r="X101" i="66" s="1"/>
  <c r="Y149" i="66"/>
  <c r="O5" i="66"/>
  <c r="Z149" i="66"/>
  <c r="Z5" i="66"/>
  <c r="Y5" i="66"/>
  <c r="E40" i="72"/>
  <c r="F40" i="72" s="1"/>
  <c r="E195" i="72"/>
  <c r="F195" i="72" s="1"/>
  <c r="E287" i="72" l="1"/>
  <c r="F287" i="72" s="1"/>
  <c r="G288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03" i="72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U5" i="66"/>
  <c r="Q5" i="66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65" i="72"/>
  <c r="F165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227" i="72"/>
  <c r="F227" i="72" s="1"/>
  <c r="E134" i="72"/>
  <c r="F134" i="72" s="1"/>
  <c r="Q149" i="66"/>
  <c r="U149" i="66"/>
  <c r="H289" i="72" l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04" i="72"/>
  <c r="F104" i="72" s="1"/>
  <c r="E72" i="72"/>
  <c r="F72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41" i="72"/>
  <c r="F41" i="72" s="1"/>
  <c r="E258" i="72"/>
  <c r="F258" i="72" s="1"/>
  <c r="E166" i="72" l="1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35" i="72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97" i="72"/>
  <c r="F197" i="72" s="1"/>
  <c r="E228" i="72"/>
  <c r="F228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9" i="72"/>
  <c r="F289" i="72" s="1"/>
  <c r="E10" i="72"/>
  <c r="F10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67" i="72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36" i="72"/>
  <c r="F136" i="72" s="1"/>
  <c r="E73" i="72"/>
  <c r="F73" i="72" s="1"/>
  <c r="E42" i="72"/>
  <c r="F42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98" i="72"/>
  <c r="F198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06" i="72"/>
  <c r="F106" i="72" s="1"/>
  <c r="E290" i="72"/>
  <c r="F290" i="72" s="1"/>
  <c r="E168" i="72"/>
  <c r="F168" i="72" s="1"/>
  <c r="E11" i="72"/>
  <c r="F11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30" i="72" l="1"/>
  <c r="F230" i="72" s="1"/>
  <c r="G231" i="72" s="1"/>
  <c r="E137" i="72"/>
  <c r="F137" i="72" s="1"/>
  <c r="E261" i="72"/>
  <c r="F261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74" i="72"/>
  <c r="F74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43" i="72"/>
  <c r="F43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07" i="72" l="1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232" i="72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31" i="72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2" i="72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69" i="72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99" i="72"/>
  <c r="F199" i="72" s="1"/>
  <c r="E291" i="72"/>
  <c r="F291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75" i="72" l="1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62" i="72"/>
  <c r="F262" i="72" s="1"/>
  <c r="E44" i="72"/>
  <c r="F44" i="72" s="1"/>
  <c r="E108" i="72"/>
  <c r="F108" i="72" s="1"/>
  <c r="E170" i="72"/>
  <c r="F170" i="72" s="1"/>
  <c r="E138" i="72"/>
  <c r="F138" i="72" s="1"/>
  <c r="E232" i="72"/>
  <c r="F232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92" i="72" l="1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4" i="72"/>
  <c r="F14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76" i="72"/>
  <c r="F76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33" i="72" l="1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39" i="72"/>
  <c r="F139" i="72" s="1"/>
  <c r="E293" i="72"/>
  <c r="F293" i="72" s="1"/>
  <c r="E109" i="72"/>
  <c r="F109" i="72" s="1"/>
  <c r="E263" i="72"/>
  <c r="F263" i="72" s="1"/>
  <c r="E45" i="72"/>
  <c r="F45" i="72" s="1"/>
  <c r="E171" i="72"/>
  <c r="F171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5" i="72"/>
  <c r="F15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02" i="72"/>
  <c r="F202" i="72" s="1"/>
  <c r="E77" i="72"/>
  <c r="F77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172" i="72" l="1"/>
  <c r="F172" i="72" s="1"/>
  <c r="G173" i="72" s="1"/>
  <c r="E46" i="72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40" i="72"/>
  <c r="F140" i="72" s="1"/>
  <c r="E235" i="72"/>
  <c r="F235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10" i="72"/>
  <c r="F110" i="72" s="1"/>
  <c r="E264" i="72"/>
  <c r="F264" i="72" s="1"/>
  <c r="E294" i="72"/>
  <c r="F294" i="72" s="1"/>
  <c r="H174" i="72" l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73" i="72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16" i="72"/>
  <c r="F16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47" i="72"/>
  <c r="F47" i="72" s="1"/>
  <c r="E203" i="72"/>
  <c r="F203" i="72" s="1"/>
  <c r="E78" i="72"/>
  <c r="F78" i="72" s="1"/>
  <c r="E174" i="72" l="1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95" i="72"/>
  <c r="F295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65" i="72"/>
  <c r="F265" i="72" s="1"/>
  <c r="E236" i="72"/>
  <c r="F236" i="72" s="1"/>
  <c r="E141" i="72"/>
  <c r="F141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7" i="72" l="1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175" i="72"/>
  <c r="F175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12" i="72"/>
  <c r="F112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79" i="72"/>
  <c r="F79" i="72" s="1"/>
  <c r="E176" i="72" l="1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96" i="72"/>
  <c r="F296" i="72" s="1"/>
  <c r="E205" i="72"/>
  <c r="F205" i="72" s="1"/>
  <c r="E237" i="72"/>
  <c r="F237" i="72" s="1"/>
  <c r="E142" i="72"/>
  <c r="F142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66" i="72"/>
  <c r="F266" i="72" s="1"/>
  <c r="E49" i="72"/>
  <c r="F49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8" i="72"/>
  <c r="F18" i="72" s="1"/>
  <c r="E80" i="72" l="1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13" i="72"/>
  <c r="F113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77" i="72"/>
  <c r="F177" i="72" s="1"/>
  <c r="E143" i="72" l="1"/>
  <c r="F143" i="72" s="1"/>
  <c r="G144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06" i="72"/>
  <c r="F206" i="72" s="1"/>
  <c r="E238" i="72"/>
  <c r="F238" i="72" s="1"/>
  <c r="E267" i="72"/>
  <c r="F267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297" i="72"/>
  <c r="F297" i="72" s="1"/>
  <c r="E50" i="72"/>
  <c r="F50" i="72" s="1"/>
  <c r="E19" i="72"/>
  <c r="F19" i="72" s="1"/>
  <c r="H145" i="72" l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44" i="72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78" i="72"/>
  <c r="F178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82" i="72"/>
  <c r="F82" i="72" s="1"/>
  <c r="E115" i="72" l="1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51" i="72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39" i="72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98" i="72"/>
  <c r="F298" i="72" s="1"/>
  <c r="E207" i="72"/>
  <c r="F207" i="72" s="1"/>
  <c r="E145" i="72"/>
  <c r="F145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20" i="72"/>
  <c r="F20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68" i="72"/>
  <c r="F268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52" i="72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83" i="72"/>
  <c r="F83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69" i="72" l="1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80" i="72"/>
  <c r="F180" i="72" s="1"/>
  <c r="G181" i="72" s="1"/>
  <c r="H182" i="72" s="1"/>
  <c r="I183" i="72" s="1"/>
  <c r="J184" i="72" s="1"/>
  <c r="K185" i="72" s="1"/>
  <c r="L186" i="72" s="1"/>
  <c r="M187" i="72" s="1"/>
  <c r="E146" i="72"/>
  <c r="F146" i="72" s="1"/>
  <c r="G147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E53" i="72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E208" i="72"/>
  <c r="F208" i="72" s="1"/>
  <c r="E21" i="72"/>
  <c r="F21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99" i="72"/>
  <c r="F299" i="72" s="1"/>
  <c r="H148" i="72" l="1"/>
  <c r="I149" i="72" s="1"/>
  <c r="J150" i="72" s="1"/>
  <c r="K151" i="72" s="1"/>
  <c r="L152" i="72" s="1"/>
  <c r="M153" i="72" s="1"/>
  <c r="N154" i="72" s="1"/>
  <c r="O155" i="72" s="1"/>
  <c r="P156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E54" i="72"/>
  <c r="F54" i="72" s="1"/>
  <c r="G55" i="72" s="1"/>
  <c r="H56" i="72" s="1"/>
  <c r="I57" i="72" s="1"/>
  <c r="J58" i="72" s="1"/>
  <c r="K59" i="72" s="1"/>
  <c r="L60" i="72" s="1"/>
  <c r="M61" i="72" s="1"/>
  <c r="N62" i="72" s="1"/>
  <c r="O63" i="72" s="1"/>
  <c r="E270" i="72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E118" i="72"/>
  <c r="F118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81" i="72"/>
  <c r="F181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209" i="72" l="1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E271" i="72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55" i="72"/>
  <c r="F55" i="72" s="1"/>
  <c r="E243" i="72"/>
  <c r="F243" i="72" s="1"/>
  <c r="E300" i="72"/>
  <c r="F300" i="72" s="1"/>
  <c r="E22" i="72"/>
  <c r="F22" i="72" s="1"/>
  <c r="E85" i="72"/>
  <c r="F85" i="72" s="1"/>
  <c r="G119" i="72"/>
  <c r="H120" i="72" s="1"/>
  <c r="I121" i="72" s="1"/>
  <c r="J122" i="72" s="1"/>
  <c r="K123" i="72" s="1"/>
  <c r="L124" i="72" s="1"/>
  <c r="M125" i="72" s="1"/>
  <c r="G182" i="72"/>
  <c r="H183" i="72" s="1"/>
  <c r="I184" i="72" s="1"/>
  <c r="J185" i="72" s="1"/>
  <c r="K186" i="72" s="1"/>
  <c r="L187" i="72" s="1"/>
  <c r="E182" i="72" l="1"/>
  <c r="F182" i="72" s="1"/>
  <c r="G183" i="72" s="1"/>
  <c r="H184" i="72" s="1"/>
  <c r="I185" i="72" s="1"/>
  <c r="J186" i="72" s="1"/>
  <c r="K187" i="72" s="1"/>
  <c r="E119" i="72"/>
  <c r="F119" i="72" s="1"/>
  <c r="G120" i="72" s="1"/>
  <c r="H121" i="72" s="1"/>
  <c r="I122" i="72" s="1"/>
  <c r="J123" i="72" s="1"/>
  <c r="K124" i="72" s="1"/>
  <c r="L125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272" i="72"/>
  <c r="F272" i="72" s="1"/>
  <c r="G244" i="72"/>
  <c r="H245" i="72" s="1"/>
  <c r="I246" i="72" s="1"/>
  <c r="J247" i="72" s="1"/>
  <c r="K248" i="72" s="1"/>
  <c r="L249" i="72" s="1"/>
  <c r="G86" i="72"/>
  <c r="H87" i="72" s="1"/>
  <c r="I88" i="72" s="1"/>
  <c r="J89" i="72" s="1"/>
  <c r="K90" i="72" s="1"/>
  <c r="L91" i="72" s="1"/>
  <c r="M92" i="72" s="1"/>
  <c r="N93" i="72" s="1"/>
  <c r="O94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56" i="72"/>
  <c r="H57" i="72" s="1"/>
  <c r="I58" i="72" s="1"/>
  <c r="J59" i="72" s="1"/>
  <c r="K60" i="72" s="1"/>
  <c r="L61" i="72" s="1"/>
  <c r="M62" i="72" s="1"/>
  <c r="N63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23" i="72" l="1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E56" i="72"/>
  <c r="F56" i="72" s="1"/>
  <c r="G57" i="72" s="1"/>
  <c r="H58" i="72" s="1"/>
  <c r="I59" i="72" s="1"/>
  <c r="J60" i="72" s="1"/>
  <c r="K61" i="72" s="1"/>
  <c r="L62" i="72" s="1"/>
  <c r="M63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183" i="72"/>
  <c r="F183" i="72" s="1"/>
  <c r="G184" i="72" s="1"/>
  <c r="H185" i="72" s="1"/>
  <c r="I186" i="72" s="1"/>
  <c r="J187" i="72" s="1"/>
  <c r="E150" i="72"/>
  <c r="F150" i="72" s="1"/>
  <c r="G151" i="72" s="1"/>
  <c r="H152" i="72" s="1"/>
  <c r="I153" i="72" s="1"/>
  <c r="J154" i="72" s="1"/>
  <c r="K155" i="72" s="1"/>
  <c r="L156" i="72" s="1"/>
  <c r="E120" i="72"/>
  <c r="F120" i="72" s="1"/>
  <c r="G121" i="72" s="1"/>
  <c r="H122" i="72" s="1"/>
  <c r="I123" i="72" s="1"/>
  <c r="J124" i="72" s="1"/>
  <c r="K125" i="72" s="1"/>
  <c r="E211" i="72"/>
  <c r="F211" i="72" s="1"/>
  <c r="E86" i="72"/>
  <c r="F86" i="72" s="1"/>
  <c r="E244" i="72"/>
  <c r="F244" i="72" s="1"/>
  <c r="G273" i="72"/>
  <c r="H274" i="72" s="1"/>
  <c r="I275" i="72" s="1"/>
  <c r="J276" i="72" s="1"/>
  <c r="K277" i="72" s="1"/>
  <c r="L278" i="72" s="1"/>
  <c r="M279" i="72" s="1"/>
  <c r="N280" i="72" s="1"/>
  <c r="E184" i="72" l="1"/>
  <c r="F184" i="72" s="1"/>
  <c r="G185" i="72" s="1"/>
  <c r="H186" i="72" s="1"/>
  <c r="I187" i="72" s="1"/>
  <c r="E24" i="72"/>
  <c r="F24" i="72" s="1"/>
  <c r="G25" i="72" s="1"/>
  <c r="H26" i="72" s="1"/>
  <c r="I27" i="72" s="1"/>
  <c r="J28" i="72" s="1"/>
  <c r="K29" i="72" s="1"/>
  <c r="L30" i="72" s="1"/>
  <c r="M31" i="72" s="1"/>
  <c r="N32" i="72" s="1"/>
  <c r="G212" i="72"/>
  <c r="H213" i="72" s="1"/>
  <c r="I214" i="72" s="1"/>
  <c r="J215" i="72" s="1"/>
  <c r="K216" i="72" s="1"/>
  <c r="L217" i="72" s="1"/>
  <c r="M218" i="72" s="1"/>
  <c r="E273" i="72"/>
  <c r="F273" i="72" s="1"/>
  <c r="E121" i="72"/>
  <c r="F121" i="72" s="1"/>
  <c r="E151" i="72"/>
  <c r="F151" i="72" s="1"/>
  <c r="G245" i="72"/>
  <c r="H246" i="72" s="1"/>
  <c r="I247" i="72" s="1"/>
  <c r="J248" i="72" s="1"/>
  <c r="K249" i="72" s="1"/>
  <c r="E302" i="72"/>
  <c r="F302" i="72" s="1"/>
  <c r="E57" i="72"/>
  <c r="F57" i="72" s="1"/>
  <c r="G87" i="72"/>
  <c r="H88" i="72" s="1"/>
  <c r="I89" i="72" s="1"/>
  <c r="J90" i="72" s="1"/>
  <c r="K91" i="72" s="1"/>
  <c r="L92" i="72" s="1"/>
  <c r="M93" i="72" s="1"/>
  <c r="N94" i="72" s="1"/>
  <c r="E185" i="72" l="1"/>
  <c r="F185" i="72" s="1"/>
  <c r="G186" i="72" s="1"/>
  <c r="H187" i="72" s="1"/>
  <c r="E87" i="72"/>
  <c r="F87" i="72" s="1"/>
  <c r="G88" i="72" s="1"/>
  <c r="H89" i="72" s="1"/>
  <c r="I90" i="72" s="1"/>
  <c r="J91" i="72" s="1"/>
  <c r="K92" i="72" s="1"/>
  <c r="L93" i="72" s="1"/>
  <c r="M94" i="72" s="1"/>
  <c r="E245" i="72"/>
  <c r="F245" i="72" s="1"/>
  <c r="G122" i="72"/>
  <c r="H123" i="72" s="1"/>
  <c r="I124" i="72" s="1"/>
  <c r="J125" i="72" s="1"/>
  <c r="G274" i="72"/>
  <c r="H275" i="72" s="1"/>
  <c r="I276" i="72" s="1"/>
  <c r="J277" i="72" s="1"/>
  <c r="K278" i="72" s="1"/>
  <c r="L279" i="72" s="1"/>
  <c r="M280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58" i="72"/>
  <c r="H59" i="72" s="1"/>
  <c r="I60" i="72" s="1"/>
  <c r="J61" i="72" s="1"/>
  <c r="K62" i="72" s="1"/>
  <c r="L63" i="72" s="1"/>
  <c r="E212" i="72"/>
  <c r="F212" i="72" s="1"/>
  <c r="E25" i="72"/>
  <c r="F25" i="72" s="1"/>
  <c r="G152" i="72"/>
  <c r="H153" i="72" s="1"/>
  <c r="I154" i="72" s="1"/>
  <c r="J155" i="72" s="1"/>
  <c r="K156" i="72" s="1"/>
  <c r="E152" i="72" l="1"/>
  <c r="F152" i="72" s="1"/>
  <c r="G153" i="72" s="1"/>
  <c r="H154" i="72" s="1"/>
  <c r="I155" i="72" s="1"/>
  <c r="J156" i="72" s="1"/>
  <c r="G246" i="72"/>
  <c r="H247" i="72" s="1"/>
  <c r="I248" i="72" s="1"/>
  <c r="J249" i="72" s="1"/>
  <c r="E274" i="72"/>
  <c r="F274" i="72" s="1"/>
  <c r="G275" i="72" s="1"/>
  <c r="H276" i="72" s="1"/>
  <c r="I277" i="72" s="1"/>
  <c r="J278" i="72" s="1"/>
  <c r="K279" i="72" s="1"/>
  <c r="L280" i="72" s="1"/>
  <c r="G213" i="72"/>
  <c r="H214" i="72" s="1"/>
  <c r="I215" i="72" s="1"/>
  <c r="J216" i="72" s="1"/>
  <c r="K217" i="72" s="1"/>
  <c r="L218" i="72" s="1"/>
  <c r="E303" i="72"/>
  <c r="F303" i="72" s="1"/>
  <c r="E186" i="72"/>
  <c r="F186" i="72" s="1"/>
  <c r="G187" i="72" s="1"/>
  <c r="E187" i="72" s="1"/>
  <c r="F187" i="72" s="1"/>
  <c r="E122" i="72"/>
  <c r="F122" i="72" s="1"/>
  <c r="E58" i="72"/>
  <c r="F58" i="72" s="1"/>
  <c r="E88" i="72"/>
  <c r="F88" i="72" s="1"/>
  <c r="G26" i="72"/>
  <c r="H27" i="72" s="1"/>
  <c r="I28" i="72" s="1"/>
  <c r="J29" i="72" s="1"/>
  <c r="K30" i="72" s="1"/>
  <c r="L31" i="72" s="1"/>
  <c r="M32" i="72" s="1"/>
  <c r="E153" i="72" l="1"/>
  <c r="F153" i="72" s="1"/>
  <c r="G154" i="72" s="1"/>
  <c r="H155" i="72" s="1"/>
  <c r="I156" i="72" s="1"/>
  <c r="E246" i="72"/>
  <c r="F246" i="72" s="1"/>
  <c r="E26" i="72"/>
  <c r="F26" i="72" s="1"/>
  <c r="G27" i="72" s="1"/>
  <c r="H28" i="72" s="1"/>
  <c r="I29" i="72" s="1"/>
  <c r="J30" i="72" s="1"/>
  <c r="K31" i="72" s="1"/>
  <c r="L32" i="72" s="1"/>
  <c r="G123" i="72"/>
  <c r="H124" i="72" s="1"/>
  <c r="I125" i="72" s="1"/>
  <c r="G304" i="72"/>
  <c r="H305" i="72" s="1"/>
  <c r="I306" i="72" s="1"/>
  <c r="J307" i="72" s="1"/>
  <c r="K308" i="72" s="1"/>
  <c r="L309" i="72" s="1"/>
  <c r="M310" i="72" s="1"/>
  <c r="N311" i="72" s="1"/>
  <c r="G89" i="72"/>
  <c r="H90" i="72" s="1"/>
  <c r="I91" i="72" s="1"/>
  <c r="J92" i="72" s="1"/>
  <c r="K93" i="72" s="1"/>
  <c r="L94" i="72" s="1"/>
  <c r="E275" i="72"/>
  <c r="F275" i="72" s="1"/>
  <c r="E213" i="72"/>
  <c r="F213" i="72" s="1"/>
  <c r="G59" i="72"/>
  <c r="H60" i="72" s="1"/>
  <c r="I61" i="72" s="1"/>
  <c r="J62" i="72" s="1"/>
  <c r="K63" i="72" s="1"/>
  <c r="G247" i="72" l="1"/>
  <c r="H248" i="72" s="1"/>
  <c r="I249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E59" i="72"/>
  <c r="F59" i="72" s="1"/>
  <c r="G60" i="72" s="1"/>
  <c r="H61" i="72" s="1"/>
  <c r="I62" i="72" s="1"/>
  <c r="J63" i="72" s="1"/>
  <c r="E123" i="72"/>
  <c r="F123" i="72" s="1"/>
  <c r="G124" i="72" s="1"/>
  <c r="H125" i="72" s="1"/>
  <c r="E89" i="72"/>
  <c r="F89" i="72" s="1"/>
  <c r="G90" i="72" s="1"/>
  <c r="H91" i="72" s="1"/>
  <c r="I92" i="72" s="1"/>
  <c r="J93" i="72" s="1"/>
  <c r="K94" i="72" s="1"/>
  <c r="E154" i="72"/>
  <c r="F154" i="72" s="1"/>
  <c r="G214" i="72"/>
  <c r="H215" i="72" s="1"/>
  <c r="I216" i="72" s="1"/>
  <c r="J217" i="72" s="1"/>
  <c r="K218" i="72" s="1"/>
  <c r="G276" i="72"/>
  <c r="H277" i="72" s="1"/>
  <c r="I278" i="72" s="1"/>
  <c r="J279" i="72" s="1"/>
  <c r="K280" i="72" s="1"/>
  <c r="E27" i="72"/>
  <c r="F27" i="72" s="1"/>
  <c r="E214" i="72" l="1"/>
  <c r="F214" i="72" s="1"/>
  <c r="G215" i="72" s="1"/>
  <c r="H216" i="72" s="1"/>
  <c r="I217" i="72" s="1"/>
  <c r="J218" i="72" s="1"/>
  <c r="E247" i="72"/>
  <c r="F247" i="72" s="1"/>
  <c r="E276" i="72"/>
  <c r="F276" i="72" s="1"/>
  <c r="G277" i="72" s="1"/>
  <c r="H278" i="72" s="1"/>
  <c r="I279" i="72" s="1"/>
  <c r="J280" i="72" s="1"/>
  <c r="G28" i="72"/>
  <c r="H29" i="72" s="1"/>
  <c r="I30" i="72" s="1"/>
  <c r="J31" i="72" s="1"/>
  <c r="K32" i="72" s="1"/>
  <c r="E90" i="72"/>
  <c r="F90" i="72" s="1"/>
  <c r="G155" i="72"/>
  <c r="H156" i="72" s="1"/>
  <c r="E305" i="72"/>
  <c r="F305" i="72" s="1"/>
  <c r="E124" i="72"/>
  <c r="F124" i="72" s="1"/>
  <c r="G125" i="72" s="1"/>
  <c r="E125" i="72" s="1"/>
  <c r="F125" i="72" s="1"/>
  <c r="AL125" i="72" s="1"/>
  <c r="E60" i="72"/>
  <c r="F60" i="72" s="1"/>
  <c r="E28" i="72" l="1"/>
  <c r="F28" i="72" s="1"/>
  <c r="G29" i="72" s="1"/>
  <c r="H30" i="72" s="1"/>
  <c r="I31" i="72" s="1"/>
  <c r="J32" i="72" s="1"/>
  <c r="G248" i="72"/>
  <c r="H249" i="72" s="1"/>
  <c r="G61" i="72"/>
  <c r="H62" i="72" s="1"/>
  <c r="I63" i="72" s="1"/>
  <c r="E215" i="72"/>
  <c r="F215" i="72" s="1"/>
  <c r="G306" i="72"/>
  <c r="H307" i="72" s="1"/>
  <c r="I308" i="72" s="1"/>
  <c r="J309" i="72" s="1"/>
  <c r="K310" i="72" s="1"/>
  <c r="L311" i="72" s="1"/>
  <c r="E155" i="72"/>
  <c r="F155" i="72" s="1"/>
  <c r="G156" i="72" s="1"/>
  <c r="E156" i="72" s="1"/>
  <c r="F156" i="72" s="1"/>
  <c r="E277" i="72"/>
  <c r="F277" i="72" s="1"/>
  <c r="G91" i="72"/>
  <c r="H92" i="72" s="1"/>
  <c r="I93" i="72" s="1"/>
  <c r="J94" i="72" s="1"/>
  <c r="E248" i="72" l="1"/>
  <c r="F248" i="72" s="1"/>
  <c r="G249" i="72" s="1"/>
  <c r="E249" i="72" s="1"/>
  <c r="F249" i="72" s="1"/>
  <c r="E306" i="72"/>
  <c r="F306" i="72" s="1"/>
  <c r="G307" i="72" s="1"/>
  <c r="H308" i="72" s="1"/>
  <c r="I309" i="72" s="1"/>
  <c r="J310" i="72" s="1"/>
  <c r="K311" i="72" s="1"/>
  <c r="E29" i="72"/>
  <c r="F29" i="72" s="1"/>
  <c r="G30" i="72" s="1"/>
  <c r="H31" i="72" s="1"/>
  <c r="I32" i="72" s="1"/>
  <c r="G216" i="72"/>
  <c r="H217" i="72" s="1"/>
  <c r="I218" i="72" s="1"/>
  <c r="E61" i="72"/>
  <c r="F61" i="72" s="1"/>
  <c r="E91" i="72"/>
  <c r="F91" i="72" s="1"/>
  <c r="G278" i="72"/>
  <c r="H279" i="72" s="1"/>
  <c r="I280" i="72" s="1"/>
  <c r="E30" i="72" l="1"/>
  <c r="F30" i="72" s="1"/>
  <c r="G31" i="72" s="1"/>
  <c r="H32" i="72" s="1"/>
  <c r="E216" i="72"/>
  <c r="F216" i="72" s="1"/>
  <c r="G217" i="72" s="1"/>
  <c r="H218" i="72" s="1"/>
  <c r="E278" i="72"/>
  <c r="F278" i="72" s="1"/>
  <c r="G279" i="72" s="1"/>
  <c r="H280" i="72" s="1"/>
  <c r="G62" i="72"/>
  <c r="H63" i="72" s="1"/>
  <c r="E307" i="72"/>
  <c r="F307" i="72" s="1"/>
  <c r="G92" i="72"/>
  <c r="H93" i="72" s="1"/>
  <c r="I94" i="72" s="1"/>
  <c r="E217" i="72" l="1"/>
  <c r="F217" i="72" s="1"/>
  <c r="G218" i="72" s="1"/>
  <c r="E218" i="72" s="1"/>
  <c r="F218" i="72" s="1"/>
  <c r="E62" i="72"/>
  <c r="F62" i="72" s="1"/>
  <c r="G63" i="72" s="1"/>
  <c r="E63" i="72" s="1"/>
  <c r="F63" i="72" s="1"/>
  <c r="AL63" i="72" s="1"/>
  <c r="E92" i="72"/>
  <c r="F92" i="72" s="1"/>
  <c r="E31" i="72"/>
  <c r="F31" i="72" s="1"/>
  <c r="G308" i="72"/>
  <c r="H309" i="72" s="1"/>
  <c r="I310" i="72" s="1"/>
  <c r="J311" i="72" s="1"/>
  <c r="E279" i="72"/>
  <c r="F279" i="72" s="1"/>
  <c r="G280" i="72" s="1"/>
  <c r="E280" i="72" s="1"/>
  <c r="F280" i="72" s="1"/>
  <c r="E308" i="72" l="1"/>
  <c r="F308" i="72" s="1"/>
  <c r="G32" i="72"/>
  <c r="E32" i="72" s="1"/>
  <c r="F32" i="72" s="1"/>
  <c r="AL32" i="72" s="1"/>
  <c r="G93" i="72"/>
  <c r="H94" i="72" s="1"/>
  <c r="E93" i="72" l="1"/>
  <c r="F93" i="72" s="1"/>
  <c r="G94" i="72" s="1"/>
  <c r="E94" i="72" s="1"/>
  <c r="F94" i="72" s="1"/>
  <c r="AL94" i="72" s="1"/>
  <c r="AL127" i="72" s="1"/>
  <c r="G309" i="72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F25" i="26" l="1" a="1"/>
  <c r="F25" i="26" s="1"/>
  <c r="G209" i="35" s="1"/>
  <c r="H24" i="26" a="1"/>
  <c r="H24" i="26" s="1"/>
  <c r="I208" i="35" s="1"/>
  <c r="H28" i="26" a="1"/>
  <c r="H28" i="26" s="1"/>
  <c r="I212" i="35" s="1"/>
  <c r="E33" i="26" a="1"/>
  <c r="E33" i="26" s="1"/>
  <c r="I196" i="35" s="1"/>
  <c r="G33" i="26" a="1"/>
  <c r="G33" i="26" s="1"/>
  <c r="H217" i="35" s="1"/>
  <c r="F28" i="26" a="1"/>
  <c r="F28" i="26" s="1"/>
  <c r="G212" i="35" s="1"/>
  <c r="D29" i="26" a="1"/>
  <c r="D29" i="26" s="1"/>
  <c r="H192" i="35" s="1"/>
  <c r="G32" i="26" a="1"/>
  <c r="G32" i="26" s="1"/>
  <c r="H216" i="35" s="1"/>
  <c r="H33" i="26" a="1"/>
  <c r="H33" i="26" s="1"/>
  <c r="I217" i="35" s="1"/>
  <c r="D32" i="26" a="1"/>
  <c r="D32" i="26" s="1"/>
  <c r="H195" i="35" s="1"/>
  <c r="E38" i="26" a="1"/>
  <c r="E38" i="26" s="1"/>
  <c r="I201" i="35" s="1"/>
  <c r="G30" i="26" a="1"/>
  <c r="G30" i="26" s="1"/>
  <c r="H214" i="35" s="1"/>
  <c r="E24" i="26" a="1"/>
  <c r="E24" i="26" s="1"/>
  <c r="I187" i="35" s="1"/>
  <c r="E35" i="26" a="1"/>
  <c r="E35" i="26" s="1"/>
  <c r="E37" i="26" a="1"/>
  <c r="E37" i="26" s="1"/>
  <c r="I200" i="35" s="1"/>
  <c r="G38" i="26" a="1"/>
  <c r="G38" i="26" s="1"/>
  <c r="H222" i="35" s="1"/>
  <c r="D38" i="26" a="1"/>
  <c r="D38" i="26" s="1"/>
  <c r="H201" i="35" s="1"/>
  <c r="H29" i="26" a="1"/>
  <c r="H29" i="26" s="1"/>
  <c r="I213" i="35" s="1"/>
  <c r="G25" i="26" a="1"/>
  <c r="G25" i="26" s="1"/>
  <c r="H209" i="35" s="1"/>
  <c r="G27" i="26" a="1"/>
  <c r="G27" i="26" s="1"/>
  <c r="H27" i="26" a="1"/>
  <c r="H27" i="26" s="1"/>
  <c r="D37" i="26" a="1"/>
  <c r="D37" i="26" s="1"/>
  <c r="H200" i="35" s="1"/>
  <c r="E36" i="26" a="1"/>
  <c r="E36" i="26" s="1"/>
  <c r="I199" i="35" s="1"/>
  <c r="E26" i="26" a="1"/>
  <c r="E26" i="26" s="1"/>
  <c r="I189" i="35" s="1"/>
  <c r="G41" i="26" a="1"/>
  <c r="G41" i="26" s="1"/>
  <c r="H225" i="35" s="1"/>
  <c r="G26" i="26" a="1"/>
  <c r="G26" i="26" s="1"/>
  <c r="H210" i="35" s="1"/>
  <c r="D23" i="26" a="1"/>
  <c r="D23" i="26" s="1"/>
  <c r="H26" i="26" a="1"/>
  <c r="H26" i="26" s="1"/>
  <c r="I210" i="35" s="1"/>
  <c r="G24" i="26" a="1"/>
  <c r="G24" i="26" s="1"/>
  <c r="H208" i="35" s="1"/>
  <c r="G29" i="26" a="1"/>
  <c r="G29" i="26" s="1"/>
  <c r="H213" i="35" s="1"/>
  <c r="D40" i="26" a="1"/>
  <c r="D40" i="26" s="1"/>
  <c r="H203" i="35" s="1"/>
  <c r="G42" i="26" a="1"/>
  <c r="G42" i="26" s="1"/>
  <c r="H226" i="35" s="1"/>
  <c r="D24" i="26" a="1"/>
  <c r="D24" i="26" s="1"/>
  <c r="H187" i="35" s="1"/>
  <c r="D41" i="26" a="1"/>
  <c r="D41" i="26" s="1"/>
  <c r="H204" i="35" s="1"/>
  <c r="E34" i="26" a="1"/>
  <c r="E34" i="26" s="1"/>
  <c r="I197" i="35" s="1"/>
  <c r="E30" i="26" a="1"/>
  <c r="E30" i="26" s="1"/>
  <c r="I193" i="35" s="1"/>
  <c r="E25" i="26" a="1"/>
  <c r="E25" i="26" s="1"/>
  <c r="I188" i="35" s="1"/>
  <c r="E31" i="26" a="1"/>
  <c r="E31" i="26" s="1"/>
  <c r="F26" i="26" a="1"/>
  <c r="F26" i="26" s="1"/>
  <c r="G210" i="35" s="1"/>
  <c r="G36" i="26" a="1"/>
  <c r="G36" i="26" s="1"/>
  <c r="H220" i="35" s="1"/>
  <c r="D28" i="26" a="1"/>
  <c r="D28" i="26" s="1"/>
  <c r="H191" i="35" s="1"/>
  <c r="D36" i="26" a="1"/>
  <c r="D36" i="26" s="1"/>
  <c r="H199" i="35" s="1"/>
  <c r="G35" i="26" a="1"/>
  <c r="G35" i="26" s="1"/>
  <c r="F30" i="26" a="1"/>
  <c r="F30" i="26" s="1"/>
  <c r="G214" i="35" s="1"/>
  <c r="E27" i="26" a="1"/>
  <c r="E27" i="26" s="1"/>
  <c r="H38" i="26" a="1"/>
  <c r="H38" i="26" s="1"/>
  <c r="I222" i="35" s="1"/>
  <c r="E28" i="26" a="1"/>
  <c r="E28" i="26" s="1"/>
  <c r="I191" i="35" s="1"/>
  <c r="H42" i="26" a="1"/>
  <c r="H42" i="26" s="1"/>
  <c r="I226" i="35" s="1"/>
  <c r="H35" i="26" a="1"/>
  <c r="H35" i="26" s="1"/>
  <c r="D30" i="26" a="1"/>
  <c r="D30" i="26" s="1"/>
  <c r="H193" i="35" s="1"/>
  <c r="E23" i="26" a="1"/>
  <c r="E23" i="26" s="1"/>
  <c r="G34" i="26" a="1"/>
  <c r="G34" i="26" s="1"/>
  <c r="H218" i="35" s="1"/>
  <c r="F35" i="26" a="1"/>
  <c r="F35" i="26" s="1"/>
  <c r="D31" i="26" a="1"/>
  <c r="D31" i="26" s="1"/>
  <c r="F29" i="26" a="1"/>
  <c r="F29" i="26" s="1"/>
  <c r="G213" i="35" s="1"/>
  <c r="F42" i="26" a="1"/>
  <c r="F42" i="26" s="1"/>
  <c r="G226" i="35" s="1"/>
  <c r="F34" i="26" a="1"/>
  <c r="F34" i="26" s="1"/>
  <c r="G218" i="35" s="1"/>
  <c r="E39" i="26" a="1"/>
  <c r="E39" i="26" s="1"/>
  <c r="F27" i="26" a="1"/>
  <c r="F27" i="26" s="1"/>
  <c r="H30" i="26" a="1"/>
  <c r="H30" i="26" s="1"/>
  <c r="I214" i="35" s="1"/>
  <c r="F36" i="26" a="1"/>
  <c r="F36" i="26" s="1"/>
  <c r="G220" i="35" s="1"/>
  <c r="H32" i="26" a="1"/>
  <c r="H32" i="26" s="1"/>
  <c r="I216" i="35" s="1"/>
  <c r="D42" i="26" a="1"/>
  <c r="D42" i="26" s="1"/>
  <c r="H205" i="35" s="1"/>
  <c r="F40" i="26" a="1"/>
  <c r="F40" i="26" s="1"/>
  <c r="G224" i="35" s="1"/>
  <c r="G28" i="26" a="1"/>
  <c r="G28" i="26" s="1"/>
  <c r="H212" i="35" s="1"/>
  <c r="D39" i="26" a="1"/>
  <c r="D39" i="26" s="1"/>
  <c r="F33" i="26" a="1"/>
  <c r="F33" i="26" s="1"/>
  <c r="G217" i="35" s="1"/>
  <c r="H36" i="26" a="1"/>
  <c r="H36" i="26" s="1"/>
  <c r="I220" i="35" s="1"/>
  <c r="E29" i="26" a="1"/>
  <c r="E29" i="26" s="1"/>
  <c r="I192" i="35" s="1"/>
  <c r="F37" i="26" a="1"/>
  <c r="F37" i="26" s="1"/>
  <c r="G221" i="35" s="1"/>
  <c r="H34" i="26" a="1"/>
  <c r="H34" i="26" s="1"/>
  <c r="I218" i="35" s="1"/>
  <c r="F38" i="26" a="1"/>
  <c r="F38" i="26" s="1"/>
  <c r="G222" i="35" s="1"/>
  <c r="D34" i="26" a="1"/>
  <c r="D34" i="26" s="1"/>
  <c r="H197" i="35" s="1"/>
  <c r="H40" i="26" a="1"/>
  <c r="H40" i="26" s="1"/>
  <c r="I224" i="35" s="1"/>
  <c r="H31" i="26" a="1"/>
  <c r="H31" i="26" s="1"/>
  <c r="G31" i="26" a="1"/>
  <c r="G31" i="26" s="1"/>
  <c r="D33" i="26" a="1"/>
  <c r="D33" i="26" s="1"/>
  <c r="H196" i="35" s="1"/>
  <c r="G23" i="26" a="1"/>
  <c r="G23" i="26" s="1"/>
  <c r="G40" i="26" a="1"/>
  <c r="G40" i="26" s="1"/>
  <c r="H224" i="35" s="1"/>
  <c r="F32" i="26" a="1"/>
  <c r="F32" i="26" s="1"/>
  <c r="G216" i="35" s="1"/>
  <c r="E32" i="26" a="1"/>
  <c r="E32" i="26" s="1"/>
  <c r="I195" i="35" s="1"/>
  <c r="H37" i="26" a="1"/>
  <c r="H37" i="26" s="1"/>
  <c r="I221" i="35" s="1"/>
  <c r="D25" i="26" a="1"/>
  <c r="D25" i="26" s="1"/>
  <c r="H188" i="35" s="1"/>
  <c r="F31" i="26" a="1"/>
  <c r="F31" i="26" s="1"/>
  <c r="E40" i="26" a="1"/>
  <c r="E40" i="26" s="1"/>
  <c r="I203" i="35" s="1"/>
  <c r="E41" i="26" a="1"/>
  <c r="E41" i="26" s="1"/>
  <c r="I204" i="35" s="1"/>
  <c r="F39" i="26" a="1"/>
  <c r="F39" i="26" s="1"/>
  <c r="G39" i="26" a="1"/>
  <c r="G39" i="26" s="1"/>
  <c r="F24" i="26" a="1"/>
  <c r="F24" i="26" s="1"/>
  <c r="G208" i="35" s="1"/>
  <c r="H25" i="26" a="1"/>
  <c r="H25" i="26" s="1"/>
  <c r="I209" i="35" s="1"/>
  <c r="H41" i="26" a="1"/>
  <c r="H41" i="26" s="1"/>
  <c r="I225" i="35" s="1"/>
  <c r="D35" i="26" a="1"/>
  <c r="D35" i="26" s="1"/>
  <c r="E42" i="26" a="1"/>
  <c r="E42" i="26" s="1"/>
  <c r="I205" i="35" s="1"/>
  <c r="H23" i="26" a="1"/>
  <c r="H23" i="26" s="1"/>
  <c r="F23" i="26" a="1"/>
  <c r="F23" i="26" s="1"/>
  <c r="F41" i="26" a="1"/>
  <c r="F41" i="26" s="1"/>
  <c r="G225" i="35" s="1"/>
  <c r="H39" i="26" a="1"/>
  <c r="H39" i="26" s="1"/>
  <c r="D27" i="26" a="1"/>
  <c r="D27" i="26" s="1"/>
  <c r="D26" i="26" a="1"/>
  <c r="D26" i="26" s="1"/>
  <c r="H189" i="35" s="1"/>
  <c r="G37" i="26" a="1"/>
  <c r="G37" i="26" s="1"/>
  <c r="H221" i="35" s="1"/>
  <c r="G207" i="35" l="1"/>
  <c r="E50" i="26"/>
  <c r="H50" i="26" s="1"/>
  <c r="G223" i="35"/>
  <c r="E54" i="26"/>
  <c r="H54" i="26" s="1"/>
  <c r="I83" i="58"/>
  <c r="I84" i="58"/>
  <c r="I85" i="58"/>
  <c r="I86" i="58"/>
  <c r="H77" i="58"/>
  <c r="H77" i="41" s="1"/>
  <c r="H76" i="58"/>
  <c r="H76" i="41" s="1"/>
  <c r="H78" i="58"/>
  <c r="H78" i="41" s="1"/>
  <c r="H75" i="58"/>
  <c r="H75" i="41" s="1"/>
  <c r="H83" i="58"/>
  <c r="H83" i="41" s="1"/>
  <c r="H86" i="58"/>
  <c r="H86" i="41" s="1"/>
  <c r="H84" i="58"/>
  <c r="H84" i="41" s="1"/>
  <c r="H85" i="58"/>
  <c r="H85" i="41" s="1"/>
  <c r="H93" i="58"/>
  <c r="H93" i="41" s="1"/>
  <c r="H92" i="58"/>
  <c r="H92" i="41" s="1"/>
  <c r="H94" i="58"/>
  <c r="H94" i="41" s="1"/>
  <c r="H91" i="58"/>
  <c r="H91" i="41" s="1"/>
  <c r="J92" i="58"/>
  <c r="J94" i="58"/>
  <c r="J93" i="58"/>
  <c r="J91" i="58"/>
  <c r="I69" i="58"/>
  <c r="I67" i="58"/>
  <c r="I68" i="58"/>
  <c r="I70" i="58"/>
  <c r="I91" i="58"/>
  <c r="I92" i="58"/>
  <c r="I94" i="58"/>
  <c r="I93" i="58"/>
  <c r="J28" i="37"/>
  <c r="J30" i="37"/>
  <c r="J29" i="37"/>
  <c r="J27" i="37"/>
  <c r="I77" i="58"/>
  <c r="I78" i="58"/>
  <c r="I75" i="58"/>
  <c r="I76" i="58"/>
  <c r="I51" i="58"/>
  <c r="I53" i="58"/>
  <c r="I52" i="58"/>
  <c r="I54" i="58"/>
  <c r="G50" i="26"/>
  <c r="I207" i="35"/>
  <c r="J88" i="37"/>
  <c r="J89" i="37"/>
  <c r="J87" i="37"/>
  <c r="J90" i="37"/>
  <c r="H207" i="35"/>
  <c r="F50" i="26"/>
  <c r="J61" i="58"/>
  <c r="J59" i="58"/>
  <c r="J62" i="58"/>
  <c r="J60" i="58"/>
  <c r="I91" i="37"/>
  <c r="I92" i="37"/>
  <c r="I94" i="37"/>
  <c r="I93" i="37"/>
  <c r="H40" i="58"/>
  <c r="H40" i="41" s="1"/>
  <c r="H41" i="58"/>
  <c r="H41" i="41" s="1"/>
  <c r="H42" i="58"/>
  <c r="H42" i="41" s="1"/>
  <c r="H39" i="58"/>
  <c r="H39" i="41" s="1"/>
  <c r="J36" i="37"/>
  <c r="J37" i="37"/>
  <c r="J35" i="37"/>
  <c r="J38" i="37"/>
  <c r="H27" i="58"/>
  <c r="H27" i="41" s="1"/>
  <c r="H30" i="58"/>
  <c r="H30" i="41" s="1"/>
  <c r="H29" i="58"/>
  <c r="H29" i="41" s="1"/>
  <c r="H28" i="58"/>
  <c r="H28" i="41" s="1"/>
  <c r="I84" i="37"/>
  <c r="I83" i="37"/>
  <c r="I85" i="37"/>
  <c r="I86" i="37"/>
  <c r="J69" i="37"/>
  <c r="J68" i="37"/>
  <c r="J70" i="37"/>
  <c r="J67" i="37"/>
  <c r="J74" i="37"/>
  <c r="J72" i="37"/>
  <c r="J73" i="37"/>
  <c r="J71" i="37"/>
  <c r="I42" i="37"/>
  <c r="I41" i="37"/>
  <c r="I40" i="37"/>
  <c r="I39" i="37"/>
  <c r="J92" i="37"/>
  <c r="J91" i="37"/>
  <c r="J94" i="37"/>
  <c r="J93" i="37"/>
  <c r="J83" i="37"/>
  <c r="J85" i="37"/>
  <c r="J84" i="37"/>
  <c r="J86" i="37"/>
  <c r="I58" i="37"/>
  <c r="I56" i="37"/>
  <c r="I57" i="37"/>
  <c r="I55" i="37"/>
  <c r="H71" i="58"/>
  <c r="H71" i="41" s="1"/>
  <c r="H73" i="58"/>
  <c r="H73" i="41" s="1"/>
  <c r="H74" i="58"/>
  <c r="H74" i="41" s="1"/>
  <c r="H72" i="58"/>
  <c r="H72" i="41" s="1"/>
  <c r="J52" i="58"/>
  <c r="J54" i="58"/>
  <c r="J53" i="58"/>
  <c r="J51" i="58"/>
  <c r="H194" i="35"/>
  <c r="C52" i="26"/>
  <c r="J77" i="58"/>
  <c r="J75" i="58"/>
  <c r="J76" i="58"/>
  <c r="J78" i="58"/>
  <c r="I194" i="35"/>
  <c r="D52" i="26"/>
  <c r="I41" i="58"/>
  <c r="I42" i="58"/>
  <c r="I39" i="58"/>
  <c r="I40" i="58"/>
  <c r="I72" i="37"/>
  <c r="I71" i="37"/>
  <c r="I74" i="37"/>
  <c r="I73" i="37"/>
  <c r="D53" i="26"/>
  <c r="I198" i="35"/>
  <c r="H35" i="58"/>
  <c r="H35" i="41" s="1"/>
  <c r="H37" i="58"/>
  <c r="H37" i="41" s="1"/>
  <c r="H38" i="58"/>
  <c r="H38" i="41" s="1"/>
  <c r="H36" i="58"/>
  <c r="H36" i="41" s="1"/>
  <c r="I71" i="58"/>
  <c r="I73" i="58"/>
  <c r="I74" i="58"/>
  <c r="I72" i="58"/>
  <c r="C53" i="26"/>
  <c r="H198" i="35"/>
  <c r="E52" i="26"/>
  <c r="H52" i="26" s="1"/>
  <c r="G215" i="35"/>
  <c r="H215" i="35"/>
  <c r="F52" i="26"/>
  <c r="J41" i="37"/>
  <c r="J39" i="37"/>
  <c r="J42" i="37"/>
  <c r="J40" i="37"/>
  <c r="H69" i="58"/>
  <c r="H69" i="41" s="1"/>
  <c r="H70" i="58"/>
  <c r="H70" i="41" s="1"/>
  <c r="H68" i="58"/>
  <c r="H68" i="41" s="1"/>
  <c r="H67" i="58"/>
  <c r="H67" i="41" s="1"/>
  <c r="G219" i="35"/>
  <c r="E53" i="26"/>
  <c r="H53" i="26" s="1"/>
  <c r="D51" i="26"/>
  <c r="I190" i="35"/>
  <c r="J25" i="37"/>
  <c r="J23" i="37"/>
  <c r="J24" i="37"/>
  <c r="J26" i="37"/>
  <c r="I19" i="58"/>
  <c r="I20" i="58"/>
  <c r="I21" i="58"/>
  <c r="I22" i="58"/>
  <c r="G51" i="26"/>
  <c r="I211" i="35"/>
  <c r="J21" i="37"/>
  <c r="J19" i="37"/>
  <c r="J22" i="37"/>
  <c r="J20" i="37"/>
  <c r="I58" i="58"/>
  <c r="I57" i="58"/>
  <c r="I55" i="58"/>
  <c r="I56" i="58"/>
  <c r="I30" i="37"/>
  <c r="I28" i="37"/>
  <c r="I29" i="37"/>
  <c r="I27" i="37"/>
  <c r="J88" i="58"/>
  <c r="J87" i="58"/>
  <c r="J89" i="58"/>
  <c r="J90" i="58"/>
  <c r="I24" i="37"/>
  <c r="I25" i="37"/>
  <c r="I26" i="37"/>
  <c r="I23" i="37"/>
  <c r="J70" i="58"/>
  <c r="J67" i="58"/>
  <c r="J69" i="58"/>
  <c r="J68" i="58"/>
  <c r="J43" i="58"/>
  <c r="J46" i="58"/>
  <c r="J44" i="58"/>
  <c r="J45" i="58"/>
  <c r="I60" i="58"/>
  <c r="I62" i="58"/>
  <c r="I59" i="58"/>
  <c r="I61" i="58"/>
  <c r="H44" i="58"/>
  <c r="H44" i="41" s="1"/>
  <c r="H43" i="58"/>
  <c r="H43" i="41" s="1"/>
  <c r="H46" i="58"/>
  <c r="H46" i="41" s="1"/>
  <c r="H45" i="58"/>
  <c r="H45" i="41" s="1"/>
  <c r="J43" i="37"/>
  <c r="J44" i="37"/>
  <c r="J45" i="37"/>
  <c r="J46" i="37"/>
  <c r="J27" i="58"/>
  <c r="J28" i="58"/>
  <c r="J29" i="58"/>
  <c r="J30" i="58"/>
  <c r="F51" i="26"/>
  <c r="H211" i="35"/>
  <c r="I44" i="58"/>
  <c r="I43" i="58"/>
  <c r="I46" i="58"/>
  <c r="I45" i="58"/>
  <c r="J58" i="37"/>
  <c r="J55" i="37"/>
  <c r="J57" i="37"/>
  <c r="J56" i="37"/>
  <c r="C51" i="26"/>
  <c r="H190" i="35"/>
  <c r="J23" i="58"/>
  <c r="J26" i="58"/>
  <c r="J25" i="58"/>
  <c r="J24" i="58"/>
  <c r="J71" i="58"/>
  <c r="J72" i="58"/>
  <c r="J73" i="58"/>
  <c r="J74" i="58"/>
  <c r="I215" i="35"/>
  <c r="G52" i="26"/>
  <c r="H55" i="58"/>
  <c r="H55" i="41" s="1"/>
  <c r="H57" i="58"/>
  <c r="H57" i="41" s="1"/>
  <c r="H56" i="58"/>
  <c r="H56" i="41" s="1"/>
  <c r="H58" i="58"/>
  <c r="H58" i="41" s="1"/>
  <c r="E51" i="26"/>
  <c r="H51" i="26" s="1"/>
  <c r="G211" i="35"/>
  <c r="D50" i="26"/>
  <c r="I186" i="35"/>
  <c r="F53" i="26"/>
  <c r="H219" i="35"/>
  <c r="J61" i="37"/>
  <c r="J60" i="37"/>
  <c r="J59" i="37"/>
  <c r="J62" i="37"/>
  <c r="H186" i="35"/>
  <c r="C50" i="26"/>
  <c r="I26" i="58"/>
  <c r="I26" i="41" s="1"/>
  <c r="I25" i="58"/>
  <c r="I23" i="58"/>
  <c r="I24" i="58"/>
  <c r="J78" i="37"/>
  <c r="J77" i="37"/>
  <c r="J75" i="37"/>
  <c r="J76" i="37"/>
  <c r="J35" i="58"/>
  <c r="J38" i="58"/>
  <c r="J37" i="58"/>
  <c r="J36" i="58"/>
  <c r="I223" i="35"/>
  <c r="G54" i="26"/>
  <c r="H19" i="58"/>
  <c r="H19" i="41" s="1"/>
  <c r="H20" i="58"/>
  <c r="H20" i="41" s="1"/>
  <c r="H22" i="58"/>
  <c r="H22" i="41" s="1"/>
  <c r="H21" i="58"/>
  <c r="H21" i="41" s="1"/>
  <c r="J53" i="37"/>
  <c r="J51" i="37"/>
  <c r="J54" i="37"/>
  <c r="J52" i="37"/>
  <c r="J86" i="58"/>
  <c r="J83" i="58"/>
  <c r="J84" i="58"/>
  <c r="J84" i="41" s="1"/>
  <c r="J85" i="58"/>
  <c r="H202" i="35"/>
  <c r="C54" i="26"/>
  <c r="I202" i="35"/>
  <c r="D54" i="26"/>
  <c r="J54" i="26" s="1"/>
  <c r="I46" i="37"/>
  <c r="I45" i="37"/>
  <c r="I43" i="37"/>
  <c r="I44" i="37"/>
  <c r="I67" i="37"/>
  <c r="I68" i="37"/>
  <c r="I68" i="41" s="1"/>
  <c r="I69" i="37"/>
  <c r="I70" i="37"/>
  <c r="I87" i="37"/>
  <c r="I89" i="37"/>
  <c r="I88" i="37"/>
  <c r="I90" i="37"/>
  <c r="I29" i="58"/>
  <c r="I30" i="58"/>
  <c r="I28" i="58"/>
  <c r="I27" i="58"/>
  <c r="J39" i="58"/>
  <c r="J41" i="58"/>
  <c r="J42" i="58"/>
  <c r="J40" i="58"/>
  <c r="I54" i="37"/>
  <c r="I51" i="37"/>
  <c r="I53" i="37"/>
  <c r="I52" i="37"/>
  <c r="J19" i="58"/>
  <c r="J20" i="58"/>
  <c r="J22" i="58"/>
  <c r="J21" i="58"/>
  <c r="H87" i="58"/>
  <c r="H87" i="41" s="1"/>
  <c r="H88" i="58"/>
  <c r="H88" i="41" s="1"/>
  <c r="H90" i="58"/>
  <c r="H90" i="41" s="1"/>
  <c r="H89" i="58"/>
  <c r="H89" i="41" s="1"/>
  <c r="H223" i="35"/>
  <c r="F54" i="26"/>
  <c r="H53" i="58"/>
  <c r="H53" i="41" s="1"/>
  <c r="H54" i="58"/>
  <c r="H54" i="41" s="1"/>
  <c r="H51" i="58"/>
  <c r="H51" i="41" s="1"/>
  <c r="H52" i="58"/>
  <c r="H52" i="41" s="1"/>
  <c r="I62" i="37"/>
  <c r="I59" i="37"/>
  <c r="I60" i="37"/>
  <c r="I61" i="37"/>
  <c r="I36" i="58"/>
  <c r="I38" i="58"/>
  <c r="I35" i="58"/>
  <c r="I37" i="58"/>
  <c r="H61" i="58"/>
  <c r="H61" i="41" s="1"/>
  <c r="H62" i="58"/>
  <c r="H62" i="41" s="1"/>
  <c r="H60" i="58"/>
  <c r="H60" i="41" s="1"/>
  <c r="H59" i="58"/>
  <c r="H59" i="41" s="1"/>
  <c r="I219" i="35"/>
  <c r="G53" i="26"/>
  <c r="I36" i="37"/>
  <c r="I35" i="37"/>
  <c r="I38" i="37"/>
  <c r="I37" i="37"/>
  <c r="I20" i="37"/>
  <c r="I20" i="41" s="1"/>
  <c r="I22" i="37"/>
  <c r="I19" i="37"/>
  <c r="I21" i="37"/>
  <c r="I88" i="58"/>
  <c r="I89" i="58"/>
  <c r="I90" i="58"/>
  <c r="I87" i="58"/>
  <c r="I76" i="37"/>
  <c r="I77" i="37"/>
  <c r="I78" i="37"/>
  <c r="I75" i="37"/>
  <c r="J57" i="58"/>
  <c r="J56" i="58"/>
  <c r="J58" i="58"/>
  <c r="J55" i="58"/>
  <c r="H26" i="58"/>
  <c r="H26" i="41" s="1"/>
  <c r="H23" i="58"/>
  <c r="H23" i="41" s="1"/>
  <c r="H24" i="58"/>
  <c r="H24" i="41" s="1"/>
  <c r="H25" i="58"/>
  <c r="H25" i="41" s="1"/>
  <c r="I77" i="41" l="1"/>
  <c r="J59" i="41"/>
  <c r="I78" i="41"/>
  <c r="I91" i="41"/>
  <c r="J62" i="41"/>
  <c r="I75" i="41"/>
  <c r="J53" i="41"/>
  <c r="I51" i="41"/>
  <c r="J51" i="41"/>
  <c r="J46" i="41"/>
  <c r="J92" i="41"/>
  <c r="I83" i="41"/>
  <c r="I92" i="41"/>
  <c r="I19" i="41"/>
  <c r="I84" i="41"/>
  <c r="J83" i="41"/>
  <c r="J78" i="41"/>
  <c r="I24" i="41"/>
  <c r="J44" i="41"/>
  <c r="I46" i="41"/>
  <c r="I70" i="41"/>
  <c r="I50" i="26"/>
  <c r="J94" i="41"/>
  <c r="I85" i="41"/>
  <c r="I23" i="41"/>
  <c r="J50" i="26"/>
  <c r="I44" i="41"/>
  <c r="I61" i="41"/>
  <c r="I43" i="41"/>
  <c r="J61" i="41"/>
  <c r="I45" i="41"/>
  <c r="I25" i="41"/>
  <c r="I21" i="41"/>
  <c r="J45" i="41"/>
  <c r="I36" i="41"/>
  <c r="J60" i="41"/>
  <c r="I76" i="41"/>
  <c r="I60" i="41"/>
  <c r="J77" i="41"/>
  <c r="J91" i="41"/>
  <c r="I53" i="41"/>
  <c r="I69" i="41"/>
  <c r="J54" i="41"/>
  <c r="I86" i="41"/>
  <c r="I94" i="41"/>
  <c r="I59" i="41"/>
  <c r="I52" i="41"/>
  <c r="J52" i="41"/>
  <c r="J76" i="41"/>
  <c r="J93" i="41"/>
  <c r="I22" i="41"/>
  <c r="I88" i="41"/>
  <c r="J51" i="26"/>
  <c r="I62" i="41"/>
  <c r="J75" i="41"/>
  <c r="J57" i="41"/>
  <c r="J42" i="41"/>
  <c r="I53" i="26"/>
  <c r="I39" i="41"/>
  <c r="J67" i="41"/>
  <c r="J89" i="41"/>
  <c r="I81" i="58"/>
  <c r="I80" i="58"/>
  <c r="I79" i="58"/>
  <c r="I82" i="58"/>
  <c r="I89" i="41"/>
  <c r="I66" i="58"/>
  <c r="I65" i="58"/>
  <c r="I64" i="58"/>
  <c r="I63" i="58"/>
  <c r="J55" i="41"/>
  <c r="I27" i="41"/>
  <c r="J20" i="41"/>
  <c r="J39" i="41"/>
  <c r="J65" i="37"/>
  <c r="J66" i="37"/>
  <c r="J64" i="37"/>
  <c r="J63" i="37"/>
  <c r="I52" i="26"/>
  <c r="J85" i="41"/>
  <c r="I40" i="41"/>
  <c r="J70" i="41"/>
  <c r="J88" i="41"/>
  <c r="I87" i="41"/>
  <c r="J58" i="41"/>
  <c r="I29" i="41"/>
  <c r="J22" i="41"/>
  <c r="H65" i="58"/>
  <c r="H65" i="41" s="1"/>
  <c r="H66" i="58"/>
  <c r="H66" i="41" s="1"/>
  <c r="H64" i="58"/>
  <c r="H64" i="41" s="1"/>
  <c r="H63" i="58"/>
  <c r="H63" i="41" s="1"/>
  <c r="J41" i="41"/>
  <c r="J53" i="26"/>
  <c r="I48" i="37"/>
  <c r="I47" i="37"/>
  <c r="I50" i="37"/>
  <c r="I49" i="37"/>
  <c r="I41" i="41"/>
  <c r="J68" i="41"/>
  <c r="J17" i="58"/>
  <c r="J15" i="58"/>
  <c r="J16" i="58"/>
  <c r="J18" i="58"/>
  <c r="J15" i="37"/>
  <c r="J16" i="37"/>
  <c r="J18" i="37"/>
  <c r="J17" i="37"/>
  <c r="I28" i="41"/>
  <c r="J19" i="41"/>
  <c r="J26" i="41"/>
  <c r="I73" i="41"/>
  <c r="J52" i="26"/>
  <c r="I55" i="41"/>
  <c r="I42" i="41"/>
  <c r="J69" i="41"/>
  <c r="I37" i="41"/>
  <c r="J80" i="37"/>
  <c r="J79" i="37"/>
  <c r="J82" i="37"/>
  <c r="J81" i="37"/>
  <c r="J81" i="58"/>
  <c r="J79" i="58"/>
  <c r="J82" i="58"/>
  <c r="J80" i="58"/>
  <c r="I15" i="37"/>
  <c r="I18" i="37"/>
  <c r="I17" i="37"/>
  <c r="I16" i="37"/>
  <c r="J47" i="58"/>
  <c r="J48" i="58"/>
  <c r="J49" i="58"/>
  <c r="J50" i="58"/>
  <c r="J43" i="41"/>
  <c r="I30" i="41"/>
  <c r="J21" i="41"/>
  <c r="J24" i="41"/>
  <c r="I49" i="58"/>
  <c r="I48" i="58"/>
  <c r="I50" i="58"/>
  <c r="I47" i="58"/>
  <c r="I74" i="41"/>
  <c r="J49" i="37"/>
  <c r="J48" i="37"/>
  <c r="J50" i="37"/>
  <c r="J47" i="37"/>
  <c r="J47" i="41" s="1"/>
  <c r="I57" i="41"/>
  <c r="J71" i="41"/>
  <c r="J38" i="41"/>
  <c r="I93" i="41"/>
  <c r="I54" i="41"/>
  <c r="J27" i="41"/>
  <c r="I35" i="41"/>
  <c r="I54" i="26"/>
  <c r="H34" i="58"/>
  <c r="H34" i="41" s="1"/>
  <c r="H32" i="58"/>
  <c r="H32" i="41" s="1"/>
  <c r="H31" i="58"/>
  <c r="H31" i="41" s="1"/>
  <c r="H33" i="58"/>
  <c r="H33" i="41" s="1"/>
  <c r="I34" i="37"/>
  <c r="I32" i="37"/>
  <c r="I33" i="37"/>
  <c r="I31" i="37"/>
  <c r="J31" i="58"/>
  <c r="J33" i="58"/>
  <c r="J32" i="58"/>
  <c r="J34" i="58"/>
  <c r="J23" i="41"/>
  <c r="H48" i="58"/>
  <c r="H48" i="41" s="1"/>
  <c r="H47" i="58"/>
  <c r="H47" i="41" s="1"/>
  <c r="H50" i="58"/>
  <c r="H50" i="41" s="1"/>
  <c r="H49" i="58"/>
  <c r="H49" i="41" s="1"/>
  <c r="I71" i="41"/>
  <c r="I56" i="41"/>
  <c r="J73" i="41"/>
  <c r="J35" i="41"/>
  <c r="I17" i="58"/>
  <c r="I16" i="58"/>
  <c r="I18" i="58"/>
  <c r="I15" i="58"/>
  <c r="J29" i="41"/>
  <c r="H79" i="58"/>
  <c r="H79" i="41" s="1"/>
  <c r="H80" i="58"/>
  <c r="H80" i="41" s="1"/>
  <c r="H82" i="58"/>
  <c r="H82" i="41" s="1"/>
  <c r="H81" i="58"/>
  <c r="H81" i="41" s="1"/>
  <c r="I38" i="41"/>
  <c r="I81" i="37"/>
  <c r="I79" i="37"/>
  <c r="I80" i="37"/>
  <c r="I82" i="37"/>
  <c r="I51" i="26"/>
  <c r="J25" i="41"/>
  <c r="I72" i="41"/>
  <c r="I58" i="41"/>
  <c r="J72" i="41"/>
  <c r="J37" i="41"/>
  <c r="J90" i="41"/>
  <c r="J30" i="41"/>
  <c r="I67" i="41"/>
  <c r="J65" i="58"/>
  <c r="J63" i="58"/>
  <c r="J66" i="58"/>
  <c r="J64" i="58"/>
  <c r="I90" i="41"/>
  <c r="J56" i="41"/>
  <c r="I33" i="58"/>
  <c r="I31" i="58"/>
  <c r="I32" i="58"/>
  <c r="I34" i="58"/>
  <c r="J31" i="37"/>
  <c r="J33" i="37"/>
  <c r="J32" i="37"/>
  <c r="J34" i="37"/>
  <c r="J40" i="41"/>
  <c r="I64" i="37"/>
  <c r="I64" i="41" s="1"/>
  <c r="I63" i="37"/>
  <c r="I63" i="41" s="1"/>
  <c r="I65" i="37"/>
  <c r="I66" i="37"/>
  <c r="J86" i="41"/>
  <c r="J74" i="41"/>
  <c r="J36" i="41"/>
  <c r="J87" i="41"/>
  <c r="J28" i="41"/>
  <c r="H18" i="58"/>
  <c r="H18" i="41" s="1"/>
  <c r="H16" i="58"/>
  <c r="H15" i="58"/>
  <c r="H17" i="58"/>
  <c r="J33" i="41" l="1"/>
  <c r="I66" i="41"/>
  <c r="J34" i="41"/>
  <c r="J49" i="41"/>
  <c r="J31" i="41"/>
  <c r="J50" i="41"/>
  <c r="I65" i="41"/>
  <c r="J48" i="41"/>
  <c r="J79" i="41"/>
  <c r="J80" i="41"/>
  <c r="J32" i="41"/>
  <c r="H16" i="41"/>
  <c r="C48" i="63"/>
  <c r="I32" i="41"/>
  <c r="I17" i="41"/>
  <c r="C18" i="63"/>
  <c r="J82" i="41"/>
  <c r="I47" i="41"/>
  <c r="I80" i="41"/>
  <c r="I34" i="41"/>
  <c r="I18" i="41"/>
  <c r="I48" i="41"/>
  <c r="J63" i="41"/>
  <c r="I81" i="41"/>
  <c r="I15" i="41"/>
  <c r="I424" i="37"/>
  <c r="E17" i="53" s="1"/>
  <c r="F17" i="53" s="1"/>
  <c r="I423" i="37"/>
  <c r="J423" i="58"/>
  <c r="J424" i="58"/>
  <c r="E35" i="53" s="1"/>
  <c r="F35" i="53" s="1"/>
  <c r="H29" i="53" s="1"/>
  <c r="J64" i="41"/>
  <c r="C58" i="63"/>
  <c r="J66" i="41"/>
  <c r="C28" i="63"/>
  <c r="J17" i="41"/>
  <c r="J65" i="41"/>
  <c r="I424" i="58"/>
  <c r="F241" i="66" s="1"/>
  <c r="I423" i="58"/>
  <c r="J18" i="41"/>
  <c r="H17" i="41"/>
  <c r="C38" i="63"/>
  <c r="I31" i="41"/>
  <c r="J16" i="41"/>
  <c r="I49" i="41"/>
  <c r="I82" i="41"/>
  <c r="H15" i="41"/>
  <c r="H424" i="58"/>
  <c r="H424" i="41" s="1"/>
  <c r="H423" i="58"/>
  <c r="I33" i="41"/>
  <c r="I16" i="41"/>
  <c r="J81" i="41"/>
  <c r="J423" i="37"/>
  <c r="J15" i="41"/>
  <c r="J424" i="37"/>
  <c r="F145" i="66" s="1"/>
  <c r="I50" i="41"/>
  <c r="I79" i="41"/>
  <c r="E347" i="38" l="1"/>
  <c r="M290" i="66" s="1"/>
  <c r="F290" i="66"/>
  <c r="J425" i="58"/>
  <c r="F289" i="66"/>
  <c r="J423" i="41"/>
  <c r="E335" i="38"/>
  <c r="M146" i="66" s="1"/>
  <c r="J425" i="37"/>
  <c r="F146" i="66"/>
  <c r="I423" i="41"/>
  <c r="F98" i="66"/>
  <c r="E311" i="38"/>
  <c r="M98" i="66" s="1"/>
  <c r="I425" i="37"/>
  <c r="F97" i="66"/>
  <c r="I424" i="41"/>
  <c r="H23" i="53"/>
  <c r="E323" i="38"/>
  <c r="M242" i="66" s="1"/>
  <c r="I425" i="58"/>
  <c r="F242" i="66"/>
  <c r="E11" i="53"/>
  <c r="F11" i="53" s="1"/>
  <c r="F193" i="66"/>
  <c r="E23" i="53"/>
  <c r="F23" i="53" s="1"/>
  <c r="E29" i="53"/>
  <c r="F29" i="53" s="1"/>
  <c r="J424" i="41"/>
  <c r="H425" i="58"/>
  <c r="F194" i="66"/>
  <c r="H423" i="41"/>
  <c r="E299" i="38"/>
  <c r="M194" i="66" s="1"/>
  <c r="N194" i="66" l="1"/>
  <c r="G11" i="53"/>
  <c r="E293" i="38" s="1"/>
  <c r="H5" i="53"/>
  <c r="G5" i="53" s="1"/>
  <c r="E281" i="38" s="1"/>
  <c r="C39" i="63"/>
  <c r="H425" i="41"/>
  <c r="M3" i="41" s="1"/>
  <c r="C32" i="63"/>
  <c r="N242" i="66"/>
  <c r="C19" i="63"/>
  <c r="I425" i="41"/>
  <c r="N3" i="41" s="1"/>
  <c r="C12" i="63"/>
  <c r="C49" i="63"/>
  <c r="C42" i="63"/>
  <c r="C59" i="63"/>
  <c r="C52" i="63"/>
  <c r="H35" i="53"/>
  <c r="G35" i="53" s="1"/>
  <c r="E341" i="38" s="1"/>
  <c r="G29" i="53"/>
  <c r="E329" i="38" s="1"/>
  <c r="N98" i="66"/>
  <c r="N290" i="66"/>
  <c r="H17" i="53"/>
  <c r="G17" i="53" s="1"/>
  <c r="E305" i="38" s="1"/>
  <c r="G23" i="53"/>
  <c r="E317" i="38" s="1"/>
  <c r="N146" i="66"/>
  <c r="C29" i="63"/>
  <c r="J425" i="41"/>
  <c r="O3" i="41" s="1"/>
  <c r="C22" i="63"/>
  <c r="Y290" i="66" l="1"/>
  <c r="Y146" i="66"/>
  <c r="Z146" i="66"/>
  <c r="Z290" i="66"/>
  <c r="I484" i="58"/>
  <c r="L241" i="66"/>
  <c r="L97" i="66"/>
  <c r="I484" i="37"/>
  <c r="H484" i="37"/>
  <c r="L49" i="66"/>
  <c r="Z242" i="66"/>
  <c r="Y98" i="66"/>
  <c r="Z98" i="66"/>
  <c r="Y242" i="66"/>
  <c r="L193" i="66"/>
  <c r="H484" i="58"/>
  <c r="L145" i="66"/>
  <c r="J484" i="37"/>
  <c r="Y194" i="66"/>
  <c r="Y50" i="66"/>
  <c r="Z50" i="66"/>
  <c r="Z194" i="66"/>
  <c r="L289" i="66"/>
  <c r="J484" i="58"/>
  <c r="I484" i="41" l="1"/>
  <c r="J484" i="41"/>
  <c r="P289" i="66"/>
  <c r="N289" i="66"/>
  <c r="P193" i="66"/>
  <c r="V193" i="66" s="1"/>
  <c r="X193" i="66" s="1"/>
  <c r="R193" i="66"/>
  <c r="T193" i="66" s="1"/>
  <c r="N193" i="66"/>
  <c r="P97" i="66"/>
  <c r="N97" i="66"/>
  <c r="N241" i="66"/>
  <c r="P241" i="66"/>
  <c r="P49" i="66"/>
  <c r="V49" i="66" s="1"/>
  <c r="X49" i="66" s="1"/>
  <c r="R49" i="66"/>
  <c r="T49" i="66" s="1"/>
  <c r="N49" i="66"/>
  <c r="P145" i="66"/>
  <c r="N145" i="66"/>
  <c r="H484" i="41"/>
  <c r="O241" i="66" l="1"/>
  <c r="V241" i="66" s="1"/>
  <c r="X241" i="66" s="1"/>
  <c r="O289" i="66"/>
  <c r="U289" i="66" s="1"/>
  <c r="O145" i="66"/>
  <c r="Z289" i="66"/>
  <c r="Y145" i="66"/>
  <c r="Z145" i="66"/>
  <c r="Y289" i="66"/>
  <c r="Y97" i="66"/>
  <c r="Z241" i="66"/>
  <c r="Y241" i="66"/>
  <c r="O97" i="66"/>
  <c r="Z97" i="66"/>
  <c r="Y193" i="66"/>
  <c r="O49" i="66"/>
  <c r="Z49" i="66"/>
  <c r="Y49" i="66"/>
  <c r="Z193" i="66"/>
  <c r="O193" i="66"/>
  <c r="U241" i="66" l="1"/>
  <c r="Q241" i="66"/>
  <c r="R241" i="66" s="1"/>
  <c r="T241" i="66" s="1"/>
  <c r="V289" i="66"/>
  <c r="X289" i="66" s="1"/>
  <c r="Q289" i="66"/>
  <c r="R289" i="66" s="1"/>
  <c r="T289" i="66" s="1"/>
  <c r="Q49" i="66"/>
  <c r="U49" i="66"/>
  <c r="Q97" i="66"/>
  <c r="R97" i="66" s="1"/>
  <c r="T97" i="66" s="1"/>
  <c r="V97" i="66"/>
  <c r="X97" i="66" s="1"/>
  <c r="U97" i="66"/>
  <c r="U145" i="66"/>
  <c r="V145" i="66"/>
  <c r="X145" i="66" s="1"/>
  <c r="Q145" i="66"/>
  <c r="R145" i="66" s="1"/>
  <c r="T145" i="66" s="1"/>
  <c r="Q193" i="66"/>
  <c r="U193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<sst xmlns="http://schemas.openxmlformats.org/spreadsheetml/2006/main" count="4745" uniqueCount="339">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</sst>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11404364.973939046</c:v>
                </c:pt>
                <c:pt idx="2">
                  <c:v>8803377.2675873023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70714.46091817932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4625.795568945282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585897.98396059568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11677.56258440821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17345.073983380356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50518.159150673164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921525.54308632715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155081.49250673887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41644.367513597048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103139.18553800805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74614.172443133619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249941.24327345032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7390.1149836831491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95299.403912586349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56.732155126411541</c:v>
                </c:pt>
                <c:pt idx="2">
                  <c:v>58.436392756918984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21.548922103944079</c:v>
                </c:pt>
                <c:pt idx="2">
                  <c:v>19.314302108865967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7592324.1368307825</c:v>
                </c:pt>
                <c:pt idx="2">
                  <c:v>7817879.1223499402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1838255.0202506275</c:v>
                </c:pt>
                <c:pt idx="2">
                  <c:v>1655588.670760924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2460677.2498286217</c:v>
                </c:pt>
                <c:pt idx="2">
                  <c:v>2444450.8046781118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904.29280606983355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2080333.682561968</c:v>
                </c:pt>
                <c:pt idx="11">
                  <c:v>1851212.0596257476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6420183.3285955302</c:v>
                </c:pt>
                <c:pt idx="5">
                  <c:v>6420183.3285955293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1390628.5884001986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2011952.157534458</c:v>
                </c:pt>
                <c:pt idx="5">
                  <c:v>2011952.1575344577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832479.65170221834</c:v>
                </c:pt>
                <c:pt idx="17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E2C4A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13722.032493402367</c:v>
                </c:pt>
                <c:pt idx="2">
                  <c:v>52712.45186786633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4391304.0580497598</c:v>
                </c:pt>
                <c:pt idx="2">
                  <c:v>4409413.645307919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11404364.973939046</c:v>
                </c:pt>
                <c:pt idx="2">
                  <c:v>8803377.2675873023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13722.032493402367</c:v>
                </c:pt>
                <c:pt idx="2">
                  <c:v>52712.45186786633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4391304.0580497598</c:v>
                </c:pt>
                <c:pt idx="2">
                  <c:v>4409413.645307919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-565990.77935995674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11404364.973939046</c:v>
                </c:pt>
                <c:pt idx="2">
                  <c:v>8803377.2675873023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13722.032493402367</c:v>
                </c:pt>
                <c:pt idx="2">
                  <c:v>52712.45186786633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4391304.0580497598</c:v>
                </c:pt>
                <c:pt idx="2">
                  <c:v>4409413.645307919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2863529.5604047892</c:v>
                </c:pt>
                <c:pt idx="2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792502.62774827308</c:v>
                </c:pt>
                <c:pt idx="2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91770.720767121486</c:v>
                </c:pt>
                <c:pt idx="2">
                  <c:v>254540.76999212921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218331.04510476126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219549.23701107962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8138.6352546285043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904.29280606983355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2080333.682561968</c:v>
                </c:pt>
                <c:pt idx="11">
                  <c:v>1851212.0596257476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6420183.3285955302</c:v>
                </c:pt>
                <c:pt idx="5">
                  <c:v>6420183.3285955293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12515657.295601793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1390628.5884001986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2011952.157534458</c:v>
                </c:pt>
                <c:pt idx="5">
                  <c:v>2011952.1575344577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15533219.712531526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1725913.3013923911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28521927.915010508</c:v>
                </c:pt>
                <c:pt idx="17">
                  <c:v>27737309.195274573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832479.65170221834</c:v>
                </c:pt>
                <c:pt idx="17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832479.65170221834</c:v>
                </c:pt>
                <c:pt idx="2">
                  <c:v>736504.70071534708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218475.89285786889</c:v>
                </c:pt>
                <c:pt idx="2">
                  <c:v>219701.78669330367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2821317.759830459</c:v>
                </c:pt>
                <c:pt idx="2">
                  <c:v>2952551.0288410056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22498503.824004248</c:v>
                </c:pt>
                <c:pt idx="2">
                  <c:v>23160879.440476462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13722.032493402367</c:v>
                </c:pt>
                <c:pt idx="2">
                  <c:v>52712.45186786633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952519.64833213156</c:v>
                </c:pt>
                <c:pt idx="2">
                  <c:v>1074079.2998498199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4391304.0580497598</c:v>
                </c:pt>
                <c:pt idx="2">
                  <c:v>4409413.645307919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632.81348314511342</c:v>
                </c:pt>
                <c:pt idx="2">
                  <c:v>1381.080602060887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56.732155126411541</c:v>
                </c:pt>
                <c:pt idx="2">
                  <c:v>58.436392756918984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21.548922103944079</c:v>
                </c:pt>
                <c:pt idx="2">
                  <c:v>19.314302108865967</c:v>
                </c:pt>
                <c:pt idx="3">
                  <c:v>0.45076703431999998</c:v>
                </c:pt>
                <c:pt idx="4">
                  <c:v>0.45076703432000015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16.27366559690411</c:v>
                </c:pt>
                <c:pt idx="5">
                  <c:v>16.022658393242192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7592324.1368307825</c:v>
                </c:pt>
                <c:pt idx="2">
                  <c:v>7817879.1223499402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1838255.0202506275</c:v>
                </c:pt>
                <c:pt idx="2">
                  <c:v>1655588.670760924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2460677.2498286217</c:v>
                </c:pt>
                <c:pt idx="2">
                  <c:v>2444450.8046781118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8DC078-BFF8-4056-BD38-F6C34614BE56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4D4543F-87BF-4AB6-9C3C-E20AFEEBCD51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9928E459-3776-4F33-BCDC-F3E3947F60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439814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6422418.462810911"/>
    </cacheField>
    <cacheField name="Potentiale til energi [ton]" numFmtId="3">
      <sharedItems containsSemiMixedTypes="0" containsString="0" containsNumber="1" minValue="0" maxValue="16422418.462810911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0.215197169264226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98277.1695870552"/>
    </cacheField>
    <cacheField name="Forbrug/potentiale [Ton TS]" numFmtId="0">
      <sharedItems containsSemiMixedTypes="0" containsString="0" containsNumber="1" minValue="0" maxValue="4616909.4599040393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598277.16958705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5324077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5671293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6422418.462810911"/>
    </cacheField>
    <cacheField name="Potentiale til energi [ton]" numFmtId="3">
      <sharedItems containsSemiMixedTypes="0" containsString="0" containsNumber="1" minValue="0" maxValue="16422418.462810911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0.215197169264226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98277.1695870552"/>
    </cacheField>
    <cacheField name="Forbrug/potentiale [Ton TS]" numFmtId="0">
      <sharedItems containsSemiMixedTypes="0" containsString="0" containsNumber="1" minValue="0" maxValue="4616909.4599040393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598277.169587056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6134262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88648048.8630029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3567349.858292963"/>
    </cacheField>
    <cacheField name="Gødning" numFmtId="3">
      <sharedItems containsSemiMixedTypes="0" containsString="0" containsNumber="1" minValue="0" maxValue="24535385.043044623"/>
    </cacheField>
    <cacheField name="Energi" numFmtId="3">
      <sharedItems containsSemiMixedTypes="0" containsString="0" containsNumber="1" minValue="0" maxValue="588648048.8630029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6422418.462810911"/>
    </cacheField>
    <cacheField name="Potentiale til energi [ton]" numFmtId="3">
      <sharedItems containsSemiMixedTypes="0" containsString="0" containsNumber="1" minValue="0" maxValue="16422418.462810911"/>
    </cacheField>
    <cacheField name="Forbrug energi [ton/m3]" numFmtId="3">
      <sharedItems containsSemiMixedTypes="0" containsString="0" containsNumber="1" minValue="0" maxValue="588648048.8630029"/>
    </cacheField>
    <cacheField name="Potentiale til energi [PJ]" numFmtId="0">
      <sharedItems containsSemiMixedTypes="0" containsString="0" containsNumber="1" minValue="0" maxValue="30.215197169264226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149045802799547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4598277.1695870552"/>
    </cacheField>
    <cacheField name="Forbrug/potentiale [Ton TS]" numFmtId="0">
      <sharedItems containsSemiMixedTypes="0" containsString="0" containsNumber="1" minValue="0" maxValue="4616909.4599040393"/>
    </cacheField>
    <cacheField name="Biogasproduktion [Ton TS]" numFmtId="0">
      <sharedItems containsSemiMixedTypes="0" containsString="0" containsNumber="1" minValue="0" maxValue="888071.17505536752"/>
    </cacheField>
    <cacheField name="Biomasser til energi eksl. biogas [Ton TS]" numFmtId="0">
      <sharedItems containsSemiMixedTypes="0" containsString="0" containsNumber="1" minValue="0" maxValue="4598277.169587056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6481478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6712963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8726652.266058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694444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6157175924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4535385.0430446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</r>
  <r>
    <x v="4"/>
    <x v="10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5718311.2555674212"/>
    <n v="0"/>
    <n v="295933.04302308214"/>
    <n v="2914.9101192356643"/>
    <n v="0"/>
    <n v="0"/>
    <n v="0"/>
    <n v="-635539.70497580152"/>
    <n v="0"/>
    <n v="2914.9101192356643"/>
    <n v="0"/>
    <n v="9.9831590709654593E-3"/>
    <n v="9.9831590709654593E-3"/>
    <n v="0"/>
    <n v="0"/>
    <n v="903.62213696305594"/>
    <n v="903.62213696305594"/>
    <n v="0"/>
  </r>
  <r>
    <x v="23"/>
    <x v="10"/>
    <n v="0"/>
    <x v="1"/>
    <s v="Vestdanmark"/>
    <n v="0"/>
    <n v="0"/>
    <n v="0"/>
    <n v="0"/>
    <n v="0"/>
    <n v="508128.5927608643"/>
    <n v="0"/>
    <n v="0"/>
    <n v="-508128.5927608643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1792000.0223123315"/>
    <n v="0"/>
    <n v="0"/>
    <n v="21927.581361856195"/>
    <n v="0"/>
    <n v="0"/>
    <n v="0"/>
    <n v="3109655.4724698053"/>
    <n v="3109655.4724698053"/>
    <n v="21927.581361856195"/>
    <n v="8.4397293385019498"/>
    <n v="8.4992416714212826"/>
    <n v="5.9512332919332188E-2"/>
    <n v="8.4397293385019498"/>
    <n v="621931.09449396108"/>
    <n v="626316.61076633236"/>
    <n v="4385.5162723712392"/>
    <n v="621931.09449396108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</r>
  <r>
    <x v="47"/>
    <x v="10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23655.47079475562"/>
    <n v="64498.475475191975"/>
    <n v="0"/>
    <n v="0"/>
    <n v="0"/>
    <n v="0"/>
    <n v="0"/>
    <n v="0"/>
    <n v="159156.9953195636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82600093.48589635"/>
    <n v="0"/>
    <n v="0"/>
    <n v="0"/>
    <n v="0"/>
    <n v="0"/>
    <n v="582600093.48589635"/>
    <n v="0"/>
    <n v="0"/>
    <n v="0"/>
    <n v="582600093.48589635"/>
    <n v="0"/>
    <n v="0"/>
    <n v="0"/>
    <n v="0"/>
    <n v="0"/>
    <n v="0"/>
    <n v="0"/>
    <n v="0"/>
  </r>
  <r>
    <x v="4"/>
    <x v="10"/>
    <n v="0"/>
    <x v="2"/>
    <s v="Vestdanmark"/>
    <n v="26330600.843144517"/>
    <n v="0"/>
    <n v="0"/>
    <n v="0"/>
    <n v="0"/>
    <n v="23797437.054137114"/>
    <n v="0"/>
    <n v="0"/>
    <n v="2533163.789007403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</r>
  <r>
    <x v="11"/>
    <x v="10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26652.266058438"/>
    <n v="12237689.909258299"/>
    <n v="0"/>
    <n v="0"/>
    <n v="66543.89398922697"/>
    <n v="0"/>
    <n v="0"/>
    <n v="0"/>
    <n v="16422418.462810911"/>
    <n v="16422418.462810911"/>
    <n v="66543.89398922697"/>
    <n v="30.215197169264226"/>
    <n v="30.337629616217654"/>
    <n v="0.12243244695342897"/>
    <n v="30.215197169264226"/>
    <n v="4598277.1695870552"/>
    <n v="4616909.4599040393"/>
    <n v="18632.290316983552"/>
    <n v="4598277.1695870562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</r>
  <r>
    <x v="16"/>
    <x v="5"/>
    <n v="1"/>
    <x v="2"/>
    <s v="Vestdanmark"/>
    <n v="2763935.1567625329"/>
    <n v="773085.89354292606"/>
    <n v="724013.50560011622"/>
    <n v="0"/>
    <n v="55417.775626022732"/>
    <n v="0"/>
    <n v="1211417.9819934666"/>
    <n v="0"/>
    <n v="0"/>
    <n v="0"/>
    <n v="1266835.7576194895"/>
    <n v="0"/>
    <n v="12.840495059712291"/>
    <n v="0.31951340208285911"/>
    <n v="12.520981657629433"/>
    <n v="0"/>
    <n v="1076810.3939765659"/>
    <n v="47105.109282119323"/>
    <n v="1029705.2846944466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</r>
  <r>
    <x v="21"/>
    <x v="10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</r>
  <r>
    <x v="22"/>
    <x v="5"/>
    <n v="1"/>
    <x v="2"/>
    <s v="Vestdanmark"/>
    <n v="5384297.8300240729"/>
    <n v="5718311.2555674212"/>
    <n v="0"/>
    <n v="307470.55071854044"/>
    <n v="2890.4979416445458"/>
    <n v="0"/>
    <n v="0"/>
    <n v="0"/>
    <n v="-644374.47420353349"/>
    <n v="0"/>
    <n v="2890.4979416445458"/>
    <n v="0"/>
    <n v="9.8995507804207402E-3"/>
    <n v="9.8995507804207402E-3"/>
    <n v="0"/>
    <n v="0"/>
    <n v="896.05436190980924"/>
    <n v="896.05436190980924"/>
    <n v="0"/>
  </r>
  <r>
    <x v="23"/>
    <x v="10"/>
    <n v="0"/>
    <x v="2"/>
    <s v="Vestdanmark"/>
    <n v="0"/>
    <n v="0"/>
    <n v="0"/>
    <n v="0"/>
    <n v="0"/>
    <n v="426682.89514426363"/>
    <n v="0"/>
    <n v="0"/>
    <n v="-426682.89514426363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5948728.1077614166"/>
    <n v="5657053.7864699624"/>
    <n v="0"/>
    <n v="0"/>
    <n v="253140.58627511252"/>
    <n v="0"/>
    <n v="0"/>
    <n v="0"/>
    <n v="38533.735016341321"/>
    <n v="38533.735016341321"/>
    <n v="253140.58627511252"/>
    <n v="0.13833610870866536"/>
    <n v="1.0471108134363194"/>
    <n v="0.90877470472765409"/>
    <n v="0.13833610870866531"/>
    <n v="11560.120504902396"/>
    <n v="87502.296387436145"/>
    <n v="75942.17588253376"/>
    <n v="11560.120504902385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</r>
  <r>
    <x v="31"/>
    <x v="7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4233.58131497409"/>
    <n v="214099.10609126225"/>
    <n v="0"/>
    <n v="0"/>
    <n v="0"/>
    <n v="0"/>
    <n v="0"/>
    <n v="0"/>
    <n v="-29865.524776288163"/>
    <n v="0"/>
    <n v="0"/>
    <n v="0"/>
    <n v="0"/>
    <n v="0"/>
    <n v="0"/>
    <n v="0"/>
    <n v="0"/>
    <n v="0"/>
    <n v="0"/>
  </r>
  <r>
    <x v="37"/>
    <x v="9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</r>
  <r>
    <x v="38"/>
    <x v="4"/>
    <n v="1"/>
    <x v="2"/>
    <s v="Vestdanmark"/>
    <n v="4893003.8959338032"/>
    <n v="1792000.0223123315"/>
    <n v="0"/>
    <n v="0"/>
    <n v="21730.211139686518"/>
    <n v="0"/>
    <n v="0"/>
    <n v="0"/>
    <n v="3079273.6624817853"/>
    <n v="3079273.6624817853"/>
    <n v="21730.211139686518"/>
    <n v="8.357271890922064"/>
    <n v="8.4162485531636193"/>
    <n v="5.8976662241554796E-2"/>
    <n v="8.357271890922064"/>
    <n v="615854.73249635706"/>
    <n v="620200.77472429432"/>
    <n v="4346.0422279373042"/>
    <n v="615854.73249635706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</r>
  <r>
    <x v="47"/>
    <x v="10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</r>
  <r>
    <x v="4"/>
    <x v="10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701872.07302810857"/>
    <n v="0"/>
    <n v="256234.83946537593"/>
    <n v="871.08988076433457"/>
    <n v="0"/>
    <n v="0"/>
    <n v="0"/>
    <n v="649261.73746920389"/>
    <n v="13722.032493402367"/>
    <n v="871.08988076433457"/>
    <n v="4.6996040205354035E-2"/>
    <n v="4.9979401094388573E-2"/>
    <n v="2.9833608890345396E-3"/>
    <n v="4.6996040205354035E-2"/>
    <n v="4253.8300729547336"/>
    <n v="4523.8679359916778"/>
    <n v="270.03786303694369"/>
    <n v="4253.8300729547336"/>
  </r>
  <r>
    <x v="23"/>
    <x v="10"/>
    <n v="0"/>
    <x v="1"/>
    <s v="Østdanmark"/>
    <n v="0"/>
    <n v="0"/>
    <n v="0"/>
    <n v="0"/>
    <n v="0"/>
    <n v="324351.05894135404"/>
    <n v="0"/>
    <n v="0"/>
    <n v="-324351.05894135404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219952.13522212644"/>
    <n v="0"/>
    <n v="0"/>
    <n v="6717.4186381438076"/>
    <n v="0"/>
    <n v="0"/>
    <n v="0"/>
    <n v="1281648.5855799546"/>
    <n v="1281648.5855799546"/>
    <n v="6717.4186381438076"/>
    <n v="3.4784455272074197"/>
    <n v="3.4966768700880877"/>
    <n v="1.8231342880667821E-2"/>
    <n v="3.4784455272074197"/>
    <n v="256329.71711599093"/>
    <n v="257673.20084361971"/>
    <n v="1343.4837276287617"/>
    <n v="256329.71711599093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</r>
  <r>
    <x v="47"/>
    <x v="10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68461.408127480128"/>
    <n v="7916.616753740097"/>
    <n v="0"/>
    <n v="0"/>
    <n v="0"/>
    <n v="0"/>
    <n v="0"/>
    <n v="0"/>
    <n v="60544.79137374003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5715475.31069237"/>
    <n v="0"/>
    <n v="0"/>
    <n v="0"/>
    <n v="0"/>
    <n v="0"/>
    <n v="125715475.31069237"/>
    <n v="0"/>
    <n v="0"/>
    <n v="0"/>
    <n v="125715475.31069237"/>
    <n v="0"/>
    <n v="0"/>
    <n v="0"/>
    <n v="0"/>
    <n v="0"/>
    <n v="0"/>
    <n v="0"/>
    <n v="0"/>
  </r>
  <r>
    <x v="4"/>
    <x v="10"/>
    <n v="0"/>
    <x v="2"/>
    <s v="Østdanmark"/>
    <n v="4359259.3809710601"/>
    <n v="0"/>
    <n v="0"/>
    <n v="0"/>
    <n v="0"/>
    <n v="3939872.1411374575"/>
    <n v="0"/>
    <n v="0"/>
    <n v="419387.2398336026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</r>
  <r>
    <x v="11"/>
    <x v="10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259662.159688036"/>
    <n v="1502068.0760117143"/>
    <n v="0"/>
    <n v="0"/>
    <n v="19133.106010773055"/>
    <n v="0"/>
    <n v="0"/>
    <n v="0"/>
    <n v="6738460.9776655491"/>
    <n v="6738460.9776655491"/>
    <n v="19133.106010773055"/>
    <n v="12.397925891282403"/>
    <n v="12.433128414703974"/>
    <n v="3.5202523421571076E-2"/>
    <n v="12.397925891282403"/>
    <n v="1886769.0737463539"/>
    <n v="1892126.3434293706"/>
    <n v="5357.2696830164559"/>
    <n v="1886769.0737463541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</r>
  <r>
    <x v="16"/>
    <x v="5"/>
    <n v="1"/>
    <x v="2"/>
    <s v="Østdanmark"/>
    <n v="858262.17444810341"/>
    <n v="94889.448034412548"/>
    <n v="103062.42440743271"/>
    <n v="0"/>
    <n v="20516.224373977289"/>
    <n v="0"/>
    <n v="639794.07763228088"/>
    <n v="0"/>
    <n v="0"/>
    <n v="0"/>
    <n v="660310.30200625816"/>
    <n v="0"/>
    <n v="6.7310747956094943"/>
    <n v="0.11828711227714103"/>
    <n v="6.6127876833323533"/>
    <n v="0"/>
    <n v="561263.75670531939"/>
    <n v="17438.790717880696"/>
    <n v="543824.96598743869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</r>
  <r>
    <x v="21"/>
    <x v="10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</r>
  <r>
    <x v="22"/>
    <x v="5"/>
    <n v="1"/>
    <x v="2"/>
    <s v="Østdanmark"/>
    <n v="1668103.5195071232"/>
    <n v="701872.07302810845"/>
    <n v="0"/>
    <n v="268249.01834925939"/>
    <n v="895.50205835545398"/>
    <n v="0"/>
    <n v="0"/>
    <n v="0"/>
    <n v="697086.92607139982"/>
    <n v="52712.45186786633"/>
    <n v="895.50205835545398"/>
    <n v="0.18053276790418071"/>
    <n v="0.18359973708375998"/>
    <n v="3.0669691795792609E-3"/>
    <n v="0.18053276790418071"/>
    <n v="16340.860079038563"/>
    <n v="16618.465717128751"/>
    <n v="277.60563809019072"/>
    <n v="16340.860079038561"/>
  </r>
  <r>
    <x v="23"/>
    <x v="10"/>
    <n v="0"/>
    <x v="2"/>
    <s v="Østdanmark"/>
    <n v="0"/>
    <n v="0"/>
    <n v="0"/>
    <n v="0"/>
    <n v="0"/>
    <n v="309821.80557108345"/>
    <n v="0"/>
    <n v="0"/>
    <n v="-309821.80557108345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1806784.2396676533"/>
    <n v="694353.2611092875"/>
    <n v="0"/>
    <n v="0"/>
    <n v="76885.413724887418"/>
    <n v="0"/>
    <n v="0"/>
    <n v="0"/>
    <n v="1035545.5648334784"/>
    <n v="1035545.5648334784"/>
    <n v="76885.413724887418"/>
    <n v="3.7176085777521881"/>
    <n v="3.9936272130245341"/>
    <n v="0.27601863527234588"/>
    <n v="3.7176085777521881"/>
    <n v="310663.66945004353"/>
    <n v="333729.29356750968"/>
    <n v="23065.624117466225"/>
    <n v="310663.66945004347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</r>
  <r>
    <x v="31"/>
    <x v="7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25.374880347423"/>
    <n v="26278.769501998373"/>
    <n v="0"/>
    <n v="0"/>
    <n v="0"/>
    <n v="0"/>
    <n v="0"/>
    <n v="0"/>
    <n v="31246.60537834905"/>
    <n v="0"/>
    <n v="0"/>
    <n v="0"/>
    <n v="0"/>
    <n v="0"/>
    <n v="0"/>
    <n v="0"/>
    <n v="0"/>
    <n v="0"/>
    <n v="0"/>
  </r>
  <r>
    <x v="37"/>
    <x v="9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</r>
  <r>
    <x v="38"/>
    <x v="4"/>
    <n v="1"/>
    <x v="2"/>
    <s v="Østdanmark"/>
    <n v="1557006.906908574"/>
    <n v="219952.13522212638"/>
    <n v="0"/>
    <n v="0"/>
    <n v="6914.7888603134843"/>
    <n v="0"/>
    <n v="0"/>
    <n v="0"/>
    <n v="1330139.9828261342"/>
    <n v="1330139.9828261342"/>
    <n v="6914.7888603134843"/>
    <n v="3.6100531189894411"/>
    <n v="3.6288201325478862"/>
    <n v="1.8767013558445209E-2"/>
    <n v="3.6100531189894411"/>
    <n v="266027.99656522687"/>
    <n v="267410.95433728956"/>
    <n v="1382.9577720626969"/>
    <n v="266027.99656522687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</r>
  <r>
    <x v="47"/>
    <x v="10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9861946.0644870233"/>
    <s v="CO2 - atmosfære"/>
    <x v="0"/>
  </r>
  <r>
    <s v="Vestdanmark"/>
    <x v="1"/>
    <n v="5058223.5325662289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37462.493699251529"/>
    <s v="Hav"/>
    <x v="3"/>
  </r>
  <r>
    <s v="Vestdanmark"/>
    <x v="1"/>
    <n v="-1423173.0735050682"/>
    <s v="Skov"/>
    <x v="4"/>
  </r>
  <r>
    <s v="Vestdanmark"/>
    <x v="1"/>
    <n v="-493450.63787402952"/>
    <s v="HWP"/>
    <x v="5"/>
  </r>
  <r>
    <s v="Vestdanmark"/>
    <x v="1"/>
    <n v="-516531.08471977338"/>
    <s v="Biogasanlæg"/>
    <x v="6"/>
  </r>
  <r>
    <s v="Vestdanmark"/>
    <x v="1"/>
    <n v="0"/>
    <s v="Pyrolyseproces"/>
    <x v="7"/>
  </r>
  <r>
    <s v="Vestdanmark"/>
    <x v="2"/>
    <n v="7597518.3264972446"/>
    <s v="CO2 - atmosfære"/>
    <x v="0"/>
  </r>
  <r>
    <s v="Vestdanmark"/>
    <x v="2"/>
    <n v="5037270.6270728866"/>
    <s v="Landbrug"/>
    <x v="1"/>
  </r>
  <r>
    <s v="Vestdanmark"/>
    <x v="2"/>
    <n v="3804300.9790056865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7462.493699251529"/>
    <s v="Hav"/>
    <x v="3"/>
  </r>
  <r>
    <s v="Vestdanmark"/>
    <x v="2"/>
    <n v="-2521288.1827652766"/>
    <s v="Skov"/>
    <x v="4"/>
  </r>
  <r>
    <s v="Vestdanmark"/>
    <x v="2"/>
    <n v="-1425254.7542948411"/>
    <s v="HWP"/>
    <x v="5"/>
  </r>
  <r>
    <s v="Vestdanmark"/>
    <x v="2"/>
    <n v="-502600.52422498411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542418.9094520225"/>
    <s v="CO2 - atmosfære"/>
    <x v="0"/>
  </r>
  <r>
    <s v="Østdanmark"/>
    <x v="1"/>
    <n v="449093.3493058047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12810.937899750508"/>
    <s v="Hav"/>
    <x v="3"/>
  </r>
  <r>
    <s v="Østdanmark"/>
    <x v="1"/>
    <n v="-284763.93674946815"/>
    <s v="Skov"/>
    <x v="4"/>
  </r>
  <r>
    <s v="Østdanmark"/>
    <x v="1"/>
    <n v="-137983.70525936465"/>
    <s v="HWP"/>
    <x v="5"/>
  </r>
  <r>
    <s v="Østdanmark"/>
    <x v="1"/>
    <n v="-49459.694640183312"/>
    <s v="Biogasanlæg"/>
    <x v="6"/>
  </r>
  <r>
    <s v="Østdanmark"/>
    <x v="1"/>
    <n v="0"/>
    <s v="Pyrolyseproces"/>
    <x v="7"/>
  </r>
  <r>
    <s v="Østdanmark"/>
    <x v="2"/>
    <n v="1205858.9410900571"/>
    <s v="CO2 - atmosfære"/>
    <x v="0"/>
  </r>
  <r>
    <s v="Østdanmark"/>
    <x v="2"/>
    <n v="447960.28277222451"/>
    <s v="Landbrug"/>
    <x v="1"/>
  </r>
  <r>
    <s v="Østdanmark"/>
    <x v="2"/>
    <n v="1204409.42079822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12810.937899750508"/>
    <s v="Hav"/>
    <x v="3"/>
  </r>
  <r>
    <s v="Østdanmark"/>
    <x v="2"/>
    <n v="-452426.94773979689"/>
    <s v="Skov"/>
    <x v="4"/>
  </r>
  <r>
    <s v="Østdanmark"/>
    <x v="2"/>
    <n v="-282762.73484830488"/>
    <s v="HWP"/>
    <x v="5"/>
  </r>
  <r>
    <s v="Østdanmark"/>
    <x v="2"/>
    <n v="-47926.24035900968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  <n v="0"/>
    <x v="1"/>
  </r>
  <r>
    <x v="4"/>
    <s v="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5718311.2555674212"/>
    <n v="0"/>
    <n v="295933.04302308214"/>
    <n v="2914.9101192356643"/>
    <n v="0"/>
    <n v="0"/>
    <n v="0"/>
    <n v="-635539.70497580152"/>
    <n v="0"/>
    <n v="2914.9101192356643"/>
    <n v="0"/>
    <n v="9.9831590709654593E-3"/>
    <n v="9.9831590709654593E-3"/>
    <n v="0"/>
    <n v="0"/>
    <n v="903.62213696305594"/>
    <n v="903.62213696305594"/>
    <n v="0"/>
    <n v="0"/>
    <x v="0"/>
  </r>
  <r>
    <x v="23"/>
    <s v=""/>
    <n v="0"/>
    <x v="1"/>
    <s v="Vestdanmark"/>
    <n v="0"/>
    <n v="0"/>
    <n v="0"/>
    <n v="0"/>
    <n v="0"/>
    <n v="508128.5927608643"/>
    <n v="0"/>
    <n v="0"/>
    <n v="-508128.5927608643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1792000.0223123315"/>
    <n v="0"/>
    <n v="0"/>
    <n v="21927.581361856195"/>
    <n v="0"/>
    <n v="0"/>
    <n v="0"/>
    <n v="3109655.4724698053"/>
    <n v="3109655.4724698053"/>
    <n v="21927.581361856195"/>
    <n v="8.4397293385019498"/>
    <n v="8.4992416714212826"/>
    <n v="5.9512332919332188E-2"/>
    <n v="8.4397293385019498"/>
    <n v="621931.09449396108"/>
    <n v="626316.61076633236"/>
    <n v="4385.5162723712392"/>
    <n v="621931.09449396108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n v="0"/>
    <x v="1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64498.475475191975"/>
    <n v="0"/>
    <n v="0"/>
    <n v="0"/>
    <n v="0"/>
    <n v="0"/>
    <n v="0"/>
    <n v="159156.9953195636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82600093.48589635"/>
    <n v="0"/>
    <n v="0"/>
    <n v="0"/>
    <n v="0"/>
    <n v="0"/>
    <n v="582600093.48589635"/>
    <n v="0"/>
    <n v="0"/>
    <n v="0"/>
    <n v="582600093.48589635"/>
    <n v="0"/>
    <n v="0"/>
    <n v="0"/>
    <n v="0"/>
    <n v="0"/>
    <n v="0"/>
    <n v="0"/>
    <n v="0"/>
    <n v="0"/>
    <x v="1"/>
  </r>
  <r>
    <x v="4"/>
    <s v=""/>
    <n v="0"/>
    <x v="2"/>
    <s v="Vestdanmark"/>
    <n v="26330600.843144517"/>
    <n v="0"/>
    <n v="0"/>
    <n v="0"/>
    <n v="0"/>
    <n v="23797437.054137114"/>
    <n v="0"/>
    <n v="0"/>
    <n v="2533163.78900740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26652.266058438"/>
    <n v="12237689.909258299"/>
    <n v="0"/>
    <n v="0"/>
    <n v="66543.89398922697"/>
    <n v="0"/>
    <n v="0"/>
    <n v="0"/>
    <n v="16422418.462810911"/>
    <n v="16422418.462810911"/>
    <n v="66543.89398922697"/>
    <n v="30.215197169264226"/>
    <n v="30.337629616217654"/>
    <n v="0.12243244695342897"/>
    <n v="30.215197169264226"/>
    <n v="4598277.1695870552"/>
    <n v="4616909.4599040393"/>
    <n v="18632.290316983552"/>
    <n v="4598277.1695870562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63935.1567625329"/>
    <n v="773085.89354292606"/>
    <n v="724013.50560011622"/>
    <n v="0"/>
    <n v="55417.775626022732"/>
    <n v="0"/>
    <n v="1211417.9819934666"/>
    <n v="0"/>
    <n v="0"/>
    <n v="0"/>
    <n v="1266835.7576194895"/>
    <n v="0"/>
    <n v="12.840495059712291"/>
    <n v="0.31951340208285911"/>
    <n v="12.520981657629433"/>
    <n v="0"/>
    <n v="1076810.3939765659"/>
    <n v="47105.109282119323"/>
    <n v="1029705.2846944466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5718311.2555674212"/>
    <n v="0"/>
    <n v="307470.55071854044"/>
    <n v="2890.4979416445458"/>
    <n v="0"/>
    <n v="0"/>
    <n v="0"/>
    <n v="-644374.47420353349"/>
    <n v="0"/>
    <n v="2890.4979416445458"/>
    <n v="0"/>
    <n v="9.8995507804207402E-3"/>
    <n v="9.8995507804207402E-3"/>
    <n v="0"/>
    <n v="0"/>
    <n v="896.05436190980924"/>
    <n v="896.05436190980924"/>
    <n v="0"/>
    <n v="0"/>
    <x v="0"/>
  </r>
  <r>
    <x v="23"/>
    <s v=""/>
    <n v="0"/>
    <x v="2"/>
    <s v="Vestdanmark"/>
    <n v="0"/>
    <n v="0"/>
    <n v="0"/>
    <n v="0"/>
    <n v="0"/>
    <n v="426682.89514426363"/>
    <n v="0"/>
    <n v="0"/>
    <n v="-426682.8951442636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5657053.7864699624"/>
    <n v="0"/>
    <n v="0"/>
    <n v="253140.58627511252"/>
    <n v="0"/>
    <n v="0"/>
    <n v="0"/>
    <n v="38533.735016341321"/>
    <n v="38533.735016341321"/>
    <n v="253140.58627511252"/>
    <n v="0.13833610870866536"/>
    <n v="1.0471108134363194"/>
    <n v="0.90877470472765409"/>
    <n v="0.13833610870866531"/>
    <n v="11560.120504902396"/>
    <n v="87502.296387436145"/>
    <n v="75942.17588253376"/>
    <n v="11560.120504902385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4233.58131497409"/>
    <n v="214099.10609126225"/>
    <n v="0"/>
    <n v="0"/>
    <n v="0"/>
    <n v="0"/>
    <n v="0"/>
    <n v="0"/>
    <n v="-29865.524776288163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n v="0"/>
    <x v="1"/>
  </r>
  <r>
    <x v="38"/>
    <s v="Græs og urter"/>
    <n v="1"/>
    <x v="2"/>
    <s v="Vestdanmark"/>
    <n v="4893003.8959338032"/>
    <n v="1792000.0223123315"/>
    <n v="0"/>
    <n v="0"/>
    <n v="21730.211139686518"/>
    <n v="0"/>
    <n v="0"/>
    <n v="0"/>
    <n v="3079273.6624817853"/>
    <n v="3079273.6624817853"/>
    <n v="21730.211139686518"/>
    <n v="8.357271890922064"/>
    <n v="8.4162485531636193"/>
    <n v="5.8976662241554796E-2"/>
    <n v="8.357271890922064"/>
    <n v="615854.73249635706"/>
    <n v="620200.77472429432"/>
    <n v="4346.0422279373042"/>
    <n v="615854.73249635706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n v="0"/>
    <x v="1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  <n v="0"/>
    <x v="1"/>
  </r>
  <r>
    <x v="4"/>
    <s v="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701872.07302810857"/>
    <n v="0"/>
    <n v="256234.83946537593"/>
    <n v="871.08988076433457"/>
    <n v="0"/>
    <n v="0"/>
    <n v="0"/>
    <n v="649261.73746920389"/>
    <n v="13722.032493402367"/>
    <n v="871.08988076433457"/>
    <n v="4.6996040205354035E-2"/>
    <n v="4.9979401094388573E-2"/>
    <n v="2.9833608890345396E-3"/>
    <n v="4.6996040205354035E-2"/>
    <n v="4253.8300729547336"/>
    <n v="4523.8679359916778"/>
    <n v="270.03786303694369"/>
    <n v="4253.8300729547336"/>
    <n v="0"/>
    <x v="0"/>
  </r>
  <r>
    <x v="23"/>
    <s v=""/>
    <n v="0"/>
    <x v="1"/>
    <s v="Østdanmark"/>
    <n v="0"/>
    <n v="0"/>
    <n v="0"/>
    <n v="0"/>
    <n v="0"/>
    <n v="324351.05894135404"/>
    <n v="0"/>
    <n v="0"/>
    <n v="-324351.05894135404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219952.13522212644"/>
    <n v="0"/>
    <n v="0"/>
    <n v="6717.4186381438076"/>
    <n v="0"/>
    <n v="0"/>
    <n v="0"/>
    <n v="1281648.5855799546"/>
    <n v="1281648.5855799546"/>
    <n v="6717.4186381438076"/>
    <n v="3.4784455272074197"/>
    <n v="3.4966768700880877"/>
    <n v="1.8231342880667821E-2"/>
    <n v="3.4784455272074197"/>
    <n v="256329.71711599093"/>
    <n v="257673.20084361971"/>
    <n v="1343.4837276287617"/>
    <n v="256329.71711599093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n v="0"/>
    <x v="1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7916.616753740097"/>
    <n v="0"/>
    <n v="0"/>
    <n v="0"/>
    <n v="0"/>
    <n v="0"/>
    <n v="0"/>
    <n v="60544.7913737400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5715475.31069237"/>
    <n v="0"/>
    <n v="0"/>
    <n v="0"/>
    <n v="0"/>
    <n v="0"/>
    <n v="125715475.31069237"/>
    <n v="0"/>
    <n v="0"/>
    <n v="0"/>
    <n v="125715475.31069237"/>
    <n v="0"/>
    <n v="0"/>
    <n v="0"/>
    <n v="0"/>
    <n v="0"/>
    <n v="0"/>
    <n v="0"/>
    <n v="0"/>
    <n v="0"/>
    <x v="1"/>
  </r>
  <r>
    <x v="4"/>
    <s v=""/>
    <n v="0"/>
    <x v="2"/>
    <s v="Østdanmark"/>
    <n v="4359259.3809710601"/>
    <n v="0"/>
    <n v="0"/>
    <n v="0"/>
    <n v="0"/>
    <n v="3939872.1411374575"/>
    <n v="0"/>
    <n v="0"/>
    <n v="419387.239833602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259662.159688036"/>
    <n v="1502068.0760117143"/>
    <n v="0"/>
    <n v="0"/>
    <n v="19133.106010773055"/>
    <n v="0"/>
    <n v="0"/>
    <n v="0"/>
    <n v="6738460.9776655491"/>
    <n v="6738460.9776655491"/>
    <n v="19133.106010773055"/>
    <n v="12.397925891282403"/>
    <n v="12.433128414703974"/>
    <n v="3.5202523421571076E-2"/>
    <n v="12.397925891282403"/>
    <n v="1886769.0737463539"/>
    <n v="1892126.3434293706"/>
    <n v="5357.2696830164559"/>
    <n v="1886769.0737463541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58262.17444810341"/>
    <n v="94889.448034412548"/>
    <n v="103062.42440743271"/>
    <n v="0"/>
    <n v="20516.224373977289"/>
    <n v="0"/>
    <n v="639794.07763228088"/>
    <n v="0"/>
    <n v="0"/>
    <n v="0"/>
    <n v="660310.30200625816"/>
    <n v="0"/>
    <n v="6.7310747956094943"/>
    <n v="0.11828711227714103"/>
    <n v="6.6127876833323533"/>
    <n v="0"/>
    <n v="561263.75670531939"/>
    <n v="17438.790717880696"/>
    <n v="543824.96598743869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701872.07302810845"/>
    <n v="0"/>
    <n v="268249.01834925939"/>
    <n v="895.50205835545398"/>
    <n v="0"/>
    <n v="0"/>
    <n v="0"/>
    <n v="697086.92607139982"/>
    <n v="52712.45186786633"/>
    <n v="895.50205835545398"/>
    <n v="0.18053276790418071"/>
    <n v="0.18359973708375998"/>
    <n v="3.0669691795792609E-3"/>
    <n v="0.18053276790418071"/>
    <n v="16340.860079038563"/>
    <n v="16618.465717128751"/>
    <n v="277.60563809019072"/>
    <n v="16340.860079038561"/>
    <n v="0"/>
    <x v="0"/>
  </r>
  <r>
    <x v="23"/>
    <s v=""/>
    <n v="0"/>
    <x v="2"/>
    <s v="Østdanmark"/>
    <n v="0"/>
    <n v="0"/>
    <n v="0"/>
    <n v="0"/>
    <n v="0"/>
    <n v="309821.80557108345"/>
    <n v="0"/>
    <n v="0"/>
    <n v="-309821.8055710834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694353.2611092875"/>
    <n v="0"/>
    <n v="0"/>
    <n v="76885.413724887418"/>
    <n v="0"/>
    <n v="0"/>
    <n v="0"/>
    <n v="1035545.5648334784"/>
    <n v="1035545.5648334784"/>
    <n v="76885.413724887418"/>
    <n v="3.7176085777521881"/>
    <n v="3.9936272130245341"/>
    <n v="0.27601863527234588"/>
    <n v="3.7176085777521881"/>
    <n v="310663.66945004353"/>
    <n v="333729.29356750968"/>
    <n v="23065.624117466225"/>
    <n v="310663.66945004347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25.374880347423"/>
    <n v="26278.769501998373"/>
    <n v="0"/>
    <n v="0"/>
    <n v="0"/>
    <n v="0"/>
    <n v="0"/>
    <n v="0"/>
    <n v="31246.60537834905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n v="0"/>
    <x v="1"/>
  </r>
  <r>
    <x v="38"/>
    <s v="Græs og urter"/>
    <n v="1"/>
    <x v="2"/>
    <s v="Østdanmark"/>
    <n v="1557006.906908574"/>
    <n v="219952.13522212638"/>
    <n v="0"/>
    <n v="0"/>
    <n v="6914.7888603134843"/>
    <n v="0"/>
    <n v="0"/>
    <n v="0"/>
    <n v="1330139.9828261342"/>
    <n v="1330139.9828261342"/>
    <n v="6914.7888603134843"/>
    <n v="3.6100531189894411"/>
    <n v="3.6288201325478862"/>
    <n v="1.8767013558445209E-2"/>
    <n v="3.6100531189894411"/>
    <n v="266027.99656522687"/>
    <n v="267410.95433728956"/>
    <n v="1382.9577720626969"/>
    <n v="266027.99656522687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n v="0"/>
    <x v="1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64498.475475191975"/>
    <n v="0"/>
    <n v="0"/>
    <n v="0"/>
    <n v="0"/>
    <n v="0"/>
    <n v="0"/>
    <n v="160071.93403065077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88648048.8630029"/>
    <n v="0"/>
    <n v="0"/>
    <n v="0"/>
    <n v="0"/>
    <n v="0"/>
    <n v="588648048.8630029"/>
    <n v="0"/>
    <n v="0"/>
    <n v="0"/>
    <n v="588648048.8630029"/>
    <n v="0"/>
    <n v="0"/>
    <n v="0"/>
    <n v="0"/>
    <n v="0"/>
    <n v="0"/>
    <n v="0"/>
    <n v="0"/>
    <x v="0"/>
  </r>
  <r>
    <x v="4"/>
    <s v=""/>
    <n v="0"/>
    <x v="1"/>
    <s v="Vestdanmark"/>
    <n v="26962363.95458553"/>
    <n v="0"/>
    <n v="0"/>
    <n v="0"/>
    <n v="0"/>
    <n v="24535385.043044623"/>
    <n v="0"/>
    <n v="0"/>
    <n v="2426978.9115409069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7508.4535219909349"/>
    <n v="834.27261355454812"/>
    <n v="0"/>
    <n v="0"/>
    <n v="0"/>
    <n v="0"/>
    <n v="7508.4535219909349"/>
    <n v="0"/>
    <n v="3.5311506068571169E-3"/>
    <n v="3.5311506068571169E-3"/>
    <n v="0"/>
    <n v="0"/>
    <n v="473.03257188542892"/>
    <n v="473.0325718854289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12237689.909258299"/>
    <n v="0"/>
    <n v="0"/>
    <n v="67006.096493213583"/>
    <n v="0"/>
    <n v="0"/>
    <n v="0"/>
    <n v="16103457.277717996"/>
    <n v="16103457.277717996"/>
    <n v="67006.096493213583"/>
    <n v="29.628348458841401"/>
    <n v="29.751631300626851"/>
    <n v="0.12328284178545135"/>
    <n v="29.628348458841401"/>
    <n v="4508968.0377610391"/>
    <n v="4527729.7447791398"/>
    <n v="18761.707018099805"/>
    <n v="4508968.03776104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773085.89354292606"/>
    <n v="726974.95402379602"/>
    <n v="0"/>
    <n v="56224.531227026811"/>
    <n v="0"/>
    <n v="1409958.4975683726"/>
    <n v="0"/>
    <n v="0"/>
    <n v="0"/>
    <n v="1466183.0287953995"/>
    <n v="0"/>
    <n v="14.897222760854225"/>
    <n v="0.3241647837706722"/>
    <n v="14.573057977083552"/>
    <n v="0"/>
    <n v="1246255.5744760896"/>
    <n v="47790.851542972785"/>
    <n v="1198464.722933116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5718311.2555674212"/>
    <n v="0"/>
    <n v="295933.04302308214"/>
    <n v="2914.9101192356643"/>
    <n v="0"/>
    <n v="0"/>
    <n v="0"/>
    <n v="-635539.70497580152"/>
    <n v="0"/>
    <n v="2914.9101192356643"/>
    <n v="0"/>
    <n v="9.9831590709654593E-3"/>
    <n v="9.9831590709654593E-3"/>
    <n v="0"/>
    <n v="0"/>
    <n v="903.62213696305594"/>
    <n v="903.62213696305594"/>
    <n v="0"/>
    <x v="0"/>
  </r>
  <r>
    <x v="23"/>
    <s v=""/>
    <n v="0"/>
    <x v="1"/>
    <s v="Vestdanmark"/>
    <n v="0"/>
    <n v="0"/>
    <n v="0"/>
    <n v="0"/>
    <n v="0"/>
    <n v="508128.5927608643"/>
    <n v="0"/>
    <n v="0"/>
    <n v="-508128.5927608643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11685147.040202204"/>
    <n v="1298349.6711335778"/>
    <n v="0"/>
    <n v="0"/>
    <n v="0"/>
    <n v="0"/>
    <n v="11685147.040202204"/>
    <n v="0"/>
    <n v="5.9149045802799547"/>
    <n v="5.9149045802799547"/>
    <n v="0"/>
    <n v="0"/>
    <n v="888071.17505536752"/>
    <n v="888071.17505536752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5657053.7864699624"/>
    <n v="0"/>
    <n v="0"/>
    <n v="255215.75389295255"/>
    <n v="0"/>
    <n v="0"/>
    <n v="0"/>
    <n v="-8780.1411332767457"/>
    <n v="0"/>
    <n v="255215.75389295255"/>
    <n v="0"/>
    <n v="0.91622455647569978"/>
    <n v="0.91622455647569978"/>
    <n v="0"/>
    <n v="0"/>
    <n v="76564.726167885761"/>
    <n v="76564.726167885761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214099.10609126225"/>
    <n v="0"/>
    <n v="0"/>
    <n v="0"/>
    <n v="0"/>
    <n v="0"/>
    <n v="0"/>
    <n v="-28853.96811977494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1792000.0223123315"/>
    <n v="0"/>
    <n v="0"/>
    <n v="21927.581361856195"/>
    <n v="0"/>
    <n v="0"/>
    <n v="0"/>
    <n v="3109655.4724698053"/>
    <n v="3109655.4724698053"/>
    <n v="21927.581361856195"/>
    <n v="8.4397293385019498"/>
    <n v="8.4992416714212826"/>
    <n v="5.9512332919332188E-2"/>
    <n v="8.4397293385019498"/>
    <n v="621931.09449396108"/>
    <n v="626316.61076633236"/>
    <n v="4385.5162723712392"/>
    <n v="621931.09449396108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13567349.858292963"/>
    <n v="1507483.3175881065"/>
    <n v="0"/>
    <n v="0"/>
    <n v="0"/>
    <n v="0"/>
    <n v="13567349.858292963"/>
    <n v="0"/>
    <n v="5.8448143189526096"/>
    <n v="5.8448143189526096"/>
    <n v="0"/>
    <n v="0"/>
    <n v="678367.49291464826"/>
    <n v="678367.49291464826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x v="0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64498.475475191975"/>
    <n v="0"/>
    <n v="0"/>
    <n v="0"/>
    <n v="0"/>
    <n v="0"/>
    <n v="0"/>
    <n v="159156.9953195636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82600093.48589635"/>
    <n v="0"/>
    <n v="0"/>
    <n v="0"/>
    <n v="0"/>
    <n v="0"/>
    <n v="582600093.48589635"/>
    <n v="0"/>
    <n v="0"/>
    <n v="0"/>
    <n v="582600093.48589635"/>
    <n v="0"/>
    <n v="0"/>
    <n v="0"/>
    <n v="0"/>
    <n v="0"/>
    <n v="0"/>
    <n v="0"/>
    <n v="0"/>
    <x v="0"/>
  </r>
  <r>
    <x v="4"/>
    <s v=""/>
    <n v="0"/>
    <x v="2"/>
    <s v="Vestdanmark"/>
    <n v="26330600.843144517"/>
    <n v="0"/>
    <n v="0"/>
    <n v="0"/>
    <n v="0"/>
    <n v="23797437.054137114"/>
    <n v="0"/>
    <n v="0"/>
    <n v="2533163.78900740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26652.266058438"/>
    <n v="12237689.909258299"/>
    <n v="0"/>
    <n v="0"/>
    <n v="66543.89398922697"/>
    <n v="0"/>
    <n v="0"/>
    <n v="0"/>
    <n v="16422418.462810911"/>
    <n v="16422418.462810911"/>
    <n v="66543.89398922697"/>
    <n v="30.215197169264226"/>
    <n v="30.337629616217654"/>
    <n v="0.12243244695342897"/>
    <n v="30.215197169264226"/>
    <n v="4598277.1695870552"/>
    <n v="4616909.4599040393"/>
    <n v="18632.290316983552"/>
    <n v="4598277.1695870562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63935.1567625329"/>
    <n v="773085.89354292606"/>
    <n v="724013.50560011622"/>
    <n v="0"/>
    <n v="55417.775626022732"/>
    <n v="0"/>
    <n v="1211417.9819934666"/>
    <n v="0"/>
    <n v="0"/>
    <n v="0"/>
    <n v="1266835.7576194895"/>
    <n v="0"/>
    <n v="12.840495059712291"/>
    <n v="0.31951340208285911"/>
    <n v="12.520981657629433"/>
    <n v="0"/>
    <n v="1076810.3939765659"/>
    <n v="47105.109282119323"/>
    <n v="1029705.2846944466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5718311.2555674212"/>
    <n v="0"/>
    <n v="307470.55071854044"/>
    <n v="2890.4979416445458"/>
    <n v="0"/>
    <n v="0"/>
    <n v="0"/>
    <n v="-644374.47420353349"/>
    <n v="0"/>
    <n v="2890.4979416445458"/>
    <n v="0"/>
    <n v="9.8995507804207402E-3"/>
    <n v="9.8995507804207402E-3"/>
    <n v="0"/>
    <n v="0"/>
    <n v="896.05436190980924"/>
    <n v="896.05436190980924"/>
    <n v="0"/>
    <x v="0"/>
  </r>
  <r>
    <x v="23"/>
    <s v=""/>
    <n v="0"/>
    <x v="2"/>
    <s v="Vestdanmark"/>
    <n v="0"/>
    <n v="0"/>
    <n v="0"/>
    <n v="0"/>
    <n v="0"/>
    <n v="426682.89514426363"/>
    <n v="0"/>
    <n v="0"/>
    <n v="-426682.8951442636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5657053.7864699624"/>
    <n v="0"/>
    <n v="0"/>
    <n v="253140.58627511252"/>
    <n v="0"/>
    <n v="0"/>
    <n v="0"/>
    <n v="38533.735016341321"/>
    <n v="38533.735016341321"/>
    <n v="253140.58627511252"/>
    <n v="0.13833610870866536"/>
    <n v="1.0471108134363194"/>
    <n v="0.90877470472765409"/>
    <n v="0.13833610870866531"/>
    <n v="11560.120504902396"/>
    <n v="87502.296387436145"/>
    <n v="75942.17588253376"/>
    <n v="11560.120504902385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4233.58131497409"/>
    <n v="214099.10609126225"/>
    <n v="0"/>
    <n v="0"/>
    <n v="0"/>
    <n v="0"/>
    <n v="0"/>
    <n v="0"/>
    <n v="-29865.524776288163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x v="0"/>
  </r>
  <r>
    <x v="38"/>
    <s v="Græs og urter"/>
    <n v="1"/>
    <x v="2"/>
    <s v="Vestdanmark"/>
    <n v="4893003.8959338032"/>
    <n v="1792000.0223123315"/>
    <n v="0"/>
    <n v="0"/>
    <n v="21730.211139686518"/>
    <n v="0"/>
    <n v="0"/>
    <n v="0"/>
    <n v="3079273.6624817853"/>
    <n v="3079273.6624817853"/>
    <n v="21730.211139686518"/>
    <n v="8.357271890922064"/>
    <n v="8.4162485531636193"/>
    <n v="5.8976662241554796E-2"/>
    <n v="8.357271890922064"/>
    <n v="615854.73249635706"/>
    <n v="620200.77472429432"/>
    <n v="4346.0422279373042"/>
    <n v="615854.73249635706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x v="0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7916.616753740097"/>
    <n v="0"/>
    <n v="0"/>
    <n v="0"/>
    <n v="0"/>
    <n v="0"/>
    <n v="0"/>
    <n v="58403.958827218135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24808531.78166662"/>
    <n v="0"/>
    <n v="0"/>
    <n v="0"/>
    <n v="0"/>
    <n v="0"/>
    <n v="124808531.78166662"/>
    <n v="0"/>
    <n v="0"/>
    <n v="0"/>
    <n v="124808531.78166662"/>
    <n v="0"/>
    <n v="0"/>
    <n v="0"/>
    <n v="0"/>
    <n v="0"/>
    <n v="0"/>
    <n v="0"/>
    <n v="0"/>
    <x v="0"/>
  </r>
  <r>
    <x v="4"/>
    <s v=""/>
    <n v="0"/>
    <x v="1"/>
    <s v="Østdanmark"/>
    <n v="4380881.7202554364"/>
    <n v="0"/>
    <n v="0"/>
    <n v="0"/>
    <n v="0"/>
    <n v="3986542.8719658842"/>
    <n v="0"/>
    <n v="0"/>
    <n v="394338.84828955214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630.18173263756921"/>
    <n v="70.020192515285444"/>
    <n v="0"/>
    <n v="0"/>
    <n v="0"/>
    <n v="0"/>
    <n v="630.18173263756921"/>
    <n v="0"/>
    <n v="2.9636816704212241E-4"/>
    <n v="2.9636816704212241E-4"/>
    <n v="0"/>
    <n v="0"/>
    <n v="39.701449156166859"/>
    <n v="39.701449156166859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502068.0760117145"/>
    <n v="0"/>
    <n v="0"/>
    <n v="18670.90350678641"/>
    <n v="0"/>
    <n v="0"/>
    <n v="0"/>
    <n v="6395046.5462862514"/>
    <n v="6395046.5462862514"/>
    <n v="18670.90350678641"/>
    <n v="11.766086264348418"/>
    <n v="11.800438392937966"/>
    <n v="3.4352128589548649E-2"/>
    <n v="11.766086264348418"/>
    <n v="1790613.0329601506"/>
    <n v="1795840.8859420507"/>
    <n v="5227.8529819001951"/>
    <n v="1790613.0329601506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94889.448034412562"/>
    <n v="103520.85960187271"/>
    <n v="0"/>
    <n v="19709.468772973203"/>
    <n v="0"/>
    <n v="670375.18499359523"/>
    <n v="0"/>
    <n v="0"/>
    <n v="0"/>
    <n v="690084.6537665684"/>
    <n v="0"/>
    <n v="7.0425038172445023"/>
    <n v="0.11363573058932792"/>
    <n v="6.9288680866551742"/>
    <n v="0"/>
    <n v="586571.95570158318"/>
    <n v="16753.048457027224"/>
    <n v="569818.90724455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701872.07302810857"/>
    <n v="0"/>
    <n v="256234.83946537593"/>
    <n v="871.08988076433457"/>
    <n v="0"/>
    <n v="0"/>
    <n v="0"/>
    <n v="649261.73746920389"/>
    <n v="13722.032493402367"/>
    <n v="871.08988076433457"/>
    <n v="4.6996040205354035E-2"/>
    <n v="4.9979401094388573E-2"/>
    <n v="2.9833608890345396E-3"/>
    <n v="4.6996040205354035E-2"/>
    <n v="4253.8300729547336"/>
    <n v="4523.8679359916778"/>
    <n v="270.03786303694369"/>
    <n v="4253.8300729547336"/>
    <x v="0"/>
  </r>
  <r>
    <x v="23"/>
    <s v=""/>
    <n v="0"/>
    <x v="1"/>
    <s v="Østdanmark"/>
    <n v="0"/>
    <n v="0"/>
    <n v="0"/>
    <n v="0"/>
    <n v="0"/>
    <n v="324351.05894135404"/>
    <n v="0"/>
    <n v="0"/>
    <n v="-324351.05894135404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830510.25539958803"/>
    <n v="92278.917266620876"/>
    <n v="0"/>
    <n v="0"/>
    <n v="0"/>
    <n v="0"/>
    <n v="830510.25539958803"/>
    <n v="0"/>
    <n v="0.4203959861807175"/>
    <n v="0.4203959861807175"/>
    <n v="0"/>
    <n v="0"/>
    <n v="63118.77941036869"/>
    <n v="63118.77941036869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694353.26110928762"/>
    <n v="0"/>
    <n v="0"/>
    <n v="74810.246107047482"/>
    <n v="0"/>
    <n v="0"/>
    <n v="0"/>
    <n v="961299.78946540831"/>
    <n v="952519.64833213156"/>
    <n v="74810.246107047482"/>
    <n v="3.4195455375123527"/>
    <n v="3.6881143210366529"/>
    <n v="0.26856878352430047"/>
    <n v="3.4195455375123522"/>
    <n v="285755.89449963946"/>
    <n v="308198.96833175368"/>
    <n v="22443.073832114245"/>
    <n v="285755.89449963946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26278.769501998377"/>
    <n v="0"/>
    <n v="0"/>
    <n v="0"/>
    <n v="0"/>
    <n v="0"/>
    <n v="0"/>
    <n v="29486.781602920059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219952.13522212644"/>
    <n v="0"/>
    <n v="0"/>
    <n v="6717.4186381438076"/>
    <n v="0"/>
    <n v="0"/>
    <n v="0"/>
    <n v="1281648.5855799546"/>
    <n v="1281648.5855799546"/>
    <n v="6717.4186381438076"/>
    <n v="3.4784455272074197"/>
    <n v="3.4966768700880877"/>
    <n v="1.8231342880667821E-2"/>
    <n v="3.4784455272074197"/>
    <n v="256329.71711599093"/>
    <n v="257673.20084361971"/>
    <n v="1343.4837276287617"/>
    <n v="256329.71711599093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965869.8542385614"/>
    <n v="218429.98380428454"/>
    <n v="0"/>
    <n v="0"/>
    <n v="0"/>
    <n v="0"/>
    <n v="1965869.8542385614"/>
    <n v="0"/>
    <n v="0.84689673320597236"/>
    <n v="0.84689673320597236"/>
    <n v="0"/>
    <n v="0"/>
    <n v="98293.492711928076"/>
    <n v="98293.492711928076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x v="0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7916.616753740097"/>
    <n v="0"/>
    <n v="0"/>
    <n v="0"/>
    <n v="0"/>
    <n v="0"/>
    <n v="0"/>
    <n v="60544.79137374003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5715475.31069237"/>
    <n v="0"/>
    <n v="0"/>
    <n v="0"/>
    <n v="0"/>
    <n v="0"/>
    <n v="125715475.31069237"/>
    <n v="0"/>
    <n v="0"/>
    <n v="0"/>
    <n v="125715475.31069237"/>
    <n v="0"/>
    <n v="0"/>
    <n v="0"/>
    <n v="0"/>
    <n v="0"/>
    <n v="0"/>
    <n v="0"/>
    <n v="0"/>
    <x v="0"/>
  </r>
  <r>
    <x v="4"/>
    <s v=""/>
    <n v="0"/>
    <x v="2"/>
    <s v="Østdanmark"/>
    <n v="4359259.3809710601"/>
    <n v="0"/>
    <n v="0"/>
    <n v="0"/>
    <n v="0"/>
    <n v="3939872.1411374575"/>
    <n v="0"/>
    <n v="0"/>
    <n v="419387.2398336026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259662.159688036"/>
    <n v="1502068.0760117143"/>
    <n v="0"/>
    <n v="0"/>
    <n v="19133.106010773055"/>
    <n v="0"/>
    <n v="0"/>
    <n v="0"/>
    <n v="6738460.9776655491"/>
    <n v="6738460.9776655491"/>
    <n v="19133.106010773055"/>
    <n v="12.397925891282403"/>
    <n v="12.433128414703974"/>
    <n v="3.5202523421571076E-2"/>
    <n v="12.397925891282403"/>
    <n v="1886769.0737463539"/>
    <n v="1892126.3434293706"/>
    <n v="5357.2696830164559"/>
    <n v="1886769.0737463541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58262.17444810341"/>
    <n v="94889.448034412548"/>
    <n v="103062.42440743271"/>
    <n v="0"/>
    <n v="20516.224373977289"/>
    <n v="0"/>
    <n v="639794.07763228088"/>
    <n v="0"/>
    <n v="0"/>
    <n v="0"/>
    <n v="660310.30200625816"/>
    <n v="0"/>
    <n v="6.7310747956094943"/>
    <n v="0.11828711227714103"/>
    <n v="6.6127876833323533"/>
    <n v="0"/>
    <n v="561263.75670531939"/>
    <n v="17438.790717880696"/>
    <n v="543824.96598743869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701872.07302810845"/>
    <n v="0"/>
    <n v="268249.01834925939"/>
    <n v="895.50205835545398"/>
    <n v="0"/>
    <n v="0"/>
    <n v="0"/>
    <n v="697086.92607139982"/>
    <n v="52712.45186786633"/>
    <n v="895.50205835545398"/>
    <n v="0.18053276790418071"/>
    <n v="0.18359973708375998"/>
    <n v="3.0669691795792609E-3"/>
    <n v="0.18053276790418071"/>
    <n v="16340.860079038563"/>
    <n v="16618.465717128751"/>
    <n v="277.60563809019072"/>
    <n v="16340.860079038561"/>
    <x v="0"/>
  </r>
  <r>
    <x v="23"/>
    <s v=""/>
    <n v="0"/>
    <x v="2"/>
    <s v="Østdanmark"/>
    <n v="0"/>
    <n v="0"/>
    <n v="0"/>
    <n v="0"/>
    <n v="0"/>
    <n v="309821.80557108345"/>
    <n v="0"/>
    <n v="0"/>
    <n v="-309821.8055710834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694353.2611092875"/>
    <n v="0"/>
    <n v="0"/>
    <n v="76885.413724887418"/>
    <n v="0"/>
    <n v="0"/>
    <n v="0"/>
    <n v="1035545.5648334784"/>
    <n v="1035545.5648334784"/>
    <n v="76885.413724887418"/>
    <n v="3.7176085777521881"/>
    <n v="3.9936272130245341"/>
    <n v="0.27601863527234588"/>
    <n v="3.7176085777521881"/>
    <n v="310663.66945004353"/>
    <n v="333729.29356750968"/>
    <n v="23065.624117466225"/>
    <n v="310663.66945004347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25.374880347423"/>
    <n v="26278.769501998373"/>
    <n v="0"/>
    <n v="0"/>
    <n v="0"/>
    <n v="0"/>
    <n v="0"/>
    <n v="0"/>
    <n v="31246.60537834905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x v="0"/>
  </r>
  <r>
    <x v="38"/>
    <s v="Græs og urter"/>
    <n v="1"/>
    <x v="2"/>
    <s v="Østdanmark"/>
    <n v="1557006.906908574"/>
    <n v="219952.13522212638"/>
    <n v="0"/>
    <n v="0"/>
    <n v="6914.7888603134843"/>
    <n v="0"/>
    <n v="0"/>
    <n v="0"/>
    <n v="1330139.9828261342"/>
    <n v="1330139.9828261342"/>
    <n v="6914.7888603134843"/>
    <n v="3.6100531189894411"/>
    <n v="3.6288201325478862"/>
    <n v="1.8767013558445209E-2"/>
    <n v="3.6100531189894411"/>
    <n v="266027.99656522687"/>
    <n v="267410.95433728956"/>
    <n v="1382.9577720626969"/>
    <n v="266027.99656522687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x v="0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61483.07121072372"/>
    <n v="3935996.3291871729"/>
    <n v="1850831.917865884"/>
    <n v="1850831.917865884"/>
  </r>
  <r>
    <x v="0"/>
    <x v="1"/>
    <x v="2"/>
    <s v="Konventionel"/>
    <x v="0"/>
    <s v="Halm"/>
    <n v="43207.981831443096"/>
    <n v="166782.80986937037"/>
    <n v="71333.882418701935"/>
    <n v="71333.882418701935"/>
  </r>
  <r>
    <x v="0"/>
    <x v="2"/>
    <x v="2"/>
    <s v="Konventionel"/>
    <x v="0"/>
    <s v="Halm"/>
    <n v="63229.178938047015"/>
    <n v="278208.3873274069"/>
    <n v="214073.21645311025"/>
    <n v="214073.21645311025"/>
  </r>
  <r>
    <x v="0"/>
    <x v="3"/>
    <x v="2"/>
    <s v="Konventionel"/>
    <x v="0"/>
    <s v="Græs"/>
    <n v="350113.23502744088"/>
    <n v="17372618.722061615"/>
    <n v="0"/>
    <n v="17372618.722061615"/>
  </r>
  <r>
    <x v="0"/>
    <x v="4"/>
    <x v="2"/>
    <s v="Konventionel"/>
    <x v="0"/>
    <s v="Grøntsager"/>
    <n v="7261.8319003021561"/>
    <n v="150683.01193126975"/>
    <n v="0"/>
    <n v="150683.01193126975"/>
  </r>
  <r>
    <x v="0"/>
    <x v="5"/>
    <x v="2"/>
    <s v="Konventionel"/>
    <x v="0"/>
    <s v="Kartofler"/>
    <n v="30543.939652518206"/>
    <n v="1297228.5904273209"/>
    <n v="0"/>
    <n v="1297228.5904273209"/>
  </r>
  <r>
    <x v="0"/>
    <x v="6"/>
    <x v="2"/>
    <s v="Konventionel"/>
    <x v="0"/>
    <s v="Roer"/>
    <n v="46682.107442941407"/>
    <n v="3793095.4167070598"/>
    <n v="0"/>
    <n v="3793095.4167070598"/>
  </r>
  <r>
    <x v="0"/>
    <x v="7"/>
    <x v="2"/>
    <s v="Konventionel"/>
    <x v="0"/>
    <s v="Majs"/>
    <n v="94515.630592078363"/>
    <n v="4206890.7176534077"/>
    <n v="0"/>
    <n v="4206890.7176534077"/>
  </r>
  <r>
    <x v="0"/>
    <x v="8"/>
    <x v="2"/>
    <s v="Konventionel"/>
    <x v="0"/>
    <s v="Frugt"/>
    <n v="2831.8600409865621"/>
    <n v="24042.491747975917"/>
    <n v="0"/>
    <n v="24042.491747975917"/>
  </r>
  <r>
    <x v="0"/>
    <x v="9"/>
    <x v="2"/>
    <s v="Konventionel"/>
    <x v="0"/>
    <s v="Øvrige"/>
    <n v="25064.020953722124"/>
    <n v="746806.15242510219"/>
    <n v="0"/>
    <n v="746806.15242510219"/>
  </r>
  <r>
    <x v="0"/>
    <x v="10"/>
    <x v="2"/>
    <s v="Konventionel"/>
    <x v="0"/>
    <s v="Halm"/>
    <n v="56346.341524321346"/>
    <n v="805125.0283479041"/>
    <n v="192697.16298878082"/>
    <n v="192697.16298878082"/>
  </r>
  <r>
    <x v="0"/>
    <x v="11"/>
    <x v="2"/>
    <s v="Konventionel"/>
    <x v="0"/>
    <s v="Juletræer"/>
    <n v="10582.814134757033"/>
    <n v="529140.70673785161"/>
    <n v="0"/>
    <n v="529140.70673785161"/>
  </r>
  <r>
    <x v="0"/>
    <x v="12"/>
    <x v="2"/>
    <s v="Konventionel"/>
    <x v="0"/>
    <s v="Pil &amp; poppel"/>
    <n v="4069.5565030402136"/>
    <n v="99257.475683907658"/>
    <n v="0"/>
    <n v="99257.475683907658"/>
  </r>
  <r>
    <x v="0"/>
    <x v="13"/>
    <x v="2"/>
    <s v="Konventionel"/>
    <x v="0"/>
    <s v="Græs"/>
    <n v="98719.151233641649"/>
    <n v="1361337.0955119184"/>
    <n v="0"/>
    <n v="1361337.0955119184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19102.46965075957"/>
    <n v="559388.56920872245"/>
    <n v="263042.47559972713"/>
    <n v="263042.47559972713"/>
  </r>
  <r>
    <x v="0"/>
    <x v="1"/>
    <x v="2"/>
    <s v="Økologisk"/>
    <x v="0"/>
    <s v="Halm"/>
    <n v="9165.3294793970217"/>
    <n v="20165.557920569328"/>
    <n v="8624.9148742612324"/>
    <n v="8624.9148742612324"/>
  </r>
  <r>
    <x v="0"/>
    <x v="2"/>
    <x v="2"/>
    <s v="Økologisk"/>
    <x v="0"/>
    <s v="Halm"/>
    <n v="13412.250077767547"/>
    <n v="32457.645188197464"/>
    <n v="24975.208586196197"/>
    <n v="24975.208586196197"/>
  </r>
  <r>
    <x v="0"/>
    <x v="3"/>
    <x v="2"/>
    <s v="Økologisk"/>
    <x v="0"/>
    <s v="Græs"/>
    <n v="74266.443793699596"/>
    <n v="2874378.7340138317"/>
    <n v="0"/>
    <n v="2874378.7340138317"/>
  </r>
  <r>
    <x v="0"/>
    <x v="4"/>
    <x v="2"/>
    <s v="Økologisk"/>
    <x v="0"/>
    <s v="Grøntsager"/>
    <n v="1540.3885849125784"/>
    <n v="18218.945988053521"/>
    <n v="0"/>
    <n v="18218.945988053521"/>
  </r>
  <r>
    <x v="0"/>
    <x v="5"/>
    <x v="2"/>
    <s v="Økologisk"/>
    <x v="0"/>
    <s v="Kartofler"/>
    <n v="6479.017502049317"/>
    <n v="156846.7295698488"/>
    <n v="0"/>
    <n v="156846.7295698488"/>
  </r>
  <r>
    <x v="0"/>
    <x v="6"/>
    <x v="2"/>
    <s v="Økologisk"/>
    <x v="0"/>
    <s v="Roer"/>
    <n v="9902.2652151693892"/>
    <n v="458619.71856548992"/>
    <n v="0"/>
    <n v="458619.71856548992"/>
  </r>
  <r>
    <x v="0"/>
    <x v="7"/>
    <x v="2"/>
    <s v="Økologisk"/>
    <x v="0"/>
    <s v="Majs"/>
    <n v="20048.770125592382"/>
    <n v="740667.72938079713"/>
    <n v="0"/>
    <n v="740667.72938079713"/>
  </r>
  <r>
    <x v="0"/>
    <x v="8"/>
    <x v="2"/>
    <s v="Økologisk"/>
    <x v="0"/>
    <s v="Frugt"/>
    <n v="600.69758445169498"/>
    <n v="2906.9558204370878"/>
    <n v="0"/>
    <n v="2906.9558204370878"/>
  </r>
  <r>
    <x v="0"/>
    <x v="9"/>
    <x v="2"/>
    <s v="Økologisk"/>
    <x v="0"/>
    <s v="Øvrige"/>
    <n v="5316.6105053349966"/>
    <n v="90295.652975035089"/>
    <n v="0"/>
    <n v="90295.652975035089"/>
  </r>
  <r>
    <x v="0"/>
    <x v="10"/>
    <x v="2"/>
    <s v="Økologisk"/>
    <x v="0"/>
    <s v="Halm"/>
    <n v="11952.25426273483"/>
    <n v="97346.935245701112"/>
    <n v="23298.83879773441"/>
    <n v="23298.83879773441"/>
  </r>
  <r>
    <x v="0"/>
    <x v="11"/>
    <x v="2"/>
    <s v="Økologisk"/>
    <x v="0"/>
    <s v="Juletræer"/>
    <n v="2244.8393619181579"/>
    <n v="63977.921814667498"/>
    <n v="0"/>
    <n v="63977.921814667498"/>
  </r>
  <r>
    <x v="0"/>
    <x v="12"/>
    <x v="2"/>
    <s v="Økologisk"/>
    <x v="0"/>
    <s v="Pil &amp; poppel"/>
    <n v="863.23925822065132"/>
    <n v="12001.13115087247"/>
    <n v="0"/>
    <n v="12001.13115087247"/>
  </r>
  <r>
    <x v="0"/>
    <x v="13"/>
    <x v="2"/>
    <s v="Økologisk"/>
    <x v="0"/>
    <s v="Græs"/>
    <n v="20940.42601925732"/>
    <n v="288768.47480555851"/>
    <n v="0"/>
    <n v="288768.474805558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7761.24151833868"/>
    <n v="1246106.3030435541"/>
    <n v="585959.21485606441"/>
    <n v="585959.21485606441"/>
  </r>
  <r>
    <x v="1"/>
    <x v="1"/>
    <x v="2"/>
    <s v="Konventionel"/>
    <x v="0"/>
    <s v="Halm"/>
    <n v="13679.31623886233"/>
    <n v="52802.160682008594"/>
    <n v="22583.761027254041"/>
    <n v="22583.761027254041"/>
  </r>
  <r>
    <x v="1"/>
    <x v="2"/>
    <x v="2"/>
    <s v="Konventionel"/>
    <x v="0"/>
    <s v="Halm"/>
    <n v="20017.87395651362"/>
    <n v="88078.645408659941"/>
    <n v="67773.941341585611"/>
    <n v="67773.941341585611"/>
  </r>
  <r>
    <x v="1"/>
    <x v="3"/>
    <x v="2"/>
    <s v="Konventionel"/>
    <x v="0"/>
    <s v="Græs"/>
    <n v="110843.16967255903"/>
    <n v="5500038.0791523792"/>
    <n v="0"/>
    <n v="5500038.0791523792"/>
  </r>
  <r>
    <x v="1"/>
    <x v="4"/>
    <x v="2"/>
    <s v="Konventionel"/>
    <x v="0"/>
    <s v="Grøntsager"/>
    <n v="2299.0403815945601"/>
    <n v="47705.087918087127"/>
    <n v="0"/>
    <n v="47705.087918087127"/>
  </r>
  <r>
    <x v="1"/>
    <x v="5"/>
    <x v="2"/>
    <s v="Konventionel"/>
    <x v="0"/>
    <s v="Kartofler"/>
    <n v="9669.9774434609044"/>
    <n v="410692.63988709357"/>
    <n v="0"/>
    <n v="410692.63988709357"/>
  </r>
  <r>
    <x v="1"/>
    <x v="6"/>
    <x v="2"/>
    <s v="Konventionel"/>
    <x v="0"/>
    <s v="Roer"/>
    <n v="14779.197808860414"/>
    <n v="1200864.9682303893"/>
    <n v="0"/>
    <n v="1200864.9682303893"/>
  </r>
  <r>
    <x v="1"/>
    <x v="7"/>
    <x v="2"/>
    <s v="Konventionel"/>
    <x v="0"/>
    <s v="Majs"/>
    <n v="29922.925014832817"/>
    <n v="1331869.3924102089"/>
    <n v="0"/>
    <n v="1331869.3924102089"/>
  </r>
  <r>
    <x v="1"/>
    <x v="8"/>
    <x v="2"/>
    <s v="Konventionel"/>
    <x v="0"/>
    <s v="Frugt"/>
    <n v="896.54520768805401"/>
    <n v="7611.668813271579"/>
    <n v="0"/>
    <n v="7611.668813271579"/>
  </r>
  <r>
    <x v="1"/>
    <x v="9"/>
    <x v="2"/>
    <s v="Konventionel"/>
    <x v="0"/>
    <s v="Øvrige"/>
    <n v="7935.0771387784034"/>
    <n v="236433.11016014192"/>
    <n v="0"/>
    <n v="236433.11016014192"/>
  </r>
  <r>
    <x v="1"/>
    <x v="10"/>
    <x v="2"/>
    <s v="Konventionel"/>
    <x v="0"/>
    <s v="Halm"/>
    <n v="17838.820327711393"/>
    <n v="254896.41977629336"/>
    <n v="61006.446474130375"/>
    <n v="61006.446474130375"/>
  </r>
  <r>
    <x v="1"/>
    <x v="11"/>
    <x v="2"/>
    <s v="Konventionel"/>
    <x v="0"/>
    <s v="Juletræer"/>
    <n v="3350.4379309170949"/>
    <n v="167521.89654585475"/>
    <n v="0"/>
    <n v="167521.89654585475"/>
  </r>
  <r>
    <x v="1"/>
    <x v="12"/>
    <x v="2"/>
    <s v="Konventionel"/>
    <x v="0"/>
    <s v="Pil &amp; poppel"/>
    <n v="1288.3904315219554"/>
    <n v="31424.156866389159"/>
    <n v="0"/>
    <n v="31424.156866389159"/>
  </r>
  <r>
    <x v="1"/>
    <x v="13"/>
    <x v="2"/>
    <s v="Konventionel"/>
    <x v="0"/>
    <s v="Græs"/>
    <n v="31253.727466954875"/>
    <n v="430988.90176930773"/>
    <n v="0"/>
    <n v="430988.9017693077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7706.930019041538"/>
    <n v="177098.13822043242"/>
    <n v="83277.233868937648"/>
    <n v="83277.233868937648"/>
  </r>
  <r>
    <x v="1"/>
    <x v="1"/>
    <x v="2"/>
    <s v="Økologisk"/>
    <x v="0"/>
    <s v="Halm"/>
    <n v="2901.6731415768577"/>
    <n v="6384.2612460974024"/>
    <n v="2730.5820151134426"/>
    <n v="2730.5820151134426"/>
  </r>
  <r>
    <x v="1"/>
    <x v="2"/>
    <x v="2"/>
    <s v="Økologisk"/>
    <x v="0"/>
    <s v="Halm"/>
    <n v="4246.2156877453126"/>
    <n v="10275.841964343659"/>
    <n v="7906.9598231849877"/>
    <n v="7906.9598231849877"/>
  </r>
  <r>
    <x v="1"/>
    <x v="3"/>
    <x v="2"/>
    <s v="Økologisk"/>
    <x v="0"/>
    <s v="Græs"/>
    <n v="23512.187506300404"/>
    <n v="910006.30036884826"/>
    <n v="0"/>
    <n v="910006.30036884826"/>
  </r>
  <r>
    <x v="1"/>
    <x v="4"/>
    <x v="2"/>
    <s v="Økologisk"/>
    <x v="0"/>
    <s v="Grøntsager"/>
    <n v="487.67523245945216"/>
    <n v="5767.9788119141704"/>
    <n v="0"/>
    <n v="5767.9788119141704"/>
  </r>
  <r>
    <x v="1"/>
    <x v="5"/>
    <x v="2"/>
    <s v="Økologisk"/>
    <x v="0"/>
    <s v="Kartofler"/>
    <n v="2051.2073364917069"/>
    <n v="49656.473731803118"/>
    <n v="0"/>
    <n v="49656.473731803118"/>
  </r>
  <r>
    <x v="1"/>
    <x v="6"/>
    <x v="2"/>
    <s v="Økologisk"/>
    <x v="0"/>
    <s v="Roer"/>
    <n v="3134.9813533946331"/>
    <n v="145195.4916133107"/>
    <n v="0"/>
    <n v="145195.4916133107"/>
  </r>
  <r>
    <x v="1"/>
    <x v="7"/>
    <x v="2"/>
    <s v="Økologisk"/>
    <x v="0"/>
    <s v="Majs"/>
    <n v="6347.2871243584768"/>
    <n v="234489.73242131254"/>
    <n v="0"/>
    <n v="234489.73242131254"/>
  </r>
  <r>
    <x v="1"/>
    <x v="8"/>
    <x v="2"/>
    <s v="Økologisk"/>
    <x v="0"/>
    <s v="Frugt"/>
    <n v="190.17625617625387"/>
    <n v="920.31995651374552"/>
    <n v="0"/>
    <n v="920.31995651374552"/>
  </r>
  <r>
    <x v="1"/>
    <x v="9"/>
    <x v="2"/>
    <s v="Økologisk"/>
    <x v="0"/>
    <s v="Øvrige"/>
    <n v="1683.1981809529948"/>
    <n v="28586.912410271703"/>
    <n v="0"/>
    <n v="28586.912410271703"/>
  </r>
  <r>
    <x v="1"/>
    <x v="10"/>
    <x v="2"/>
    <s v="Økologisk"/>
    <x v="0"/>
    <s v="Halm"/>
    <n v="3783.9921907266594"/>
    <n v="30819.294391133648"/>
    <n v="7376.2339827812166"/>
    <n v="7376.2339827812166"/>
  </r>
  <r>
    <x v="1"/>
    <x v="11"/>
    <x v="2"/>
    <s v="Økologisk"/>
    <x v="0"/>
    <s v="Juletræer"/>
    <n v="710.69895504302008"/>
    <n v="20254.920218726071"/>
    <n v="0"/>
    <n v="20254.920218726071"/>
  </r>
  <r>
    <x v="1"/>
    <x v="12"/>
    <x v="2"/>
    <s v="Økologisk"/>
    <x v="0"/>
    <s v="Pil &amp; poppel"/>
    <n v="273.29494001980873"/>
    <n v="3799.4662392997802"/>
    <n v="0"/>
    <n v="3799.4662392997802"/>
  </r>
  <r>
    <x v="1"/>
    <x v="13"/>
    <x v="2"/>
    <s v="Økologisk"/>
    <x v="0"/>
    <s v="Græs"/>
    <n v="6629.5785535964887"/>
    <n v="91421.888254095582"/>
    <n v="0"/>
    <n v="91421.8882540955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384297.8300240729"/>
  </r>
  <r>
    <x v="1"/>
    <x v="0"/>
    <x v="2"/>
    <n v="223655.47079475562"/>
  </r>
  <r>
    <x v="2"/>
    <x v="0"/>
    <x v="2"/>
    <n v="368467.16262994817"/>
  </r>
  <r>
    <x v="3"/>
    <x v="0"/>
    <x v="2"/>
    <n v="28726652.266058438"/>
  </r>
  <r>
    <x v="4"/>
    <x v="0"/>
    <x v="2"/>
    <n v="215100.32143170634"/>
  </r>
  <r>
    <x v="5"/>
    <x v="0"/>
    <x v="2"/>
    <n v="1773593.0585347696"/>
  </r>
  <r>
    <x v="6"/>
    <x v="0"/>
    <x v="2"/>
    <n v="4893003.8959338032"/>
  </r>
  <r>
    <x v="7"/>
    <x v="0"/>
    <x v="2"/>
    <n v="5948728.1077614166"/>
  </r>
  <r>
    <x v="8"/>
    <x v="0"/>
    <x v="2"/>
    <n v="31959.139430497853"/>
  </r>
  <r>
    <x v="9"/>
    <x v="0"/>
    <x v="2"/>
    <n v="1022705.1142750654"/>
  </r>
  <r>
    <x v="10"/>
    <x v="0"/>
    <x v="2"/>
    <n v="1117549.622505489"/>
  </r>
  <r>
    <x v="11"/>
    <x v="0"/>
    <x v="2"/>
    <n v="710657.73610137182"/>
  </r>
  <r>
    <x v="12"/>
    <x v="0"/>
    <x v="2"/>
    <n v="155048.1400412348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68103.5195071232"/>
  </r>
  <r>
    <x v="1"/>
    <x v="1"/>
    <x v="2"/>
    <n v="68461.408127480128"/>
  </r>
  <r>
    <x v="2"/>
    <x v="1"/>
    <x v="2"/>
    <n v="115050.74976069485"/>
  </r>
  <r>
    <x v="3"/>
    <x v="1"/>
    <x v="2"/>
    <n v="8259662.159688036"/>
  </r>
  <r>
    <x v="4"/>
    <x v="1"/>
    <x v="2"/>
    <n v="67896.085122154822"/>
  </r>
  <r>
    <x v="5"/>
    <x v="1"/>
    <x v="2"/>
    <n v="531883.75371629221"/>
  </r>
  <r>
    <x v="6"/>
    <x v="1"/>
    <x v="2"/>
    <n v="1557006.906908574"/>
  </r>
  <r>
    <x v="7"/>
    <x v="1"/>
    <x v="2"/>
    <n v="1806784.2396676533"/>
  </r>
  <r>
    <x v="8"/>
    <x v="1"/>
    <x v="2"/>
    <n v="10073.206306368047"/>
  </r>
  <r>
    <x v="9"/>
    <x v="1"/>
    <x v="2"/>
    <n v="311324.13276481908"/>
  </r>
  <r>
    <x v="10"/>
    <x v="1"/>
    <x v="2"/>
    <n v="354294.27163502085"/>
  </r>
  <r>
    <x v="11"/>
    <x v="1"/>
    <x v="2"/>
    <n v="218355.83887788613"/>
  </r>
  <r>
    <x v="12"/>
    <x v="1"/>
    <x v="2"/>
    <n v="43487.48756977138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90755.6925145041"/>
  </r>
  <r>
    <x v="0"/>
    <x v="2"/>
    <x v="2"/>
    <s v="JB1-10"/>
    <n v="591379.905315643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5280.30748549581"/>
  </r>
  <r>
    <x v="1"/>
    <x v="2"/>
    <x v="2"/>
    <s v="JB1-10"/>
    <n v="144120.0946843561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3567349.858292963"/>
  </r>
  <r>
    <x v="1"/>
    <s v="Vestdanmark"/>
    <x v="15"/>
    <x v="1"/>
    <n v="11685147.040202204"/>
  </r>
  <r>
    <x v="1"/>
    <s v="Vestdanmark"/>
    <x v="16"/>
    <x v="1"/>
    <n v="7508.4535219909349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6224.531227026811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2989062.590821605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5417.775626022732"/>
  </r>
  <r>
    <x v="1"/>
    <s v="Vestdanmark"/>
    <x v="0"/>
    <x v="2"/>
    <n v="2890.4979416445458"/>
  </r>
  <r>
    <x v="1"/>
    <s v="Vestdanmark"/>
    <x v="23"/>
    <x v="2"/>
    <n v="66543.89398922697"/>
  </r>
  <r>
    <x v="1"/>
    <s v="Vestdanmark"/>
    <x v="24"/>
    <x v="2"/>
    <n v="253140.58627511252"/>
  </r>
  <r>
    <x v="1"/>
    <s v="Vestdanmark"/>
    <x v="25"/>
    <x v="2"/>
    <n v="21730.21113968651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965869.8542385614"/>
  </r>
  <r>
    <x v="1"/>
    <s v="Østdanmark"/>
    <x v="15"/>
    <x v="1"/>
    <n v="830510.25539958803"/>
  </r>
  <r>
    <x v="1"/>
    <s v="Østdanmark"/>
    <x v="16"/>
    <x v="1"/>
    <n v="630.18173263756921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19709.468772973203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882077.6974735428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0516.224373977289"/>
  </r>
  <r>
    <x v="1"/>
    <s v="Østdanmark"/>
    <x v="0"/>
    <x v="2"/>
    <n v="895.50205835545398"/>
  </r>
  <r>
    <x v="1"/>
    <s v="Østdanmark"/>
    <x v="23"/>
    <x v="2"/>
    <n v="19133.106010773055"/>
  </r>
  <r>
    <x v="1"/>
    <s v="Østdanmark"/>
    <x v="24"/>
    <x v="2"/>
    <n v="76885.413724887418"/>
  </r>
  <r>
    <x v="1"/>
    <s v="Østdanmark"/>
    <x v="25"/>
    <x v="2"/>
    <n v="6914.788860313484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718311.2555674212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1792000.0223123315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718311.2555674212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1792000.0223123315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01872.0730281085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219952.13522212644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01872.0730281084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219952.13522212638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409958.4975683726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416.423433774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849.8034580990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0375.18499359523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113.13697101502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52.8242901740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211417.9819934666"/>
  </r>
  <r>
    <x v="3"/>
    <s v="Vestdanmark"/>
    <x v="34"/>
    <x v="2"/>
    <n v="117909.49204158342"/>
  </r>
  <r>
    <x v="3"/>
    <s v="Vestdanmark"/>
    <x v="35"/>
    <x v="2"/>
    <n v="155048.14004123484"/>
  </r>
  <r>
    <x v="3"/>
    <s v="Vestdanmark"/>
    <x v="36"/>
    <x v="2"/>
    <n v="2272415.046904795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10655.350045266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39794.07763228088"/>
  </r>
  <r>
    <x v="3"/>
    <s v="Østdanmark"/>
    <x v="34"/>
    <x v="2"/>
    <n v="36816.239923422349"/>
  </r>
  <r>
    <x v="3"/>
    <s v="Østdanmark"/>
    <x v="35"/>
    <x v="2"/>
    <n v="43487.487569771387"/>
  </r>
  <r>
    <x v="3"/>
    <s v="Østdanmark"/>
    <x v="36"/>
    <x v="2"/>
    <n v="628553.38840354723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6678.5973164387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507483.3175881065"/>
  </r>
  <r>
    <x v="5"/>
    <s v="Vestdanmark"/>
    <x v="15"/>
    <x v="1"/>
    <n v="1298349.6711335778"/>
  </r>
  <r>
    <x v="5"/>
    <s v="Vestdanmark"/>
    <x v="16"/>
    <x v="1"/>
    <n v="834.27261355454812"/>
  </r>
  <r>
    <x v="5"/>
    <s v="Vestdanmark"/>
    <x v="20"/>
    <x v="1"/>
    <n v="502160.95849399589"/>
  </r>
  <r>
    <x v="5"/>
    <s v="Vestdanmark"/>
    <x v="38"/>
    <x v="1"/>
    <n v="24535385.043044623"/>
  </r>
  <r>
    <x v="5"/>
    <s v="Vestdanmark"/>
    <x v="39"/>
    <x v="1"/>
    <n v="508128.5927608643"/>
  </r>
  <r>
    <x v="5"/>
    <s v="Vestdanmark"/>
    <x v="14"/>
    <x v="2"/>
    <n v="1443229.1767579557"/>
  </r>
  <r>
    <x v="5"/>
    <s v="Vestdanmark"/>
    <x v="15"/>
    <x v="2"/>
    <n v="1273540.6502549821"/>
  </r>
  <r>
    <x v="5"/>
    <s v="Vestdanmark"/>
    <x v="16"/>
    <x v="2"/>
    <n v="861.55317224824194"/>
  </r>
  <r>
    <x v="5"/>
    <s v="Vestdanmark"/>
    <x v="20"/>
    <x v="2"/>
    <n v="525831.49845533748"/>
  </r>
  <r>
    <x v="5"/>
    <s v="Vestdanmark"/>
    <x v="38"/>
    <x v="2"/>
    <n v="23797437.054137114"/>
  </r>
  <r>
    <x v="5"/>
    <s v="Vestdanmark"/>
    <x v="39"/>
    <x v="2"/>
    <n v="426682.8951442636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218429.98380428454"/>
  </r>
  <r>
    <x v="5"/>
    <s v="Østdanmark"/>
    <x v="15"/>
    <x v="1"/>
    <n v="92278.917266620876"/>
  </r>
  <r>
    <x v="5"/>
    <s v="Østdanmark"/>
    <x v="16"/>
    <x v="1"/>
    <n v="70.020192515285444"/>
  </r>
  <r>
    <x v="5"/>
    <s v="Østdanmark"/>
    <x v="20"/>
    <x v="1"/>
    <n v="67774.717172805787"/>
  </r>
  <r>
    <x v="5"/>
    <s v="Østdanmark"/>
    <x v="38"/>
    <x v="1"/>
    <n v="3986542.8719658842"/>
  </r>
  <r>
    <x v="5"/>
    <s v="Østdanmark"/>
    <x v="39"/>
    <x v="1"/>
    <n v="324351.05894135404"/>
  </r>
  <r>
    <x v="5"/>
    <s v="Østdanmark"/>
    <x v="14"/>
    <x v="2"/>
    <n v="209119.74416372692"/>
  </r>
  <r>
    <x v="5"/>
    <s v="Østdanmark"/>
    <x v="15"/>
    <x v="2"/>
    <n v="90515.640673249072"/>
  </r>
  <r>
    <x v="5"/>
    <s v="Østdanmark"/>
    <x v="16"/>
    <x v="2"/>
    <n v="72.309839736855295"/>
  </r>
  <r>
    <x v="5"/>
    <s v="Østdanmark"/>
    <x v="20"/>
    <x v="2"/>
    <n v="71371.713113742837"/>
  </r>
  <r>
    <x v="5"/>
    <s v="Østdanmark"/>
    <x v="38"/>
    <x v="2"/>
    <n v="3939872.1411374575"/>
  </r>
  <r>
    <x v="5"/>
    <s v="Østdanmark"/>
    <x v="39"/>
    <x v="2"/>
    <n v="309821.80557108345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370490.27594297461"/>
  </r>
  <r>
    <x v="7"/>
    <s v="Vestdanmark"/>
    <x v="40"/>
    <x v="2"/>
    <n v="368467.16262994817"/>
  </r>
  <r>
    <x v="7"/>
    <s v="Østdanmark"/>
    <x v="40"/>
    <x v="0"/>
    <n v="193574.13238370849"/>
  </r>
  <r>
    <x v="7"/>
    <s v="Østdanmark"/>
    <x v="40"/>
    <x v="1"/>
    <n v="111531.10220983687"/>
  </r>
  <r>
    <x v="7"/>
    <s v="Østdanmark"/>
    <x v="40"/>
    <x v="2"/>
    <n v="115050.7497606948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3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27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24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2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3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C2" sqref="C2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272</v>
      </c>
      <c r="B1" s="419"/>
      <c r="D1" s="75" t="s">
        <v>285</v>
      </c>
    </row>
    <row r="2" spans="1:6" x14ac:dyDescent="0.25">
      <c r="A2" s="6" t="s">
        <v>0</v>
      </c>
      <c r="B2" s="222" t="s">
        <v>269</v>
      </c>
    </row>
    <row r="4" spans="1:6" ht="30" customHeight="1" thickBot="1" x14ac:dyDescent="0.3">
      <c r="A4" s="418" t="s">
        <v>271</v>
      </c>
      <c r="B4" s="418"/>
      <c r="D4" s="75"/>
    </row>
    <row r="5" spans="1:6" ht="15.75" thickTop="1" x14ac:dyDescent="0.25">
      <c r="A5" s="254" t="s">
        <v>85</v>
      </c>
      <c r="B5" s="253" t="s">
        <v>305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306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/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18" ht="15.75" x14ac:dyDescent="0.25">
      <c r="P34" s="340" t="s">
        <v>93</v>
      </c>
      <c r="Q34" s="340" t="s">
        <v>336</v>
      </c>
      <c r="R34" s="340" t="s">
        <v>337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11404364.973939046</v>
      </c>
      <c r="R37" s="342">
        <f t="shared" ref="R37:R38" si="0">1-Q37/$Q$35</f>
        <v>0.42978175130304763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8803377.2675873023</v>
      </c>
      <c r="R38" s="342">
        <f t="shared" si="0"/>
        <v>0.55983113662063488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338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309</v>
      </c>
    </row>
    <row r="55" spans="1:1" x14ac:dyDescent="0.25">
      <c r="A55" s="389" t="s">
        <v>310</v>
      </c>
    </row>
    <row r="56" spans="1:1" x14ac:dyDescent="0.25">
      <c r="A56" s="364" t="s">
        <v>313</v>
      </c>
    </row>
    <row r="57" spans="1:1" x14ac:dyDescent="0.25">
      <c r="A57" s="349" t="s">
        <v>315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335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274</v>
      </c>
      <c r="B1" s="75" t="s">
        <v>300</v>
      </c>
    </row>
    <row r="2" spans="1:18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269</v>
      </c>
      <c r="C5" s="9">
        <f>5600*(C2-År1)</f>
        <v>61600</v>
      </c>
      <c r="D5" s="9">
        <f>5600*(D2-År1)</f>
        <v>173600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2338336</v>
      </c>
      <c r="N6" s="18">
        <f t="shared" si="1"/>
        <v>93002</v>
      </c>
      <c r="O6" s="18">
        <f t="shared" si="1"/>
        <v>70732</v>
      </c>
      <c r="P6" s="18">
        <f t="shared" si="1"/>
        <v>2226336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624010</v>
      </c>
      <c r="N7" s="18">
        <f t="shared" si="2"/>
        <v>0</v>
      </c>
      <c r="O7" s="18">
        <f t="shared" si="2"/>
        <v>0</v>
      </c>
      <c r="P7" s="18">
        <f t="shared" si="2"/>
        <v>736010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1800398.2131878724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1703165.6205952798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488542.44754899049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585775.04014158307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537937.78681212745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523170.37940472004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135467.55245100948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150234.95985841687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947114.41689910984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947114.41689910972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5" zoomScale="85" zoomScaleNormal="85" workbookViewId="0">
      <selection activeCell="D28" sqref="D28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24" t="s">
        <v>326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29217.064803275287</v>
      </c>
      <c r="E24" s="10">
        <f>E22*Arealanvendelse!Q6-C22*Arealanvendelse!Q6</f>
        <v>29217.064803275287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45538.812624915103</v>
      </c>
      <c r="E28" s="231">
        <f>SUM(E24:E25)</f>
        <v>45538.812624915103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325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397143.74800807948</v>
      </c>
      <c r="E47" s="115" cm="1">
        <f t="array" ref="E47">SUMPRODUCT((E32:E45&gt;$C$32:$C$45)*(E32:E45-$C$32:$C$45))*Arealanvendelse!P6</f>
        <v>378121.63152143906</v>
      </c>
      <c r="K47" s="12"/>
    </row>
    <row r="48" spans="2:11" x14ac:dyDescent="0.25">
      <c r="B48" s="25" t="s">
        <v>241</v>
      </c>
      <c r="C48" s="109"/>
      <c r="D48" s="115">
        <f>1%*Arealanvendelse!M6</f>
        <v>23383.360000000001</v>
      </c>
      <c r="E48" s="115">
        <f>1%*Arealanvendelse!P6</f>
        <v>22263.360000000001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7" sqref="D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317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0.38900000000000001</v>
      </c>
      <c r="E3" s="311">
        <f>D3</f>
        <v>0.38900000000000001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2.0629999999999999E-2</v>
      </c>
      <c r="E7" s="311">
        <f t="shared" si="0"/>
        <v>2.0629999999999999E-2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319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1</v>
      </c>
      <c r="D14" s="8">
        <v>1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69790.927092835627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69582.668854213465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13580.575614963827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13341.351734677091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7026.2179038229688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68857.677082357332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1373.0001554990661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13298.387163922296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68078.851399946827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13247.278233374929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6804.8191219880782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1329.736401649187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329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76817.144996658593</v>
      </c>
      <c r="D51" s="109">
        <f t="shared" ca="1" si="0"/>
        <v>213324.01645850571</v>
      </c>
      <c r="E51" s="109">
        <f t="shared" ca="1" si="0"/>
        <v>0</v>
      </c>
      <c r="F51" s="109">
        <f t="shared" ca="1" si="0"/>
        <v>14953.575770462894</v>
      </c>
      <c r="G51" s="109">
        <f t="shared" ca="1" si="0"/>
        <v>41216.753533623501</v>
      </c>
      <c r="H51" s="109">
        <f t="shared" ca="1" si="2"/>
        <v>0</v>
      </c>
      <c r="I51" s="109">
        <f t="shared" ca="1" si="1"/>
        <v>91770.720767121486</v>
      </c>
      <c r="J51" s="109">
        <f t="shared" ca="1" si="1"/>
        <v>254540.76999212921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330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D1" sqref="D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332</v>
      </c>
      <c r="E1" s="168" t="s">
        <v>331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2175.3226081153261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7036.952237744953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2164.4459950746968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7026.0756247043237</v>
      </c>
      <c r="G65" s="168">
        <f ca="1">IF($C65-G$1&lt;År1,0,F64*(1-VLOOKUP($A65,[1]Hugst!$R$5:$W$9,MATCH(ROUNDUP((G$1)/10,0)*10,[1]Hugst!$R$4:$W$4,0))))</f>
        <v>7036.952237744953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2153.6237650993862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7015.2533947290131</v>
      </c>
      <c r="G66" s="168">
        <f ca="1">IF($C66-G$1&lt;År1,0,F65*(1-VLOOKUP($A66,[1]Hugst!$R$5:$W$9,MATCH(ROUNDUP((G$1)/10,0)*10,[1]Hugst!$R$4:$W$4,0))))</f>
        <v>7026.0756247043237</v>
      </c>
      <c r="H66" s="168">
        <f ca="1">IF($C66-H$1&lt;År1,0,G65*(1-VLOOKUP($A66,[1]Hugst!$R$5:$W$9,MATCH(ROUNDUP((H$1)/10,0)*10,[1]Hugst!$R$4:$W$4,0))))</f>
        <v>7036.952237744953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2142.8556462738779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7004.4852759035048</v>
      </c>
      <c r="G67" s="168">
        <f ca="1">IF($C67-G$1&lt;År1,0,F66*(1-VLOOKUP($A67,[1]Hugst!$R$5:$W$9,MATCH(ROUNDUP((G$1)/10,0)*10,[1]Hugst!$R$4:$W$4,0))))</f>
        <v>7015.2533947290131</v>
      </c>
      <c r="H67" s="168">
        <f ca="1">IF($C67-H$1&lt;År1,0,G66*(1-VLOOKUP($A67,[1]Hugst!$R$5:$W$9,MATCH(ROUNDUP((H$1)/10,0)*10,[1]Hugst!$R$4:$W$4,0))))</f>
        <v>7026.0756247043237</v>
      </c>
      <c r="I67" s="168">
        <f ca="1">IF($C67-I$1&lt;År1,0,H66*(1-VLOOKUP($A67,[1]Hugst!$R$5:$W$9,MATCH(ROUNDUP((I$1)/10,0)*10,[1]Hugst!$R$4:$W$4,0))))</f>
        <v>7036.952237744953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2132.141368042503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6993.7709976721299</v>
      </c>
      <c r="G68" s="168">
        <f ca="1">IF($C68-G$1&lt;År1,0,F67*(1-VLOOKUP($A68,[1]Hugst!$R$5:$W$9,MATCH(ROUNDUP((G$1)/10,0)*10,[1]Hugst!$R$4:$W$4,0))))</f>
        <v>7004.4852759035048</v>
      </c>
      <c r="H68" s="168">
        <f ca="1">IF($C68-H$1&lt;År1,0,G67*(1-VLOOKUP($A68,[1]Hugst!$R$5:$W$9,MATCH(ROUNDUP((H$1)/10,0)*10,[1]Hugst!$R$4:$W$4,0))))</f>
        <v>7015.2533947290131</v>
      </c>
      <c r="I68" s="168">
        <f ca="1">IF($C68-I$1&lt;År1,0,H67*(1-VLOOKUP($A68,[1]Hugst!$R$5:$W$9,MATCH(ROUNDUP((I$1)/10,0)*10,[1]Hugst!$R$4:$W$4,0))))</f>
        <v>7026.0756247043237</v>
      </c>
      <c r="J68" s="168">
        <f ca="1">IF($C68-J$1&lt;År1,0,I67*(1-VLOOKUP($A68,[1]Hugst!$R$5:$W$9,MATCH(ROUNDUP((J$1)/10,0)*10,[1]Hugst!$R$4:$W$4,0))))</f>
        <v>7036.952237744953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2121.4806612022803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6983.1102908319072</v>
      </c>
      <c r="G69" s="168">
        <f ca="1">IF($C69-G$1&lt;År1,0,F68*(1-VLOOKUP($A69,[1]Hugst!$R$5:$W$9,MATCH(ROUNDUP((G$1)/10,0)*10,[1]Hugst!$R$4:$W$4,0))))</f>
        <v>6993.7709976721299</v>
      </c>
      <c r="H69" s="168">
        <f ca="1">IF($C69-H$1&lt;År1,0,G68*(1-VLOOKUP($A69,[1]Hugst!$R$5:$W$9,MATCH(ROUNDUP((H$1)/10,0)*10,[1]Hugst!$R$4:$W$4,0))))</f>
        <v>7004.4852759035048</v>
      </c>
      <c r="I69" s="168">
        <f ca="1">IF($C69-I$1&lt;År1,0,H68*(1-VLOOKUP($A69,[1]Hugst!$R$5:$W$9,MATCH(ROUNDUP((I$1)/10,0)*10,[1]Hugst!$R$4:$W$4,0))))</f>
        <v>7015.2533947290131</v>
      </c>
      <c r="J69" s="168">
        <f ca="1">IF($C69-J$1&lt;År1,0,I68*(1-VLOOKUP($A69,[1]Hugst!$R$5:$W$9,MATCH(ROUNDUP((J$1)/10,0)*10,[1]Hugst!$R$4:$W$4,0))))</f>
        <v>7026.0756247043237</v>
      </c>
      <c r="K69" s="168">
        <f ca="1">IF($C69-K$1&lt;År1,0,J68*(1-VLOOKUP($A69,[1]Hugst!$R$5:$W$9,MATCH(ROUNDUP((K$1)/10,0)*10,[1]Hugst!$R$4:$W$4,0))))</f>
        <v>7036.952237744953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2110.8732578962808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6972.5028875259077</v>
      </c>
      <c r="G70" s="168">
        <f ca="1">IF($C70-G$1&lt;År1,0,F69*(1-VLOOKUP($A70,[1]Hugst!$R$5:$W$9,MATCH(ROUNDUP((G$1)/10,0)*10,[1]Hugst!$R$4:$W$4,0))))</f>
        <v>6983.1102908319072</v>
      </c>
      <c r="H70" s="168">
        <f ca="1">IF($C70-H$1&lt;År1,0,G69*(1-VLOOKUP($A70,[1]Hugst!$R$5:$W$9,MATCH(ROUNDUP((H$1)/10,0)*10,[1]Hugst!$R$4:$W$4,0))))</f>
        <v>6993.7709976721299</v>
      </c>
      <c r="I70" s="168">
        <f ca="1">IF($C70-I$1&lt;År1,0,H69*(1-VLOOKUP($A70,[1]Hugst!$R$5:$W$9,MATCH(ROUNDUP((I$1)/10,0)*10,[1]Hugst!$R$4:$W$4,0))))</f>
        <v>7004.4852759035048</v>
      </c>
      <c r="J70" s="168">
        <f ca="1">IF($C70-J$1&lt;År1,0,I69*(1-VLOOKUP($A70,[1]Hugst!$R$5:$W$9,MATCH(ROUNDUP((J$1)/10,0)*10,[1]Hugst!$R$4:$W$4,0))))</f>
        <v>7015.2533947290131</v>
      </c>
      <c r="K70" s="168">
        <f ca="1">IF($C70-K$1&lt;År1,0,J69*(1-VLOOKUP($A70,[1]Hugst!$R$5:$W$9,MATCH(ROUNDUP((K$1)/10,0)*10,[1]Hugst!$R$4:$W$4,0))))</f>
        <v>7026.0756247043237</v>
      </c>
      <c r="L70" s="168">
        <f ca="1">IF($C70-L$1&lt;År1,0,K69*(1-VLOOKUP($A70,[1]Hugst!$R$5:$W$9,MATCH(ROUNDUP((L$1)/10,0)*10,[1]Hugst!$R$4:$W$4,0))))</f>
        <v>7036.952237744953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2100.3188916068175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6961.9485212364443</v>
      </c>
      <c r="G71" s="168">
        <f ca="1">IF($C71-G$1&lt;År1,0,F70*(1-VLOOKUP($A71,[1]Hugst!$R$5:$W$9,MATCH(ROUNDUP((G$1)/10,0)*10,[1]Hugst!$R$4:$W$4,0))))</f>
        <v>6972.5028875259077</v>
      </c>
      <c r="H71" s="168">
        <f ca="1">IF($C71-H$1&lt;År1,0,G70*(1-VLOOKUP($A71,[1]Hugst!$R$5:$W$9,MATCH(ROUNDUP((H$1)/10,0)*10,[1]Hugst!$R$4:$W$4,0))))</f>
        <v>6983.1102908319072</v>
      </c>
      <c r="I71" s="168">
        <f ca="1">IF($C71-I$1&lt;År1,0,H70*(1-VLOOKUP($A71,[1]Hugst!$R$5:$W$9,MATCH(ROUNDUP((I$1)/10,0)*10,[1]Hugst!$R$4:$W$4,0))))</f>
        <v>6993.7709976721299</v>
      </c>
      <c r="J71" s="168">
        <f ca="1">IF($C71-J$1&lt;År1,0,I70*(1-VLOOKUP($A71,[1]Hugst!$R$5:$W$9,MATCH(ROUNDUP((J$1)/10,0)*10,[1]Hugst!$R$4:$W$4,0))))</f>
        <v>7004.4852759035048</v>
      </c>
      <c r="K71" s="168">
        <f ca="1">IF($C71-K$1&lt;År1,0,J70*(1-VLOOKUP($A71,[1]Hugst!$R$5:$W$9,MATCH(ROUNDUP((K$1)/10,0)*10,[1]Hugst!$R$4:$W$4,0))))</f>
        <v>7015.2533947290131</v>
      </c>
      <c r="L71" s="168">
        <f ca="1">IF($C71-L$1&lt;År1,0,K70*(1-VLOOKUP($A71,[1]Hugst!$R$5:$W$9,MATCH(ROUNDUP((L$1)/10,0)*10,[1]Hugst!$R$4:$W$4,0))))</f>
        <v>7026.0756247043237</v>
      </c>
      <c r="M71" s="168">
        <f ca="1">IF($C71-M$1&lt;År1,0,L70*(1-VLOOKUP($A71,[1]Hugst!$R$5:$W$9,MATCH(ROUNDUP((M$1)/10,0)*10,[1]Hugst!$R$4:$W$4,0))))</f>
        <v>7036.952237744953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2089.8172971488093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6951.4469267784361</v>
      </c>
      <c r="G72" s="168">
        <f ca="1">IF($C72-G$1&lt;År1,0,F71*(1-VLOOKUP($A72,[1]Hugst!$R$5:$W$9,MATCH(ROUNDUP((G$1)/10,0)*10,[1]Hugst!$R$4:$W$4,0))))</f>
        <v>6961.9485212364443</v>
      </c>
      <c r="H72" s="168">
        <f ca="1">IF($C72-H$1&lt;År1,0,G71*(1-VLOOKUP($A72,[1]Hugst!$R$5:$W$9,MATCH(ROUNDUP((H$1)/10,0)*10,[1]Hugst!$R$4:$W$4,0))))</f>
        <v>6972.5028875259077</v>
      </c>
      <c r="I72" s="168">
        <f ca="1">IF($C72-I$1&lt;År1,0,H71*(1-VLOOKUP($A72,[1]Hugst!$R$5:$W$9,MATCH(ROUNDUP((I$1)/10,0)*10,[1]Hugst!$R$4:$W$4,0))))</f>
        <v>6983.1102908319072</v>
      </c>
      <c r="J72" s="168">
        <f ca="1">IF($C72-J$1&lt;År1,0,I71*(1-VLOOKUP($A72,[1]Hugst!$R$5:$W$9,MATCH(ROUNDUP((J$1)/10,0)*10,[1]Hugst!$R$4:$W$4,0))))</f>
        <v>6993.7709976721299</v>
      </c>
      <c r="K72" s="168">
        <f ca="1">IF($C72-K$1&lt;År1,0,J71*(1-VLOOKUP($A72,[1]Hugst!$R$5:$W$9,MATCH(ROUNDUP((K$1)/10,0)*10,[1]Hugst!$R$4:$W$4,0))))</f>
        <v>7004.4852759035048</v>
      </c>
      <c r="L72" s="168">
        <f ca="1">IF($C72-L$1&lt;År1,0,K71*(1-VLOOKUP($A72,[1]Hugst!$R$5:$W$9,MATCH(ROUNDUP((L$1)/10,0)*10,[1]Hugst!$R$4:$W$4,0))))</f>
        <v>7015.2533947290131</v>
      </c>
      <c r="M72" s="168">
        <f ca="1">IF($C72-M$1&lt;År1,0,L71*(1-VLOOKUP($A72,[1]Hugst!$R$5:$W$9,MATCH(ROUNDUP((M$1)/10,0)*10,[1]Hugst!$R$4:$W$4,0))))</f>
        <v>7026.0756247043237</v>
      </c>
      <c r="N72" s="168">
        <f ca="1">IF($C72-N$1&lt;År1,0,M71*(1-VLOOKUP($A72,[1]Hugst!$R$5:$W$9,MATCH(ROUNDUP((N$1)/10,0)*10,[1]Hugst!$R$4:$W$4,0))))</f>
        <v>7036.952237744953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2079.3682106629713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6940.9978402925981</v>
      </c>
      <c r="G73" s="168">
        <f ca="1">IF($C73-G$1&lt;År1,0,F72*(1-VLOOKUP($A73,[1]Hugst!$R$5:$W$9,MATCH(ROUNDUP((G$1)/10,0)*10,[1]Hugst!$R$4:$W$4,0))))</f>
        <v>6951.4469267784361</v>
      </c>
      <c r="H73" s="168">
        <f ca="1">IF($C73-H$1&lt;År1,0,G72*(1-VLOOKUP($A73,[1]Hugst!$R$5:$W$9,MATCH(ROUNDUP((H$1)/10,0)*10,[1]Hugst!$R$4:$W$4,0))))</f>
        <v>6961.9485212364443</v>
      </c>
      <c r="I73" s="168">
        <f ca="1">IF($C73-I$1&lt;År1,0,H72*(1-VLOOKUP($A73,[1]Hugst!$R$5:$W$9,MATCH(ROUNDUP((I$1)/10,0)*10,[1]Hugst!$R$4:$W$4,0))))</f>
        <v>6972.5028875259077</v>
      </c>
      <c r="J73" s="168">
        <f ca="1">IF($C73-J$1&lt;År1,0,I72*(1-VLOOKUP($A73,[1]Hugst!$R$5:$W$9,MATCH(ROUNDUP((J$1)/10,0)*10,[1]Hugst!$R$4:$W$4,0))))</f>
        <v>6983.1102908319072</v>
      </c>
      <c r="K73" s="168">
        <f ca="1">IF($C73-K$1&lt;År1,0,J72*(1-VLOOKUP($A73,[1]Hugst!$R$5:$W$9,MATCH(ROUNDUP((K$1)/10,0)*10,[1]Hugst!$R$4:$W$4,0))))</f>
        <v>6993.7709976721299</v>
      </c>
      <c r="L73" s="168">
        <f ca="1">IF($C73-L$1&lt;År1,0,K72*(1-VLOOKUP($A73,[1]Hugst!$R$5:$W$9,MATCH(ROUNDUP((L$1)/10,0)*10,[1]Hugst!$R$4:$W$4,0))))</f>
        <v>7004.4852759035048</v>
      </c>
      <c r="M73" s="168">
        <f ca="1">IF($C73-M$1&lt;År1,0,L72*(1-VLOOKUP($A73,[1]Hugst!$R$5:$W$9,MATCH(ROUNDUP((M$1)/10,0)*10,[1]Hugst!$R$4:$W$4,0))))</f>
        <v>7015.2533947290131</v>
      </c>
      <c r="N73" s="168">
        <f ca="1">IF($C73-N$1&lt;År1,0,M72*(1-VLOOKUP($A73,[1]Hugst!$R$5:$W$9,MATCH(ROUNDUP((N$1)/10,0)*10,[1]Hugst!$R$4:$W$4,0))))</f>
        <v>7026.0756247043237</v>
      </c>
      <c r="O73" s="168">
        <f ca="1">IF($C73-O$1&lt;År1,0,N72*(1-VLOOKUP($A73,[1]Hugst!$R$5:$W$9,MATCH(ROUNDUP((O$1)/10,0)*10,[1]Hugst!$R$4:$W$4,0))))</f>
        <v>7036.952237744953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2068.9713696097606</v>
      </c>
      <c r="E74" s="168">
        <f t="shared" ca="1" si="1"/>
        <v>10.734333921980578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6941.335333161368</v>
      </c>
      <c r="G74" s="168">
        <f ca="1">IF($C74-G$1&lt;År1,0,F73*(1-VLOOKUP($A74,[1]Hugst!$R$5:$W$9,MATCH(ROUNDUP((G$1)/10,0)*10,[1]Hugst!$R$4:$W$4,0))))</f>
        <v>6940.9978402925981</v>
      </c>
      <c r="H74" s="168">
        <f ca="1">IF($C74-H$1&lt;År1,0,G73*(1-VLOOKUP($A74,[1]Hugst!$R$5:$W$9,MATCH(ROUNDUP((H$1)/10,0)*10,[1]Hugst!$R$4:$W$4,0))))</f>
        <v>6951.4469267784361</v>
      </c>
      <c r="I74" s="168">
        <f ca="1">IF($C74-I$1&lt;År1,0,H73*(1-VLOOKUP($A74,[1]Hugst!$R$5:$W$9,MATCH(ROUNDUP((I$1)/10,0)*10,[1]Hugst!$R$4:$W$4,0))))</f>
        <v>6961.9485212364443</v>
      </c>
      <c r="J74" s="168">
        <f ca="1">IF($C74-J$1&lt;År1,0,I73*(1-VLOOKUP($A74,[1]Hugst!$R$5:$W$9,MATCH(ROUNDUP((J$1)/10,0)*10,[1]Hugst!$R$4:$W$4,0))))</f>
        <v>6972.5028875259077</v>
      </c>
      <c r="K74" s="168">
        <f ca="1">IF($C74-K$1&lt;År1,0,J73*(1-VLOOKUP($A74,[1]Hugst!$R$5:$W$9,MATCH(ROUNDUP((K$1)/10,0)*10,[1]Hugst!$R$4:$W$4,0))))</f>
        <v>6983.1102908319072</v>
      </c>
      <c r="L74" s="168">
        <f ca="1">IF($C74-L$1&lt;År1,0,K73*(1-VLOOKUP($A74,[1]Hugst!$R$5:$W$9,MATCH(ROUNDUP((L$1)/10,0)*10,[1]Hugst!$R$4:$W$4,0))))</f>
        <v>6993.7709976721299</v>
      </c>
      <c r="M74" s="168">
        <f ca="1">IF($C74-M$1&lt;År1,0,L73*(1-VLOOKUP($A74,[1]Hugst!$R$5:$W$9,MATCH(ROUNDUP((M$1)/10,0)*10,[1]Hugst!$R$4:$W$4,0))))</f>
        <v>7004.4852759035048</v>
      </c>
      <c r="N74" s="168">
        <f ca="1">IF($C74-N$1&lt;År1,0,M73*(1-VLOOKUP($A74,[1]Hugst!$R$5:$W$9,MATCH(ROUNDUP((N$1)/10,0)*10,[1]Hugst!$R$4:$W$4,0))))</f>
        <v>7015.2533947290131</v>
      </c>
      <c r="O74" s="168">
        <f ca="1">IF($C74-O$1&lt;År1,0,N73*(1-VLOOKUP($A74,[1]Hugst!$R$5:$W$9,MATCH(ROUNDUP((O$1)/10,0)*10,[1]Hugst!$R$4:$W$4,0))))</f>
        <v>7026.0756247043237</v>
      </c>
      <c r="P74" s="168">
        <f ca="1">IF($C74-P$1&lt;År1,0,O73*(1-VLOOKUP($A74,[1]Hugst!$R$5:$W$9,MATCH(ROUNDUP((P$1)/10,0)*10,[1]Hugst!$R$4:$W$4,0))))</f>
        <v>7026.2179038229688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2058.626512761577</v>
      </c>
      <c r="E75" s="168">
        <f t="shared" ca="1" si="1"/>
        <v>21.435701992668328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6941.6918443838749</v>
      </c>
      <c r="G75" s="168">
        <f ca="1">IF($C75-G$1&lt;År1,0,F74*(1-VLOOKUP($A75,[1]Hugst!$R$5:$W$9,MATCH(ROUNDUP((G$1)/10,0)*10,[1]Hugst!$R$4:$W$4,0))))</f>
        <v>6941.335333161368</v>
      </c>
      <c r="H75" s="168">
        <f ca="1">IF($C75-H$1&lt;År1,0,G74*(1-VLOOKUP($A75,[1]Hugst!$R$5:$W$9,MATCH(ROUNDUP((H$1)/10,0)*10,[1]Hugst!$R$4:$W$4,0))))</f>
        <v>6940.9978402925981</v>
      </c>
      <c r="I75" s="168">
        <f ca="1">IF($C75-I$1&lt;År1,0,H74*(1-VLOOKUP($A75,[1]Hugst!$R$5:$W$9,MATCH(ROUNDUP((I$1)/10,0)*10,[1]Hugst!$R$4:$W$4,0))))</f>
        <v>6951.4469267784361</v>
      </c>
      <c r="J75" s="168">
        <f ca="1">IF($C75-J$1&lt;År1,0,I74*(1-VLOOKUP($A75,[1]Hugst!$R$5:$W$9,MATCH(ROUNDUP((J$1)/10,0)*10,[1]Hugst!$R$4:$W$4,0))))</f>
        <v>6961.9485212364443</v>
      </c>
      <c r="K75" s="168">
        <f ca="1">IF($C75-K$1&lt;År1,0,J74*(1-VLOOKUP($A75,[1]Hugst!$R$5:$W$9,MATCH(ROUNDUP((K$1)/10,0)*10,[1]Hugst!$R$4:$W$4,0))))</f>
        <v>6972.5028875259077</v>
      </c>
      <c r="L75" s="168">
        <f ca="1">IF($C75-L$1&lt;År1,0,K74*(1-VLOOKUP($A75,[1]Hugst!$R$5:$W$9,MATCH(ROUNDUP((L$1)/10,0)*10,[1]Hugst!$R$4:$W$4,0))))</f>
        <v>6983.1102908319072</v>
      </c>
      <c r="M75" s="168">
        <f ca="1">IF($C75-M$1&lt;År1,0,L74*(1-VLOOKUP($A75,[1]Hugst!$R$5:$W$9,MATCH(ROUNDUP((M$1)/10,0)*10,[1]Hugst!$R$4:$W$4,0))))</f>
        <v>6993.7709976721299</v>
      </c>
      <c r="N75" s="168">
        <f ca="1">IF($C75-N$1&lt;År1,0,M74*(1-VLOOKUP($A75,[1]Hugst!$R$5:$W$9,MATCH(ROUNDUP((N$1)/10,0)*10,[1]Hugst!$R$4:$W$4,0))))</f>
        <v>7004.4852759035048</v>
      </c>
      <c r="O75" s="168">
        <f ca="1">IF($C75-O$1&lt;År1,0,N74*(1-VLOOKUP($A75,[1]Hugst!$R$5:$W$9,MATCH(ROUNDUP((O$1)/10,0)*10,[1]Hugst!$R$4:$W$4,0))))</f>
        <v>7015.2533947290131</v>
      </c>
      <c r="P75" s="168">
        <f ca="1">IF($C75-P$1&lt;År1,0,O74*(1-VLOOKUP($A75,[1]Hugst!$R$5:$W$9,MATCH(ROUNDUP((P$1)/10,0)*10,[1]Hugst!$R$4:$W$4,0))))</f>
        <v>7015.3578822259606</v>
      </c>
      <c r="Q75" s="168">
        <f ca="1">IF($C75-Q$1&lt;År1,0,P74*(1-VLOOKUP($A75,[1]Hugst!$R$5:$W$9,MATCH(ROUNDUP((Q$1)/10,0)*10,[1]Hugst!$R$4:$W$4,0))))</f>
        <v>7015.4999443086626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2048.3333801978733</v>
      </c>
      <c r="E76" s="168">
        <f t="shared" ca="1" si="1"/>
        <v>32.10423745616572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6942.0672472836686</v>
      </c>
      <c r="G76" s="168">
        <f ca="1">IF($C76-G$1&lt;År1,0,F75*(1-VLOOKUP($A76,[1]Hugst!$R$5:$W$9,MATCH(ROUNDUP((G$1)/10,0)*10,[1]Hugst!$R$4:$W$4,0))))</f>
        <v>6941.6918443838749</v>
      </c>
      <c r="H76" s="168">
        <f ca="1">IF($C76-H$1&lt;År1,0,G75*(1-VLOOKUP($A76,[1]Hugst!$R$5:$W$9,MATCH(ROUNDUP((H$1)/10,0)*10,[1]Hugst!$R$4:$W$4,0))))</f>
        <v>6941.335333161368</v>
      </c>
      <c r="I76" s="168">
        <f ca="1">IF($C76-I$1&lt;År1,0,H75*(1-VLOOKUP($A76,[1]Hugst!$R$5:$W$9,MATCH(ROUNDUP((I$1)/10,0)*10,[1]Hugst!$R$4:$W$4,0))))</f>
        <v>6940.9978402925981</v>
      </c>
      <c r="J76" s="168">
        <f ca="1">IF($C76-J$1&lt;År1,0,I75*(1-VLOOKUP($A76,[1]Hugst!$R$5:$W$9,MATCH(ROUNDUP((J$1)/10,0)*10,[1]Hugst!$R$4:$W$4,0))))</f>
        <v>6951.4469267784361</v>
      </c>
      <c r="K76" s="168">
        <f ca="1">IF($C76-K$1&lt;År1,0,J75*(1-VLOOKUP($A76,[1]Hugst!$R$5:$W$9,MATCH(ROUNDUP((K$1)/10,0)*10,[1]Hugst!$R$4:$W$4,0))))</f>
        <v>6961.9485212364443</v>
      </c>
      <c r="L76" s="168">
        <f ca="1">IF($C76-L$1&lt;År1,0,K75*(1-VLOOKUP($A76,[1]Hugst!$R$5:$W$9,MATCH(ROUNDUP((L$1)/10,0)*10,[1]Hugst!$R$4:$W$4,0))))</f>
        <v>6972.5028875259077</v>
      </c>
      <c r="M76" s="168">
        <f ca="1">IF($C76-M$1&lt;År1,0,L75*(1-VLOOKUP($A76,[1]Hugst!$R$5:$W$9,MATCH(ROUNDUP((M$1)/10,0)*10,[1]Hugst!$R$4:$W$4,0))))</f>
        <v>6983.1102908319072</v>
      </c>
      <c r="N76" s="168">
        <f ca="1">IF($C76-N$1&lt;År1,0,M75*(1-VLOOKUP($A76,[1]Hugst!$R$5:$W$9,MATCH(ROUNDUP((N$1)/10,0)*10,[1]Hugst!$R$4:$W$4,0))))</f>
        <v>6993.7709976721299</v>
      </c>
      <c r="O76" s="168">
        <f ca="1">IF($C76-O$1&lt;År1,0,N75*(1-VLOOKUP($A76,[1]Hugst!$R$5:$W$9,MATCH(ROUNDUP((O$1)/10,0)*10,[1]Hugst!$R$4:$W$4,0))))</f>
        <v>7004.4852759035048</v>
      </c>
      <c r="P76" s="168">
        <f ca="1">IF($C76-P$1&lt;År1,0,O75*(1-VLOOKUP($A76,[1]Hugst!$R$5:$W$9,MATCH(ROUNDUP((P$1)/10,0)*10,[1]Hugst!$R$4:$W$4,0))))</f>
        <v>7004.5521607370529</v>
      </c>
      <c r="Q76" s="168">
        <f ca="1">IF($C76-Q$1&lt;År1,0,P75*(1-VLOOKUP($A76,[1]Hugst!$R$5:$W$9,MATCH(ROUNDUP((Q$1)/10,0)*10,[1]Hugst!$R$4:$W$4,0))))</f>
        <v>7004.6564888462935</v>
      </c>
      <c r="R76" s="168">
        <f ca="1">IF($C76-R$1&lt;År1,0,Q75*(1-VLOOKUP($A76,[1]Hugst!$R$5:$W$9,MATCH(ROUNDUP((R$1)/10,0)*10,[1]Hugst!$R$4:$W$4,0))))</f>
        <v>7004.7983342241241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2038.0917132968316</v>
      </c>
      <c r="E77" s="168">
        <f t="shared" ca="1" si="1"/>
        <v>42.740072938526282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6942.4614158649874</v>
      </c>
      <c r="G77" s="168">
        <f ca="1">IF($C77-G$1&lt;År1,0,F76*(1-VLOOKUP($A77,[1]Hugst!$R$5:$W$9,MATCH(ROUNDUP((G$1)/10,0)*10,[1]Hugst!$R$4:$W$4,0))))</f>
        <v>6942.0672472836686</v>
      </c>
      <c r="H77" s="168">
        <f ca="1">IF($C77-H$1&lt;År1,0,G76*(1-VLOOKUP($A77,[1]Hugst!$R$5:$W$9,MATCH(ROUNDUP((H$1)/10,0)*10,[1]Hugst!$R$4:$W$4,0))))</f>
        <v>6941.6918443838749</v>
      </c>
      <c r="I77" s="168">
        <f ca="1">IF($C77-I$1&lt;År1,0,H76*(1-VLOOKUP($A77,[1]Hugst!$R$5:$W$9,MATCH(ROUNDUP((I$1)/10,0)*10,[1]Hugst!$R$4:$W$4,0))))</f>
        <v>6941.335333161368</v>
      </c>
      <c r="J77" s="168">
        <f ca="1">IF($C77-J$1&lt;År1,0,I76*(1-VLOOKUP($A77,[1]Hugst!$R$5:$W$9,MATCH(ROUNDUP((J$1)/10,0)*10,[1]Hugst!$R$4:$W$4,0))))</f>
        <v>6940.9978402925981</v>
      </c>
      <c r="K77" s="168">
        <f ca="1">IF($C77-K$1&lt;År1,0,J76*(1-VLOOKUP($A77,[1]Hugst!$R$5:$W$9,MATCH(ROUNDUP((K$1)/10,0)*10,[1]Hugst!$R$4:$W$4,0))))</f>
        <v>6951.4469267784361</v>
      </c>
      <c r="L77" s="168">
        <f ca="1">IF($C77-L$1&lt;År1,0,K76*(1-VLOOKUP($A77,[1]Hugst!$R$5:$W$9,MATCH(ROUNDUP((L$1)/10,0)*10,[1]Hugst!$R$4:$W$4,0))))</f>
        <v>6961.9485212364443</v>
      </c>
      <c r="M77" s="168">
        <f ca="1">IF($C77-M$1&lt;År1,0,L76*(1-VLOOKUP($A77,[1]Hugst!$R$5:$W$9,MATCH(ROUNDUP((M$1)/10,0)*10,[1]Hugst!$R$4:$W$4,0))))</f>
        <v>6972.5028875259077</v>
      </c>
      <c r="N77" s="168">
        <f ca="1">IF($C77-N$1&lt;År1,0,M76*(1-VLOOKUP($A77,[1]Hugst!$R$5:$W$9,MATCH(ROUNDUP((N$1)/10,0)*10,[1]Hugst!$R$4:$W$4,0))))</f>
        <v>6983.1102908319072</v>
      </c>
      <c r="O77" s="168">
        <f ca="1">IF($C77-O$1&lt;År1,0,N76*(1-VLOOKUP($A77,[1]Hugst!$R$5:$W$9,MATCH(ROUNDUP((O$1)/10,0)*10,[1]Hugst!$R$4:$W$4,0))))</f>
        <v>6993.7709976721299</v>
      </c>
      <c r="P77" s="168">
        <f ca="1">IF($C77-P$1&lt;År1,0,O76*(1-VLOOKUP($A77,[1]Hugst!$R$5:$W$9,MATCH(ROUNDUP((P$1)/10,0)*10,[1]Hugst!$R$4:$W$4,0))))</f>
        <v>6993.8004678555162</v>
      </c>
      <c r="Q77" s="168">
        <f ca="1">IF($C77-Q$1&lt;År1,0,P76*(1-VLOOKUP($A77,[1]Hugst!$R$5:$W$9,MATCH(ROUNDUP((Q$1)/10,0)*10,[1]Hugst!$R$4:$W$4,0))))</f>
        <v>6993.867250661352</v>
      </c>
      <c r="R77" s="168">
        <f ca="1">IF($C77-R$1&lt;År1,0,Q76*(1-VLOOKUP($A77,[1]Hugst!$R$5:$W$9,MATCH(ROUNDUP((R$1)/10,0)*10,[1]Hugst!$R$4:$W$4,0))))</f>
        <v>6993.9714196260193</v>
      </c>
      <c r="S77" s="168">
        <f ca="1">IF($C77-S$1&lt;År1,0,R76*(1-VLOOKUP($A77,[1]Hugst!$R$5:$W$9,MATCH(ROUNDUP((S$1)/10,0)*10,[1]Hugst!$R$4:$W$4,0))))</f>
        <v>6994.1130486295451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2027.9012547303573</v>
      </c>
      <c r="E78" s="168">
        <f t="shared" ca="1" si="1"/>
        <v>53.343340450839605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6942.8742248108265</v>
      </c>
      <c r="G78" s="168">
        <f ca="1">IF($C78-G$1&lt;År1,0,F77*(1-VLOOKUP($A78,[1]Hugst!$R$5:$W$9,MATCH(ROUNDUP((G$1)/10,0)*10,[1]Hugst!$R$4:$W$4,0))))</f>
        <v>6942.4614158649874</v>
      </c>
      <c r="H78" s="168">
        <f ca="1">IF($C78-H$1&lt;År1,0,G77*(1-VLOOKUP($A78,[1]Hugst!$R$5:$W$9,MATCH(ROUNDUP((H$1)/10,0)*10,[1]Hugst!$R$4:$W$4,0))))</f>
        <v>6942.0672472836686</v>
      </c>
      <c r="I78" s="168">
        <f ca="1">IF($C78-I$1&lt;År1,0,H77*(1-VLOOKUP($A78,[1]Hugst!$R$5:$W$9,MATCH(ROUNDUP((I$1)/10,0)*10,[1]Hugst!$R$4:$W$4,0))))</f>
        <v>6941.6918443838749</v>
      </c>
      <c r="J78" s="168">
        <f ca="1">IF($C78-J$1&lt;År1,0,I77*(1-VLOOKUP($A78,[1]Hugst!$R$5:$W$9,MATCH(ROUNDUP((J$1)/10,0)*10,[1]Hugst!$R$4:$W$4,0))))</f>
        <v>6941.335333161368</v>
      </c>
      <c r="K78" s="168">
        <f ca="1">IF($C78-K$1&lt;År1,0,J77*(1-VLOOKUP($A78,[1]Hugst!$R$5:$W$9,MATCH(ROUNDUP((K$1)/10,0)*10,[1]Hugst!$R$4:$W$4,0))))</f>
        <v>6940.9978402925981</v>
      </c>
      <c r="L78" s="168">
        <f ca="1">IF($C78-L$1&lt;År1,0,K77*(1-VLOOKUP($A78,[1]Hugst!$R$5:$W$9,MATCH(ROUNDUP((L$1)/10,0)*10,[1]Hugst!$R$4:$W$4,0))))</f>
        <v>6951.4469267784361</v>
      </c>
      <c r="M78" s="168">
        <f ca="1">IF($C78-M$1&lt;År1,0,L77*(1-VLOOKUP($A78,[1]Hugst!$R$5:$W$9,MATCH(ROUNDUP((M$1)/10,0)*10,[1]Hugst!$R$4:$W$4,0))))</f>
        <v>6961.9485212364443</v>
      </c>
      <c r="N78" s="168">
        <f ca="1">IF($C78-N$1&lt;År1,0,M77*(1-VLOOKUP($A78,[1]Hugst!$R$5:$W$9,MATCH(ROUNDUP((N$1)/10,0)*10,[1]Hugst!$R$4:$W$4,0))))</f>
        <v>6972.5028875259077</v>
      </c>
      <c r="O78" s="168">
        <f ca="1">IF($C78-O$1&lt;År1,0,N77*(1-VLOOKUP($A78,[1]Hugst!$R$5:$W$9,MATCH(ROUNDUP((O$1)/10,0)*10,[1]Hugst!$R$4:$W$4,0))))</f>
        <v>6983.1102908319072</v>
      </c>
      <c r="P78" s="168">
        <f ca="1">IF($C78-P$1&lt;År1,0,O77*(1-VLOOKUP($A78,[1]Hugst!$R$5:$W$9,MATCH(ROUNDUP((P$1)/10,0)*10,[1]Hugst!$R$4:$W$4,0))))</f>
        <v>6983.1025334383921</v>
      </c>
      <c r="Q78" s="168">
        <f ca="1">IF($C78-Q$1&lt;År1,0,P77*(1-VLOOKUP($A78,[1]Hugst!$R$5:$W$9,MATCH(ROUNDUP((Q$1)/10,0)*10,[1]Hugst!$R$4:$W$4,0))))</f>
        <v>6983.1319586672616</v>
      </c>
      <c r="R78" s="168">
        <f ca="1">IF($C78-R$1&lt;År1,0,Q77*(1-VLOOKUP($A78,[1]Hugst!$R$5:$W$9,MATCH(ROUNDUP((R$1)/10,0)*10,[1]Hugst!$R$4:$W$4,0))))</f>
        <v>6983.1986396010207</v>
      </c>
      <c r="S78" s="168">
        <f ca="1">IF($C78-S$1&lt;År1,0,R77*(1-VLOOKUP($A78,[1]Hugst!$R$5:$W$9,MATCH(ROUNDUP((S$1)/10,0)*10,[1]Hugst!$R$4:$W$4,0))))</f>
        <v>6983.3026496638777</v>
      </c>
      <c r="T78" s="168">
        <f ca="1">IF($C78-T$1&lt;År1,0,S77*(1-VLOOKUP($A78,[1]Hugst!$R$5:$W$9,MATCH(ROUNDUP((T$1)/10,0)*10,[1]Hugst!$R$4:$W$4,0))))</f>
        <v>6983.4440626231608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2017.7617484567454</v>
      </c>
      <c r="E79" s="168">
        <f t="shared" ca="1" si="1"/>
        <v>63.914171392098069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6943.305549478473</v>
      </c>
      <c r="G79" s="168">
        <f ca="1">IF($C79-G$1&lt;År1,0,F78*(1-VLOOKUP($A79,[1]Hugst!$R$5:$W$9,MATCH(ROUNDUP((G$1)/10,0)*10,[1]Hugst!$R$4:$W$4,0))))</f>
        <v>6942.8742248108265</v>
      </c>
      <c r="H79" s="168">
        <f ca="1">IF($C79-H$1&lt;År1,0,G78*(1-VLOOKUP($A79,[1]Hugst!$R$5:$W$9,MATCH(ROUNDUP((H$1)/10,0)*10,[1]Hugst!$R$4:$W$4,0))))</f>
        <v>6942.4614158649874</v>
      </c>
      <c r="I79" s="168">
        <f ca="1">IF($C79-I$1&lt;År1,0,H78*(1-VLOOKUP($A79,[1]Hugst!$R$5:$W$9,MATCH(ROUNDUP((I$1)/10,0)*10,[1]Hugst!$R$4:$W$4,0))))</f>
        <v>6942.0672472836686</v>
      </c>
      <c r="J79" s="168">
        <f ca="1">IF($C79-J$1&lt;År1,0,I78*(1-VLOOKUP($A79,[1]Hugst!$R$5:$W$9,MATCH(ROUNDUP((J$1)/10,0)*10,[1]Hugst!$R$4:$W$4,0))))</f>
        <v>6941.6918443838749</v>
      </c>
      <c r="K79" s="168">
        <f ca="1">IF($C79-K$1&lt;År1,0,J78*(1-VLOOKUP($A79,[1]Hugst!$R$5:$W$9,MATCH(ROUNDUP((K$1)/10,0)*10,[1]Hugst!$R$4:$W$4,0))))</f>
        <v>6941.335333161368</v>
      </c>
      <c r="L79" s="168">
        <f ca="1">IF($C79-L$1&lt;År1,0,K78*(1-VLOOKUP($A79,[1]Hugst!$R$5:$W$9,MATCH(ROUNDUP((L$1)/10,0)*10,[1]Hugst!$R$4:$W$4,0))))</f>
        <v>6940.9978402925981</v>
      </c>
      <c r="M79" s="168">
        <f ca="1">IF($C79-M$1&lt;År1,0,L78*(1-VLOOKUP($A79,[1]Hugst!$R$5:$W$9,MATCH(ROUNDUP((M$1)/10,0)*10,[1]Hugst!$R$4:$W$4,0))))</f>
        <v>6951.4469267784361</v>
      </c>
      <c r="N79" s="168">
        <f ca="1">IF($C79-N$1&lt;År1,0,M78*(1-VLOOKUP($A79,[1]Hugst!$R$5:$W$9,MATCH(ROUNDUP((N$1)/10,0)*10,[1]Hugst!$R$4:$W$4,0))))</f>
        <v>6961.9485212364443</v>
      </c>
      <c r="O79" s="168">
        <f ca="1">IF($C79-O$1&lt;År1,0,N78*(1-VLOOKUP($A79,[1]Hugst!$R$5:$W$9,MATCH(ROUNDUP((O$1)/10,0)*10,[1]Hugst!$R$4:$W$4,0))))</f>
        <v>6972.5028875259077</v>
      </c>
      <c r="P79" s="168">
        <f ca="1">IF($C79-P$1&lt;År1,0,O78*(1-VLOOKUP($A79,[1]Hugst!$R$5:$W$9,MATCH(ROUNDUP((P$1)/10,0)*10,[1]Hugst!$R$4:$W$4,0))))</f>
        <v>6972.45808869335</v>
      </c>
      <c r="Q79" s="168">
        <f ca="1">IF($C79-Q$1&lt;År1,0,P78*(1-VLOOKUP($A79,[1]Hugst!$R$5:$W$9,MATCH(ROUNDUP((Q$1)/10,0)*10,[1]Hugst!$R$4:$W$4,0))))</f>
        <v>6972.4503431331468</v>
      </c>
      <c r="R79" s="168">
        <f ca="1">IF($C79-R$1&lt;År1,0,Q78*(1-VLOOKUP($A79,[1]Hugst!$R$5:$W$9,MATCH(ROUNDUP((R$1)/10,0)*10,[1]Hugst!$R$4:$W$4,0))))</f>
        <v>6972.4797234760745</v>
      </c>
      <c r="S79" s="168">
        <f ca="1">IF($C79-S$1&lt;År1,0,R78*(1-VLOOKUP($A79,[1]Hugst!$R$5:$W$9,MATCH(ROUNDUP((S$1)/10,0)*10,[1]Hugst!$R$4:$W$4,0))))</f>
        <v>6972.5463026931548</v>
      </c>
      <c r="T79" s="168">
        <f ca="1">IF($C79-T$1&lt;År1,0,S78*(1-VLOOKUP($A79,[1]Hugst!$R$5:$W$9,MATCH(ROUNDUP((T$1)/10,0)*10,[1]Hugst!$R$4:$W$4,0))))</f>
        <v>6972.6501540965937</v>
      </c>
      <c r="U79" s="168">
        <f ca="1">IF($C79-U$1&lt;År1,0,T78*(1-VLOOKUP($A79,[1]Hugst!$R$5:$W$9,MATCH(ROUNDUP((U$1)/10,0)*10,[1]Hugst!$R$4:$W$4,0))))</f>
        <v>6972.7913513411931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2007.6729397144518</v>
      </c>
      <c r="E80" s="168">
        <f t="shared" ca="1" si="1"/>
        <v>74.452696552325506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6943.7552658964069</v>
      </c>
      <c r="G80" s="168">
        <f ca="1">IF($C80-G$1&lt;År1,0,F79*(1-VLOOKUP($A80,[1]Hugst!$R$5:$W$9,MATCH(ROUNDUP((G$1)/10,0)*10,[1]Hugst!$R$4:$W$4,0))))</f>
        <v>6943.305549478473</v>
      </c>
      <c r="H80" s="168">
        <f ca="1">IF($C80-H$1&lt;År1,0,G79*(1-VLOOKUP($A80,[1]Hugst!$R$5:$W$9,MATCH(ROUNDUP((H$1)/10,0)*10,[1]Hugst!$R$4:$W$4,0))))</f>
        <v>6942.8742248108265</v>
      </c>
      <c r="I80" s="168">
        <f ca="1">IF($C80-I$1&lt;År1,0,H79*(1-VLOOKUP($A80,[1]Hugst!$R$5:$W$9,MATCH(ROUNDUP((I$1)/10,0)*10,[1]Hugst!$R$4:$W$4,0))))</f>
        <v>6942.4614158649874</v>
      </c>
      <c r="J80" s="168">
        <f ca="1">IF($C80-J$1&lt;År1,0,I79*(1-VLOOKUP($A80,[1]Hugst!$R$5:$W$9,MATCH(ROUNDUP((J$1)/10,0)*10,[1]Hugst!$R$4:$W$4,0))))</f>
        <v>6942.0672472836686</v>
      </c>
      <c r="K80" s="168">
        <f ca="1">IF($C80-K$1&lt;År1,0,J79*(1-VLOOKUP($A80,[1]Hugst!$R$5:$W$9,MATCH(ROUNDUP((K$1)/10,0)*10,[1]Hugst!$R$4:$W$4,0))))</f>
        <v>6941.6918443838749</v>
      </c>
      <c r="L80" s="168">
        <f ca="1">IF($C80-L$1&lt;År1,0,K79*(1-VLOOKUP($A80,[1]Hugst!$R$5:$W$9,MATCH(ROUNDUP((L$1)/10,0)*10,[1]Hugst!$R$4:$W$4,0))))</f>
        <v>6941.335333161368</v>
      </c>
      <c r="M80" s="168">
        <f ca="1">IF($C80-M$1&lt;År1,0,L79*(1-VLOOKUP($A80,[1]Hugst!$R$5:$W$9,MATCH(ROUNDUP((M$1)/10,0)*10,[1]Hugst!$R$4:$W$4,0))))</f>
        <v>6940.9978402925981</v>
      </c>
      <c r="N80" s="168">
        <f ca="1">IF($C80-N$1&lt;År1,0,M79*(1-VLOOKUP($A80,[1]Hugst!$R$5:$W$9,MATCH(ROUNDUP((N$1)/10,0)*10,[1]Hugst!$R$4:$W$4,0))))</f>
        <v>6951.4469267784361</v>
      </c>
      <c r="O80" s="168">
        <f ca="1">IF($C80-O$1&lt;År1,0,N79*(1-VLOOKUP($A80,[1]Hugst!$R$5:$W$9,MATCH(ROUNDUP((O$1)/10,0)*10,[1]Hugst!$R$4:$W$4,0))))</f>
        <v>6961.9485212364443</v>
      </c>
      <c r="P80" s="168">
        <f ca="1">IF($C80-P$1&lt;År1,0,O79*(1-VLOOKUP($A80,[1]Hugst!$R$5:$W$9,MATCH(ROUNDUP((P$1)/10,0)*10,[1]Hugst!$R$4:$W$4,0))))</f>
        <v>6961.866866172054</v>
      </c>
      <c r="Q80" s="168">
        <f ca="1">IF($C80-Q$1&lt;År1,0,P79*(1-VLOOKUP($A80,[1]Hugst!$R$5:$W$9,MATCH(ROUNDUP((Q$1)/10,0)*10,[1]Hugst!$R$4:$W$4,0))))</f>
        <v>6961.822135676699</v>
      </c>
      <c r="R80" s="168">
        <f ca="1">IF($C80-R$1&lt;År1,0,Q79*(1-VLOOKUP($A80,[1]Hugst!$R$5:$W$9,MATCH(ROUNDUP((R$1)/10,0)*10,[1]Hugst!$R$4:$W$4,0))))</f>
        <v>6961.8144019317569</v>
      </c>
      <c r="S80" s="168">
        <f ca="1">IF($C80-S$1&lt;År1,0,R79*(1-VLOOKUP($A80,[1]Hugst!$R$5:$W$9,MATCH(ROUNDUP((S$1)/10,0)*10,[1]Hugst!$R$4:$W$4,0))))</f>
        <v>6961.8437374572122</v>
      </c>
      <c r="T80" s="168">
        <f ca="1">IF($C80-T$1&lt;År1,0,S79*(1-VLOOKUP($A80,[1]Hugst!$R$5:$W$9,MATCH(ROUNDUP((T$1)/10,0)*10,[1]Hugst!$R$4:$W$4,0))))</f>
        <v>6961.9102151127754</v>
      </c>
      <c r="U80" s="168">
        <f ca="1">IF($C80-U$1&lt;År1,0,T79*(1-VLOOKUP($A80,[1]Hugst!$R$5:$W$9,MATCH(ROUNDUP((U$1)/10,0)*10,[1]Hugst!$R$4:$W$4,0))))</f>
        <v>6962.0139080988192</v>
      </c>
      <c r="V80" s="168">
        <f ca="1">IF($C80-V$1&lt;År1,0,U79*(1-VLOOKUP($A80,[1]Hugst!$R$5:$W$9,MATCH(ROUNDUP((V$1)/10,0)*10,[1]Hugst!$R$4:$W$4,0))))</f>
        <v>6962.1548899577911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1997.6345750158653</v>
      </c>
      <c r="E81" s="168">
        <f t="shared" ca="1" si="1"/>
        <v>84.95904611540027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6944.2232507608951</v>
      </c>
      <c r="G81" s="168">
        <f ca="1">IF($C81-G$1&lt;År1,0,F80*(1-VLOOKUP($A81,[1]Hugst!$R$5:$W$9,MATCH(ROUNDUP((G$1)/10,0)*10,[1]Hugst!$R$4:$W$4,0))))</f>
        <v>6943.7552658964069</v>
      </c>
      <c r="H81" s="168">
        <f ca="1">IF($C81-H$1&lt;År1,0,G80*(1-VLOOKUP($A81,[1]Hugst!$R$5:$W$9,MATCH(ROUNDUP((H$1)/10,0)*10,[1]Hugst!$R$4:$W$4,0))))</f>
        <v>6943.305549478473</v>
      </c>
      <c r="I81" s="168">
        <f ca="1">IF($C81-I$1&lt;År1,0,H80*(1-VLOOKUP($A81,[1]Hugst!$R$5:$W$9,MATCH(ROUNDUP((I$1)/10,0)*10,[1]Hugst!$R$4:$W$4,0))))</f>
        <v>6942.8742248108265</v>
      </c>
      <c r="J81" s="168">
        <f ca="1">IF($C81-J$1&lt;År1,0,I80*(1-VLOOKUP($A81,[1]Hugst!$R$5:$W$9,MATCH(ROUNDUP((J$1)/10,0)*10,[1]Hugst!$R$4:$W$4,0))))</f>
        <v>6942.4614158649874</v>
      </c>
      <c r="K81" s="168">
        <f ca="1">IF($C81-K$1&lt;År1,0,J80*(1-VLOOKUP($A81,[1]Hugst!$R$5:$W$9,MATCH(ROUNDUP((K$1)/10,0)*10,[1]Hugst!$R$4:$W$4,0))))</f>
        <v>6942.0672472836686</v>
      </c>
      <c r="L81" s="168">
        <f ca="1">IF($C81-L$1&lt;År1,0,K80*(1-VLOOKUP($A81,[1]Hugst!$R$5:$W$9,MATCH(ROUNDUP((L$1)/10,0)*10,[1]Hugst!$R$4:$W$4,0))))</f>
        <v>6941.6918443838749</v>
      </c>
      <c r="M81" s="168">
        <f ca="1">IF($C81-M$1&lt;År1,0,L80*(1-VLOOKUP($A81,[1]Hugst!$R$5:$W$9,MATCH(ROUNDUP((M$1)/10,0)*10,[1]Hugst!$R$4:$W$4,0))))</f>
        <v>6941.335333161368</v>
      </c>
      <c r="N81" s="168">
        <f ca="1">IF($C81-N$1&lt;År1,0,M80*(1-VLOOKUP($A81,[1]Hugst!$R$5:$W$9,MATCH(ROUNDUP((N$1)/10,0)*10,[1]Hugst!$R$4:$W$4,0))))</f>
        <v>6940.9978402925981</v>
      </c>
      <c r="O81" s="168">
        <f ca="1">IF($C81-O$1&lt;År1,0,N80*(1-VLOOKUP($A81,[1]Hugst!$R$5:$W$9,MATCH(ROUNDUP((O$1)/10,0)*10,[1]Hugst!$R$4:$W$4,0))))</f>
        <v>6951.4469267784361</v>
      </c>
      <c r="P81" s="168">
        <f ca="1">IF($C81-P$1&lt;År1,0,O80*(1-VLOOKUP($A81,[1]Hugst!$R$5:$W$9,MATCH(ROUNDUP((P$1)/10,0)*10,[1]Hugst!$R$4:$W$4,0))))</f>
        <v>6951.3285997633711</v>
      </c>
      <c r="Q81" s="168">
        <f ca="1">IF($C81-Q$1&lt;År1,0,P80*(1-VLOOKUP($A81,[1]Hugst!$R$5:$W$9,MATCH(ROUNDUP((Q$1)/10,0)*10,[1]Hugst!$R$4:$W$4,0))))</f>
        <v>6951.2470692575544</v>
      </c>
      <c r="R81" s="168">
        <f ca="1">IF($C81-R$1&lt;År1,0,Q80*(1-VLOOKUP($A81,[1]Hugst!$R$5:$W$9,MATCH(ROUNDUP((R$1)/10,0)*10,[1]Hugst!$R$4:$W$4,0))))</f>
        <v>6951.2024069951576</v>
      </c>
      <c r="S81" s="168">
        <f ca="1">IF($C81-S$1&lt;År1,0,R80*(1-VLOOKUP($A81,[1]Hugst!$R$5:$W$9,MATCH(ROUNDUP((S$1)/10,0)*10,[1]Hugst!$R$4:$W$4,0))))</f>
        <v>6951.1946850474542</v>
      </c>
      <c r="T81" s="168">
        <f ca="1">IF($C81-T$1&lt;År1,0,S80*(1-VLOOKUP($A81,[1]Hugst!$R$5:$W$9,MATCH(ROUNDUP((T$1)/10,0)*10,[1]Hugst!$R$4:$W$4,0))))</f>
        <v>6951.2239758238029</v>
      </c>
      <c r="U81" s="168">
        <f ca="1">IF($C81-U$1&lt;År1,0,T80*(1-VLOOKUP($A81,[1]Hugst!$R$5:$W$9,MATCH(ROUNDUP((U$1)/10,0)*10,[1]Hugst!$R$4:$W$4,0))))</f>
        <v>6951.2903520727723</v>
      </c>
      <c r="V81" s="168">
        <f ca="1">IF($C81-V$1&lt;År1,0,U80*(1-VLOOKUP($A81,[1]Hugst!$R$5:$W$9,MATCH(ROUNDUP((V$1)/10,0)*10,[1]Hugst!$R$4:$W$4,0))))</f>
        <v>6951.3938868830746</v>
      </c>
      <c r="W81" s="168">
        <f ca="1">IF($C81-W$1&lt;År1,0,V80*(1-VLOOKUP($A81,[1]Hugst!$R$5:$W$9,MATCH(ROUNDUP((W$1)/10,0)*10,[1]Hugst!$R$4:$W$4,0))))</f>
        <v>6951.5346536849738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1987.6464021408465</v>
      </c>
      <c r="E82" s="168">
        <f t="shared" ca="1" si="1"/>
        <v>95.433349662154797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6944.7093814326308</v>
      </c>
      <c r="G82" s="168">
        <f ca="1">IF($C82-G$1&lt;År1,0,F81*(1-VLOOKUP($A82,[1]Hugst!$R$5:$W$9,MATCH(ROUNDUP((G$1)/10,0)*10,[1]Hugst!$R$4:$W$4,0))))</f>
        <v>6944.2232507608951</v>
      </c>
      <c r="H82" s="168">
        <f ca="1">IF($C82-H$1&lt;År1,0,G81*(1-VLOOKUP($A82,[1]Hugst!$R$5:$W$9,MATCH(ROUNDUP((H$1)/10,0)*10,[1]Hugst!$R$4:$W$4,0))))</f>
        <v>6943.7552658964069</v>
      </c>
      <c r="I82" s="168">
        <f ca="1">IF($C82-I$1&lt;År1,0,H81*(1-VLOOKUP($A82,[1]Hugst!$R$5:$W$9,MATCH(ROUNDUP((I$1)/10,0)*10,[1]Hugst!$R$4:$W$4,0))))</f>
        <v>6943.305549478473</v>
      </c>
      <c r="J82" s="168">
        <f ca="1">IF($C82-J$1&lt;År1,0,I81*(1-VLOOKUP($A82,[1]Hugst!$R$5:$W$9,MATCH(ROUNDUP((J$1)/10,0)*10,[1]Hugst!$R$4:$W$4,0))))</f>
        <v>6942.8742248108265</v>
      </c>
      <c r="K82" s="168">
        <f ca="1">IF($C82-K$1&lt;År1,0,J81*(1-VLOOKUP($A82,[1]Hugst!$R$5:$W$9,MATCH(ROUNDUP((K$1)/10,0)*10,[1]Hugst!$R$4:$W$4,0))))</f>
        <v>6942.4614158649874</v>
      </c>
      <c r="L82" s="168">
        <f ca="1">IF($C82-L$1&lt;År1,0,K81*(1-VLOOKUP($A82,[1]Hugst!$R$5:$W$9,MATCH(ROUNDUP((L$1)/10,0)*10,[1]Hugst!$R$4:$W$4,0))))</f>
        <v>6942.0672472836686</v>
      </c>
      <c r="M82" s="168">
        <f ca="1">IF($C82-M$1&lt;År1,0,L81*(1-VLOOKUP($A82,[1]Hugst!$R$5:$W$9,MATCH(ROUNDUP((M$1)/10,0)*10,[1]Hugst!$R$4:$W$4,0))))</f>
        <v>6941.6918443838749</v>
      </c>
      <c r="N82" s="168">
        <f ca="1">IF($C82-N$1&lt;År1,0,M81*(1-VLOOKUP($A82,[1]Hugst!$R$5:$W$9,MATCH(ROUNDUP((N$1)/10,0)*10,[1]Hugst!$R$4:$W$4,0))))</f>
        <v>6941.335333161368</v>
      </c>
      <c r="O82" s="168">
        <f ca="1">IF($C82-O$1&lt;År1,0,N81*(1-VLOOKUP($A82,[1]Hugst!$R$5:$W$9,MATCH(ROUNDUP((O$1)/10,0)*10,[1]Hugst!$R$4:$W$4,0))))</f>
        <v>6940.9978402925981</v>
      </c>
      <c r="P82" s="168">
        <f ca="1">IF($C82-P$1&lt;År1,0,O81*(1-VLOOKUP($A82,[1]Hugst!$R$5:$W$9,MATCH(ROUNDUP((P$1)/10,0)*10,[1]Hugst!$R$4:$W$4,0))))</f>
        <v>6940.8430246867401</v>
      </c>
      <c r="Q82" s="168">
        <f ca="1">IF($C82-Q$1&lt;År1,0,P81*(1-VLOOKUP($A82,[1]Hugst!$R$5:$W$9,MATCH(ROUNDUP((Q$1)/10,0)*10,[1]Hugst!$R$4:$W$4,0))))</f>
        <v>6940.7248781705111</v>
      </c>
      <c r="R82" s="168">
        <f ca="1">IF($C82-R$1&lt;År1,0,Q81*(1-VLOOKUP($A82,[1]Hugst!$R$5:$W$9,MATCH(ROUNDUP((R$1)/10,0)*10,[1]Hugst!$R$4:$W$4,0))))</f>
        <v>6940.6434720332627</v>
      </c>
      <c r="S82" s="168">
        <f ca="1">IF($C82-S$1&lt;År1,0,R81*(1-VLOOKUP($A82,[1]Hugst!$R$5:$W$9,MATCH(ROUNDUP((S$1)/10,0)*10,[1]Hugst!$R$4:$W$4,0))))</f>
        <v>6940.5988778997407</v>
      </c>
      <c r="T82" s="168">
        <f ca="1">IF($C82-T$1&lt;År1,0,S81*(1-VLOOKUP($A82,[1]Hugst!$R$5:$W$9,MATCH(ROUNDUP((T$1)/10,0)*10,[1]Hugst!$R$4:$W$4,0))))</f>
        <v>6940.5911677312797</v>
      </c>
      <c r="U82" s="168">
        <f ca="1">IF($C82-U$1&lt;År1,0,T81*(1-VLOOKUP($A82,[1]Hugst!$R$5:$W$9,MATCH(ROUNDUP((U$1)/10,0)*10,[1]Hugst!$R$4:$W$4,0))))</f>
        <v>6940.6204138267831</v>
      </c>
      <c r="V82" s="168">
        <f ca="1">IF($C82-V$1&lt;År1,0,U81*(1-VLOOKUP($A82,[1]Hugst!$R$5:$W$9,MATCH(ROUNDUP((V$1)/10,0)*10,[1]Hugst!$R$4:$W$4,0))))</f>
        <v>6940.6866888238474</v>
      </c>
      <c r="W82" s="168">
        <f ca="1">IF($C82-W$1&lt;År1,0,V81*(1-VLOOKUP($A82,[1]Hugst!$R$5:$W$9,MATCH(ROUNDUP((W$1)/10,0)*10,[1]Hugst!$R$4:$W$4,0))))</f>
        <v>6940.7900656996935</v>
      </c>
      <c r="X82" s="168">
        <f ca="1">IF($C82-X$1&lt;År1,0,W81*(1-VLOOKUP($A82,[1]Hugst!$R$5:$W$9,MATCH(ROUNDUP((X$1)/10,0)*10,[1]Hugst!$R$4:$W$4,0))))</f>
        <v>6940.930617772573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1977.708170130034</v>
      </c>
      <c r="E83" s="168">
        <f t="shared" ca="1" si="1"/>
        <v>105.87573617327143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6945.213535932935</v>
      </c>
      <c r="G83" s="168">
        <f ca="1">IF($C83-G$1&lt;År1,0,F82*(1-VLOOKUP($A83,[1]Hugst!$R$5:$W$9,MATCH(ROUNDUP((G$1)/10,0)*10,[1]Hugst!$R$4:$W$4,0))))</f>
        <v>6944.7093814326308</v>
      </c>
      <c r="H83" s="168">
        <f ca="1">IF($C83-H$1&lt;År1,0,G82*(1-VLOOKUP($A83,[1]Hugst!$R$5:$W$9,MATCH(ROUNDUP((H$1)/10,0)*10,[1]Hugst!$R$4:$W$4,0))))</f>
        <v>6944.2232507608951</v>
      </c>
      <c r="I83" s="168">
        <f ca="1">IF($C83-I$1&lt;År1,0,H82*(1-VLOOKUP($A83,[1]Hugst!$R$5:$W$9,MATCH(ROUNDUP((I$1)/10,0)*10,[1]Hugst!$R$4:$W$4,0))))</f>
        <v>6943.7552658964069</v>
      </c>
      <c r="J83" s="168">
        <f ca="1">IF($C83-J$1&lt;År1,0,I82*(1-VLOOKUP($A83,[1]Hugst!$R$5:$W$9,MATCH(ROUNDUP((J$1)/10,0)*10,[1]Hugst!$R$4:$W$4,0))))</f>
        <v>6943.305549478473</v>
      </c>
      <c r="K83" s="168">
        <f ca="1">IF($C83-K$1&lt;År1,0,J82*(1-VLOOKUP($A83,[1]Hugst!$R$5:$W$9,MATCH(ROUNDUP((K$1)/10,0)*10,[1]Hugst!$R$4:$W$4,0))))</f>
        <v>6942.8742248108265</v>
      </c>
      <c r="L83" s="168">
        <f ca="1">IF($C83-L$1&lt;År1,0,K82*(1-VLOOKUP($A83,[1]Hugst!$R$5:$W$9,MATCH(ROUNDUP((L$1)/10,0)*10,[1]Hugst!$R$4:$W$4,0))))</f>
        <v>6942.4614158649874</v>
      </c>
      <c r="M83" s="168">
        <f ca="1">IF($C83-M$1&lt;År1,0,L82*(1-VLOOKUP($A83,[1]Hugst!$R$5:$W$9,MATCH(ROUNDUP((M$1)/10,0)*10,[1]Hugst!$R$4:$W$4,0))))</f>
        <v>6942.0672472836686</v>
      </c>
      <c r="N83" s="168">
        <f ca="1">IF($C83-N$1&lt;År1,0,M82*(1-VLOOKUP($A83,[1]Hugst!$R$5:$W$9,MATCH(ROUNDUP((N$1)/10,0)*10,[1]Hugst!$R$4:$W$4,0))))</f>
        <v>6941.6918443838749</v>
      </c>
      <c r="O83" s="168">
        <f ca="1">IF($C83-O$1&lt;År1,0,N82*(1-VLOOKUP($A83,[1]Hugst!$R$5:$W$9,MATCH(ROUNDUP((O$1)/10,0)*10,[1]Hugst!$R$4:$W$4,0))))</f>
        <v>6941.335333161368</v>
      </c>
      <c r="P83" s="168">
        <f ca="1">IF($C83-P$1&lt;År1,0,O82*(1-VLOOKUP($A83,[1]Hugst!$R$5:$W$9,MATCH(ROUNDUP((P$1)/10,0)*10,[1]Hugst!$R$4:$W$4,0))))</f>
        <v>6930.4098774853719</v>
      </c>
      <c r="Q83" s="168">
        <f ca="1">IF($C83-Q$1&lt;År1,0,P82*(1-VLOOKUP($A83,[1]Hugst!$R$5:$W$9,MATCH(ROUNDUP((Q$1)/10,0)*10,[1]Hugst!$R$4:$W$4,0))))</f>
        <v>6930.2552980389128</v>
      </c>
      <c r="R83" s="168">
        <f ca="1">IF($C83-R$1&lt;År1,0,Q82*(1-VLOOKUP($A83,[1]Hugst!$R$5:$W$9,MATCH(ROUNDUP((R$1)/10,0)*10,[1]Hugst!$R$4:$W$4,0))))</f>
        <v>6930.137331746183</v>
      </c>
      <c r="S83" s="168">
        <f ca="1">IF($C83-S$1&lt;År1,0,R82*(1-VLOOKUP($A83,[1]Hugst!$R$5:$W$9,MATCH(ROUNDUP((S$1)/10,0)*10,[1]Hugst!$R$4:$W$4,0))))</f>
        <v>6930.0560497877877</v>
      </c>
      <c r="T83" s="168">
        <f ca="1">IF($C83-T$1&lt;År1,0,S82*(1-VLOOKUP($A83,[1]Hugst!$R$5:$W$9,MATCH(ROUNDUP((T$1)/10,0)*10,[1]Hugst!$R$4:$W$4,0))))</f>
        <v>6930.0115236792153</v>
      </c>
      <c r="U83" s="168">
        <f ca="1">IF($C83-U$1&lt;År1,0,T82*(1-VLOOKUP($A83,[1]Hugst!$R$5:$W$9,MATCH(ROUNDUP((U$1)/10,0)*10,[1]Hugst!$R$4:$W$4,0))))</f>
        <v>6930.0038252720287</v>
      </c>
      <c r="V83" s="168">
        <f ca="1">IF($C83-V$1&lt;År1,0,U82*(1-VLOOKUP($A83,[1]Hugst!$R$5:$W$9,MATCH(ROUNDUP((V$1)/10,0)*10,[1]Hugst!$R$4:$W$4,0))))</f>
        <v>6930.0330267548434</v>
      </c>
      <c r="W83" s="168">
        <f ca="1">IF($C83-W$1&lt;År1,0,V82*(1-VLOOKUP($A83,[1]Hugst!$R$5:$W$9,MATCH(ROUNDUP((W$1)/10,0)*10,[1]Hugst!$R$4:$W$4,0))))</f>
        <v>6930.0992006544548</v>
      </c>
      <c r="X83" s="168">
        <f ca="1">IF($C83-X$1&lt;År1,0,W82*(1-VLOOKUP($A83,[1]Hugst!$R$5:$W$9,MATCH(ROUNDUP((X$1)/10,0)*10,[1]Hugst!$R$4:$W$4,0))))</f>
        <v>6930.2024198367617</v>
      </c>
      <c r="Y83" s="168">
        <f ca="1">IF($C83-Y$1&lt;År1,0,X82*(1-VLOOKUP($A83,[1]Hugst!$R$5:$W$9,MATCH(ROUNDUP((Y$1)/10,0)*10,[1]Hugst!$R$4:$W$4,0))))</f>
        <v>6930.3427575081741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1967.819629279431</v>
      </c>
      <c r="E84" s="168">
        <f t="shared" ca="1" si="1"/>
        <v>117.77100139699178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6947.2202603060523</v>
      </c>
      <c r="G84" s="168">
        <f ca="1">IF($C84-G$1&lt;År1,0,F83*(1-VLOOKUP($A84,[1]Hugst!$R$5:$W$9,MATCH(ROUNDUP((G$1)/10,0)*10,[1]Hugst!$R$4:$W$4,0))))</f>
        <v>6945.213535932935</v>
      </c>
      <c r="H84" s="168">
        <f ca="1">IF($C84-H$1&lt;År1,0,G83*(1-VLOOKUP($A84,[1]Hugst!$R$5:$W$9,MATCH(ROUNDUP((H$1)/10,0)*10,[1]Hugst!$R$4:$W$4,0))))</f>
        <v>6944.7093814326308</v>
      </c>
      <c r="I84" s="168">
        <f ca="1">IF($C84-I$1&lt;År1,0,H83*(1-VLOOKUP($A84,[1]Hugst!$R$5:$W$9,MATCH(ROUNDUP((I$1)/10,0)*10,[1]Hugst!$R$4:$W$4,0))))</f>
        <v>6944.2232507608951</v>
      </c>
      <c r="J84" s="168">
        <f ca="1">IF($C84-J$1&lt;År1,0,I83*(1-VLOOKUP($A84,[1]Hugst!$R$5:$W$9,MATCH(ROUNDUP((J$1)/10,0)*10,[1]Hugst!$R$4:$W$4,0))))</f>
        <v>6943.7552658964069</v>
      </c>
      <c r="K84" s="168">
        <f ca="1">IF($C84-K$1&lt;År1,0,J83*(1-VLOOKUP($A84,[1]Hugst!$R$5:$W$9,MATCH(ROUNDUP((K$1)/10,0)*10,[1]Hugst!$R$4:$W$4,0))))</f>
        <v>6943.305549478473</v>
      </c>
      <c r="L84" s="168">
        <f ca="1">IF($C84-L$1&lt;År1,0,K83*(1-VLOOKUP($A84,[1]Hugst!$R$5:$W$9,MATCH(ROUNDUP((L$1)/10,0)*10,[1]Hugst!$R$4:$W$4,0))))</f>
        <v>6942.8742248108265</v>
      </c>
      <c r="M84" s="168">
        <f ca="1">IF($C84-M$1&lt;År1,0,L83*(1-VLOOKUP($A84,[1]Hugst!$R$5:$W$9,MATCH(ROUNDUP((M$1)/10,0)*10,[1]Hugst!$R$4:$W$4,0))))</f>
        <v>6942.4614158649874</v>
      </c>
      <c r="N84" s="168">
        <f ca="1">IF($C84-N$1&lt;År1,0,M83*(1-VLOOKUP($A84,[1]Hugst!$R$5:$W$9,MATCH(ROUNDUP((N$1)/10,0)*10,[1]Hugst!$R$4:$W$4,0))))</f>
        <v>6942.0672472836686</v>
      </c>
      <c r="O84" s="168">
        <f ca="1">IF($C84-O$1&lt;År1,0,N83*(1-VLOOKUP($A84,[1]Hugst!$R$5:$W$9,MATCH(ROUNDUP((O$1)/10,0)*10,[1]Hugst!$R$4:$W$4,0))))</f>
        <v>6941.6918443838749</v>
      </c>
      <c r="P84" s="168">
        <f ca="1">IF($C84-P$1&lt;År1,0,O83*(1-VLOOKUP($A84,[1]Hugst!$R$5:$W$9,MATCH(ROUNDUP((P$1)/10,0)*10,[1]Hugst!$R$4:$W$4,0))))</f>
        <v>6930.7468555345113</v>
      </c>
      <c r="Q84" s="168">
        <f ca="1">IF($C84-Q$1&lt;År1,0,P83*(1-VLOOKUP($A84,[1]Hugst!$R$5:$W$9,MATCH(ROUNDUP((Q$1)/10,0)*10,[1]Hugst!$R$4:$W$4,0))))</f>
        <v>6919.8380658078513</v>
      </c>
      <c r="R84" s="168">
        <f ca="1">IF($C84-R$1&lt;År1,0,Q83*(1-VLOOKUP($A84,[1]Hugst!$R$5:$W$9,MATCH(ROUNDUP((R$1)/10,0)*10,[1]Hugst!$R$4:$W$4,0))))</f>
        <v>6919.6837221605483</v>
      </c>
      <c r="S84" s="168">
        <f ca="1">IF($C84-S$1&lt;År1,0,R83*(1-VLOOKUP($A84,[1]Hugst!$R$5:$W$9,MATCH(ROUNDUP((S$1)/10,0)*10,[1]Hugst!$R$4:$W$4,0))))</f>
        <v>6919.5659358164003</v>
      </c>
      <c r="T84" s="168">
        <f ca="1">IF($C84-T$1&lt;År1,0,S83*(1-VLOOKUP($A84,[1]Hugst!$R$5:$W$9,MATCH(ROUNDUP((T$1)/10,0)*10,[1]Hugst!$R$4:$W$4,0))))</f>
        <v>6919.4847778474332</v>
      </c>
      <c r="U84" s="168">
        <f ca="1">IF($C84-U$1&lt;År1,0,T83*(1-VLOOKUP($A84,[1]Hugst!$R$5:$W$9,MATCH(ROUNDUP((U$1)/10,0)*10,[1]Hugst!$R$4:$W$4,0))))</f>
        <v>6919.4403196600433</v>
      </c>
      <c r="V84" s="168">
        <f ca="1">IF($C84-V$1&lt;År1,0,U83*(1-VLOOKUP($A84,[1]Hugst!$R$5:$W$9,MATCH(ROUNDUP((V$1)/10,0)*10,[1]Hugst!$R$4:$W$4,0))))</f>
        <v>6919.4326329961896</v>
      </c>
      <c r="W84" s="168">
        <f ca="1">IF($C84-W$1&lt;År1,0,V83*(1-VLOOKUP($A84,[1]Hugst!$R$5:$W$9,MATCH(ROUNDUP((W$1)/10,0)*10,[1]Hugst!$R$4:$W$4,0))))</f>
        <v>6919.4617899343693</v>
      </c>
      <c r="X84" s="168">
        <f ca="1">IF($C84-X$1&lt;År1,0,W83*(1-VLOOKUP($A84,[1]Hugst!$R$5:$W$9,MATCH(ROUNDUP((X$1)/10,0)*10,[1]Hugst!$R$4:$W$4,0))))</f>
        <v>6919.5278628907445</v>
      </c>
      <c r="Y84" s="168">
        <f ca="1">IF($C84-Y$1&lt;År1,0,X83*(1-VLOOKUP($A84,[1]Hugst!$R$5:$W$9,MATCH(ROUNDUP((Y$1)/10,0)*10,[1]Hugst!$R$4:$W$4,0))))</f>
        <v>6919.6309246200617</v>
      </c>
      <c r="Z84" s="168">
        <f ca="1">IF($C84-Z$1&lt;År1,0,Y83*(1-VLOOKUP($A84,[1]Hugst!$R$5:$W$9,MATCH(ROUNDUP((Z$1)/10,0)*10,[1]Hugst!$R$4:$W$4,0))))</f>
        <v>6918.3027552599606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1957.9805311330711</v>
      </c>
      <c r="E85" s="168">
        <f t="shared" ca="1" si="1"/>
        <v>129.64384482748574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6949.2540055901864</v>
      </c>
      <c r="G85" s="168">
        <f ca="1">IF($C85-G$1&lt;År1,0,F84*(1-VLOOKUP($A85,[1]Hugst!$R$5:$W$9,MATCH(ROUNDUP((G$1)/10,0)*10,[1]Hugst!$R$4:$W$4,0))))</f>
        <v>6947.2202603060523</v>
      </c>
      <c r="H85" s="168">
        <f ca="1">IF($C85-H$1&lt;År1,0,G84*(1-VLOOKUP($A85,[1]Hugst!$R$5:$W$9,MATCH(ROUNDUP((H$1)/10,0)*10,[1]Hugst!$R$4:$W$4,0))))</f>
        <v>6945.213535932935</v>
      </c>
      <c r="I85" s="168">
        <f ca="1">IF($C85-I$1&lt;År1,0,H84*(1-VLOOKUP($A85,[1]Hugst!$R$5:$W$9,MATCH(ROUNDUP((I$1)/10,0)*10,[1]Hugst!$R$4:$W$4,0))))</f>
        <v>6944.7093814326308</v>
      </c>
      <c r="J85" s="168">
        <f ca="1">IF($C85-J$1&lt;År1,0,I84*(1-VLOOKUP($A85,[1]Hugst!$R$5:$W$9,MATCH(ROUNDUP((J$1)/10,0)*10,[1]Hugst!$R$4:$W$4,0))))</f>
        <v>6944.2232507608951</v>
      </c>
      <c r="K85" s="168">
        <f ca="1">IF($C85-K$1&lt;År1,0,J84*(1-VLOOKUP($A85,[1]Hugst!$R$5:$W$9,MATCH(ROUNDUP((K$1)/10,0)*10,[1]Hugst!$R$4:$W$4,0))))</f>
        <v>6943.7552658964069</v>
      </c>
      <c r="L85" s="168">
        <f ca="1">IF($C85-L$1&lt;År1,0,K84*(1-VLOOKUP($A85,[1]Hugst!$R$5:$W$9,MATCH(ROUNDUP((L$1)/10,0)*10,[1]Hugst!$R$4:$W$4,0))))</f>
        <v>6943.305549478473</v>
      </c>
      <c r="M85" s="168">
        <f ca="1">IF($C85-M$1&lt;År1,0,L84*(1-VLOOKUP($A85,[1]Hugst!$R$5:$W$9,MATCH(ROUNDUP((M$1)/10,0)*10,[1]Hugst!$R$4:$W$4,0))))</f>
        <v>6942.8742248108265</v>
      </c>
      <c r="N85" s="168">
        <f ca="1">IF($C85-N$1&lt;År1,0,M84*(1-VLOOKUP($A85,[1]Hugst!$R$5:$W$9,MATCH(ROUNDUP((N$1)/10,0)*10,[1]Hugst!$R$4:$W$4,0))))</f>
        <v>6942.4614158649874</v>
      </c>
      <c r="O85" s="168">
        <f ca="1">IF($C85-O$1&lt;År1,0,N84*(1-VLOOKUP($A85,[1]Hugst!$R$5:$W$9,MATCH(ROUNDUP((O$1)/10,0)*10,[1]Hugst!$R$4:$W$4,0))))</f>
        <v>6942.0672472836686</v>
      </c>
      <c r="P85" s="168">
        <f ca="1">IF($C85-P$1&lt;År1,0,O84*(1-VLOOKUP($A85,[1]Hugst!$R$5:$W$9,MATCH(ROUNDUP((P$1)/10,0)*10,[1]Hugst!$R$4:$W$4,0))))</f>
        <v>6931.1028229263402</v>
      </c>
      <c r="Q85" s="168">
        <f ca="1">IF($C85-Q$1&lt;År1,0,P84*(1-VLOOKUP($A85,[1]Hugst!$R$5:$W$9,MATCH(ROUNDUP((Q$1)/10,0)*10,[1]Hugst!$R$4:$W$4,0))))</f>
        <v>6920.1745298226788</v>
      </c>
      <c r="R85" s="168">
        <f ca="1">IF($C85-R$1&lt;År1,0,Q84*(1-VLOOKUP($A85,[1]Hugst!$R$5:$W$9,MATCH(ROUNDUP((R$1)/10,0)*10,[1]Hugst!$R$4:$W$4,0))))</f>
        <v>6909.2823806227207</v>
      </c>
      <c r="S85" s="168">
        <f ca="1">IF($C85-S$1&lt;År1,0,R84*(1-VLOOKUP($A85,[1]Hugst!$R$5:$W$9,MATCH(ROUNDUP((S$1)/10,0)*10,[1]Hugst!$R$4:$W$4,0))))</f>
        <v>6909.1282724148796</v>
      </c>
      <c r="T85" s="168">
        <f ca="1">IF($C85-T$1&lt;År1,0,S84*(1-VLOOKUP($A85,[1]Hugst!$R$5:$W$9,MATCH(ROUNDUP((T$1)/10,0)*10,[1]Hugst!$R$4:$W$4,0))))</f>
        <v>6909.0106657448159</v>
      </c>
      <c r="U85" s="168">
        <f ca="1">IF($C85-U$1&lt;År1,0,T84*(1-VLOOKUP($A85,[1]Hugst!$R$5:$W$9,MATCH(ROUNDUP((U$1)/10,0)*10,[1]Hugst!$R$4:$W$4,0))))</f>
        <v>6908.9296315761403</v>
      </c>
      <c r="V85" s="168">
        <f ca="1">IF($C85-V$1&lt;År1,0,U84*(1-VLOOKUP($A85,[1]Hugst!$R$5:$W$9,MATCH(ROUNDUP((V$1)/10,0)*10,[1]Hugst!$R$4:$W$4,0))))</f>
        <v>6908.8852412063243</v>
      </c>
      <c r="W85" s="168">
        <f ca="1">IF($C85-W$1&lt;År1,0,V84*(1-VLOOKUP($A85,[1]Hugst!$R$5:$W$9,MATCH(ROUNDUP((W$1)/10,0)*10,[1]Hugst!$R$4:$W$4,0))))</f>
        <v>6908.87756626789</v>
      </c>
      <c r="X85" s="168">
        <f ca="1">IF($C85-X$1&lt;År1,0,W84*(1-VLOOKUP($A85,[1]Hugst!$R$5:$W$9,MATCH(ROUNDUP((X$1)/10,0)*10,[1]Hugst!$R$4:$W$4,0))))</f>
        <v>6908.9066787293841</v>
      </c>
      <c r="Y85" s="168">
        <f ca="1">IF($C85-Y$1&lt;År1,0,X84*(1-VLOOKUP($A85,[1]Hugst!$R$5:$W$9,MATCH(ROUNDUP((Y$1)/10,0)*10,[1]Hugst!$R$4:$W$4,0))))</f>
        <v>6908.9726508965041</v>
      </c>
      <c r="Z85" s="168">
        <f ca="1">IF($C85-Z$1&lt;År1,0,Y84*(1-VLOOKUP($A85,[1]Hugst!$R$5:$W$9,MATCH(ROUNDUP((Z$1)/10,0)*10,[1]Hugst!$R$4:$W$4,0))))</f>
        <v>6907.609531912035</v>
      </c>
      <c r="AA85" s="168">
        <f ca="1">IF($C85-AA$1&lt;År1,0,Z84*(1-VLOOKUP($A85,[1]Hugst!$R$5:$W$9,MATCH(ROUNDUP((AA$1)/10,0)*10,[1]Hugst!$R$4:$W$4,0))))</f>
        <v>6906.2836699648051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1948.1906284773722</v>
      </c>
      <c r="E86" s="168">
        <f t="shared" ca="1" si="1"/>
        <v>141.49434920685599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6951.3146073138578</v>
      </c>
      <c r="G86" s="168">
        <f ca="1">IF($C86-G$1&lt;År1,0,F85*(1-VLOOKUP($A86,[1]Hugst!$R$5:$W$9,MATCH(ROUNDUP((G$1)/10,0)*10,[1]Hugst!$R$4:$W$4,0))))</f>
        <v>6949.2540055901864</v>
      </c>
      <c r="H86" s="168">
        <f ca="1">IF($C86-H$1&lt;År1,0,G85*(1-VLOOKUP($A86,[1]Hugst!$R$5:$W$9,MATCH(ROUNDUP((H$1)/10,0)*10,[1]Hugst!$R$4:$W$4,0))))</f>
        <v>6947.2202603060523</v>
      </c>
      <c r="I86" s="168">
        <f ca="1">IF($C86-I$1&lt;År1,0,H85*(1-VLOOKUP($A86,[1]Hugst!$R$5:$W$9,MATCH(ROUNDUP((I$1)/10,0)*10,[1]Hugst!$R$4:$W$4,0))))</f>
        <v>6945.213535932935</v>
      </c>
      <c r="J86" s="168">
        <f ca="1">IF($C86-J$1&lt;År1,0,I85*(1-VLOOKUP($A86,[1]Hugst!$R$5:$W$9,MATCH(ROUNDUP((J$1)/10,0)*10,[1]Hugst!$R$4:$W$4,0))))</f>
        <v>6944.7093814326308</v>
      </c>
      <c r="K86" s="168">
        <f ca="1">IF($C86-K$1&lt;År1,0,J85*(1-VLOOKUP($A86,[1]Hugst!$R$5:$W$9,MATCH(ROUNDUP((K$1)/10,0)*10,[1]Hugst!$R$4:$W$4,0))))</f>
        <v>6944.2232507608951</v>
      </c>
      <c r="L86" s="168">
        <f ca="1">IF($C86-L$1&lt;År1,0,K85*(1-VLOOKUP($A86,[1]Hugst!$R$5:$W$9,MATCH(ROUNDUP((L$1)/10,0)*10,[1]Hugst!$R$4:$W$4,0))))</f>
        <v>6943.7552658964069</v>
      </c>
      <c r="M86" s="168">
        <f ca="1">IF($C86-M$1&lt;År1,0,L85*(1-VLOOKUP($A86,[1]Hugst!$R$5:$W$9,MATCH(ROUNDUP((M$1)/10,0)*10,[1]Hugst!$R$4:$W$4,0))))</f>
        <v>6943.305549478473</v>
      </c>
      <c r="N86" s="168">
        <f ca="1">IF($C86-N$1&lt;År1,0,M85*(1-VLOOKUP($A86,[1]Hugst!$R$5:$W$9,MATCH(ROUNDUP((N$1)/10,0)*10,[1]Hugst!$R$4:$W$4,0))))</f>
        <v>6942.8742248108265</v>
      </c>
      <c r="O86" s="168">
        <f ca="1">IF($C86-O$1&lt;År1,0,N85*(1-VLOOKUP($A86,[1]Hugst!$R$5:$W$9,MATCH(ROUNDUP((O$1)/10,0)*10,[1]Hugst!$R$4:$W$4,0))))</f>
        <v>6942.4614158649874</v>
      </c>
      <c r="P86" s="168">
        <f ca="1">IF($C86-P$1&lt;År1,0,O85*(1-VLOOKUP($A86,[1]Hugst!$R$5:$W$9,MATCH(ROUNDUP((P$1)/10,0)*10,[1]Hugst!$R$4:$W$4,0))))</f>
        <v>6931.4776531776424</v>
      </c>
      <c r="Q86" s="168">
        <f ca="1">IF($C86-Q$1&lt;År1,0,P85*(1-VLOOKUP($A86,[1]Hugst!$R$5:$W$9,MATCH(ROUNDUP((Q$1)/10,0)*10,[1]Hugst!$R$4:$W$4,0))))</f>
        <v>6920.5299542134017</v>
      </c>
      <c r="R86" s="168">
        <f ca="1">IF($C86-R$1&lt;År1,0,Q85*(1-VLOOKUP($A86,[1]Hugst!$R$5:$W$9,MATCH(ROUNDUP((R$1)/10,0)*10,[1]Hugst!$R$4:$W$4,0))))</f>
        <v>6909.6183313873562</v>
      </c>
      <c r="S86" s="168">
        <f ca="1">IF($C86-S$1&lt;År1,0,R85*(1-VLOOKUP($A86,[1]Hugst!$R$5:$W$9,MATCH(ROUNDUP((S$1)/10,0)*10,[1]Hugst!$R$4:$W$4,0))))</f>
        <v>6898.7427973302447</v>
      </c>
      <c r="T86" s="168">
        <f ca="1">IF($C86-T$1&lt;År1,0,S85*(1-VLOOKUP($A86,[1]Hugst!$R$5:$W$9,MATCH(ROUNDUP((T$1)/10,0)*10,[1]Hugst!$R$4:$W$4,0))))</f>
        <v>6898.5889242027215</v>
      </c>
      <c r="U86" s="168">
        <f ca="1">IF($C86-U$1&lt;År1,0,T85*(1-VLOOKUP($A86,[1]Hugst!$R$5:$W$9,MATCH(ROUNDUP((U$1)/10,0)*10,[1]Hugst!$R$4:$W$4,0))))</f>
        <v>6898.4714969326624</v>
      </c>
      <c r="V86" s="168">
        <f ca="1">IF($C86-V$1&lt;År1,0,U85*(1-VLOOKUP($A86,[1]Hugst!$R$5:$W$9,MATCH(ROUNDUP((V$1)/10,0)*10,[1]Hugst!$R$4:$W$4,0))))</f>
        <v>6898.3905863754308</v>
      </c>
      <c r="W86" s="168">
        <f ca="1">IF($C86-W$1&lt;År1,0,V85*(1-VLOOKUP($A86,[1]Hugst!$R$5:$W$9,MATCH(ROUNDUP((W$1)/10,0)*10,[1]Hugst!$R$4:$W$4,0))))</f>
        <v>6898.3462637197381</v>
      </c>
      <c r="X86" s="168">
        <f ca="1">IF($C86-X$1&lt;År1,0,W85*(1-VLOOKUP($A86,[1]Hugst!$R$5:$W$9,MATCH(ROUNDUP((X$1)/10,0)*10,[1]Hugst!$R$4:$W$4,0))))</f>
        <v>6898.3386004888371</v>
      </c>
      <c r="Y86" s="168">
        <f ca="1">IF($C86-Y$1&lt;År1,0,X85*(1-VLOOKUP($A86,[1]Hugst!$R$5:$W$9,MATCH(ROUNDUP((Y$1)/10,0)*10,[1]Hugst!$R$4:$W$4,0))))</f>
        <v>6898.3676685414912</v>
      </c>
      <c r="Z86" s="168">
        <f ca="1">IF($C86-Z$1&lt;År1,0,Y85*(1-VLOOKUP($A86,[1]Hugst!$R$5:$W$9,MATCH(ROUNDUP((Z$1)/10,0)*10,[1]Hugst!$R$4:$W$4,0))))</f>
        <v>6896.9697746809634</v>
      </c>
      <c r="AA86" s="168">
        <f ca="1">IF($C86-AA$1&lt;År1,0,Z85*(1-VLOOKUP($A86,[1]Hugst!$R$5:$W$9,MATCH(ROUNDUP((AA$1)/10,0)*10,[1]Hugst!$R$4:$W$4,0))))</f>
        <v>6895.6090238269335</v>
      </c>
      <c r="AB86" s="168">
        <f ca="1">IF($C86-AB$1&lt;År1,0,AA85*(1-VLOOKUP($A86,[1]Hugst!$R$5:$W$9,MATCH(ROUNDUP((AB$1)/10,0)*10,[1]Hugst!$R$4:$W$4,0))))</f>
        <v>6894.2854652839342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1938.4496753349667</v>
      </c>
      <c r="E87" s="168">
        <f t="shared" ca="1" si="1"/>
        <v>153.32259686774341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6953.4019018323397</v>
      </c>
      <c r="G87" s="168">
        <f ca="1">IF($C87-G$1&lt;År1,0,F86*(1-VLOOKUP($A87,[1]Hugst!$R$5:$W$9,MATCH(ROUNDUP((G$1)/10,0)*10,[1]Hugst!$R$4:$W$4,0))))</f>
        <v>6951.3146073138578</v>
      </c>
      <c r="H87" s="168">
        <f ca="1">IF($C87-H$1&lt;År1,0,G86*(1-VLOOKUP($A87,[1]Hugst!$R$5:$W$9,MATCH(ROUNDUP((H$1)/10,0)*10,[1]Hugst!$R$4:$W$4,0))))</f>
        <v>6949.2540055901864</v>
      </c>
      <c r="I87" s="168">
        <f ca="1">IF($C87-I$1&lt;År1,0,H86*(1-VLOOKUP($A87,[1]Hugst!$R$5:$W$9,MATCH(ROUNDUP((I$1)/10,0)*10,[1]Hugst!$R$4:$W$4,0))))</f>
        <v>6947.2202603060523</v>
      </c>
      <c r="J87" s="168">
        <f ca="1">IF($C87-J$1&lt;År1,0,I86*(1-VLOOKUP($A87,[1]Hugst!$R$5:$W$9,MATCH(ROUNDUP((J$1)/10,0)*10,[1]Hugst!$R$4:$W$4,0))))</f>
        <v>6945.213535932935</v>
      </c>
      <c r="K87" s="168">
        <f ca="1">IF($C87-K$1&lt;År1,0,J86*(1-VLOOKUP($A87,[1]Hugst!$R$5:$W$9,MATCH(ROUNDUP((K$1)/10,0)*10,[1]Hugst!$R$4:$W$4,0))))</f>
        <v>6944.7093814326308</v>
      </c>
      <c r="L87" s="168">
        <f ca="1">IF($C87-L$1&lt;År1,0,K86*(1-VLOOKUP($A87,[1]Hugst!$R$5:$W$9,MATCH(ROUNDUP((L$1)/10,0)*10,[1]Hugst!$R$4:$W$4,0))))</f>
        <v>6944.2232507608951</v>
      </c>
      <c r="M87" s="168">
        <f ca="1">IF($C87-M$1&lt;År1,0,L86*(1-VLOOKUP($A87,[1]Hugst!$R$5:$W$9,MATCH(ROUNDUP((M$1)/10,0)*10,[1]Hugst!$R$4:$W$4,0))))</f>
        <v>6943.7552658964069</v>
      </c>
      <c r="N87" s="168">
        <f ca="1">IF($C87-N$1&lt;År1,0,M86*(1-VLOOKUP($A87,[1]Hugst!$R$5:$W$9,MATCH(ROUNDUP((N$1)/10,0)*10,[1]Hugst!$R$4:$W$4,0))))</f>
        <v>6943.305549478473</v>
      </c>
      <c r="O87" s="168">
        <f ca="1">IF($C87-O$1&lt;År1,0,N86*(1-VLOOKUP($A87,[1]Hugst!$R$5:$W$9,MATCH(ROUNDUP((O$1)/10,0)*10,[1]Hugst!$R$4:$W$4,0))))</f>
        <v>6942.8742248108265</v>
      </c>
      <c r="P87" s="168">
        <f ca="1">IF($C87-P$1&lt;År1,0,O86*(1-VLOOKUP($A87,[1]Hugst!$R$5:$W$9,MATCH(ROUNDUP((P$1)/10,0)*10,[1]Hugst!$R$4:$W$4,0))))</f>
        <v>6931.8712204848543</v>
      </c>
      <c r="Q87" s="168">
        <f ca="1">IF($C87-Q$1&lt;År1,0,P86*(1-VLOOKUP($A87,[1]Hugst!$R$5:$W$9,MATCH(ROUNDUP((Q$1)/10,0)*10,[1]Hugst!$R$4:$W$4,0))))</f>
        <v>6920.9042126897439</v>
      </c>
      <c r="R87" s="168">
        <f ca="1">IF($C87-R$1&lt;År1,0,Q86*(1-VLOOKUP($A87,[1]Hugst!$R$5:$W$9,MATCH(ROUNDUP((R$1)/10,0)*10,[1]Hugst!$R$4:$W$4,0))))</f>
        <v>6909.9732136052789</v>
      </c>
      <c r="S87" s="168">
        <f ca="1">IF($C87-S$1&lt;År1,0,R86*(1-VLOOKUP($A87,[1]Hugst!$R$5:$W$9,MATCH(ROUNDUP((S$1)/10,0)*10,[1]Hugst!$R$4:$W$4,0))))</f>
        <v>6899.0782356276122</v>
      </c>
      <c r="T87" s="168">
        <f ca="1">IF($C87-T$1&lt;År1,0,S86*(1-VLOOKUP($A87,[1]Hugst!$R$5:$W$9,MATCH(ROUNDUP((T$1)/10,0)*10,[1]Hugst!$R$4:$W$4,0))))</f>
        <v>6888.2192913682156</v>
      </c>
      <c r="U87" s="168">
        <f ca="1">IF($C87-U$1&lt;År1,0,T86*(1-VLOOKUP($A87,[1]Hugst!$R$5:$W$9,MATCH(ROUNDUP((U$1)/10,0)*10,[1]Hugst!$R$4:$W$4,0))))</f>
        <v>6888.0656529624121</v>
      </c>
      <c r="V87" s="168">
        <f ca="1">IF($C87-V$1&lt;År1,0,U86*(1-VLOOKUP($A87,[1]Hugst!$R$5:$W$9,MATCH(ROUNDUP((V$1)/10,0)*10,[1]Hugst!$R$4:$W$4,0))))</f>
        <v>6887.9484048186969</v>
      </c>
      <c r="W87" s="168">
        <f ca="1">IF($C87-W$1&lt;År1,0,V86*(1-VLOOKUP($A87,[1]Hugst!$R$5:$W$9,MATCH(ROUNDUP((W$1)/10,0)*10,[1]Hugst!$R$4:$W$4,0))))</f>
        <v>6887.8676176843492</v>
      </c>
      <c r="X87" s="168">
        <f ca="1">IF($C87-X$1&lt;År1,0,W86*(1-VLOOKUP($A87,[1]Hugst!$R$5:$W$9,MATCH(ROUNDUP((X$1)/10,0)*10,[1]Hugst!$R$4:$W$4,0))))</f>
        <v>6887.8233626394876</v>
      </c>
      <c r="Y87" s="168">
        <f ca="1">IF($C87-Y$1&lt;År1,0,X86*(1-VLOOKUP($A87,[1]Hugst!$R$5:$W$9,MATCH(ROUNDUP((Y$1)/10,0)*10,[1]Hugst!$R$4:$W$4,0))))</f>
        <v>6887.8157110982611</v>
      </c>
      <c r="Z87" s="168">
        <f ca="1">IF($C87-Z$1&lt;År1,0,Y86*(1-VLOOKUP($A87,[1]Hugst!$R$5:$W$9,MATCH(ROUNDUP((Z$1)/10,0)*10,[1]Hugst!$R$4:$W$4,0))))</f>
        <v>6886.383216235974</v>
      </c>
      <c r="AA87" s="168">
        <f ca="1">IF($C87-AA$1&lt;År1,0,Z86*(1-VLOOKUP($A87,[1]Hugst!$R$5:$W$9,MATCH(ROUNDUP((AA$1)/10,0)*10,[1]Hugst!$R$4:$W$4,0))))</f>
        <v>6884.987750919865</v>
      </c>
      <c r="AB87" s="168">
        <f ca="1">IF($C87-AB$1&lt;År1,0,AA86*(1-VLOOKUP($A87,[1]Hugst!$R$5:$W$9,MATCH(ROUNDUP((AB$1)/10,0)*10,[1]Hugst!$R$4:$W$4,0))))</f>
        <v>6883.6293640821496</v>
      </c>
      <c r="AC87" s="168">
        <f ca="1">IF($C87-AC$1&lt;År1,0,AB86*(1-VLOOKUP($A87,[1]Hugst!$R$5:$W$9,MATCH(ROUNDUP((AC$1)/10,0)*10,[1]Hugst!$R$4:$W$4,0))))</f>
        <v>6882.3081049417033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1928.7574269582983</v>
      </c>
      <c r="E88" s="168">
        <f t="shared" ca="1" si="1"/>
        <v>165.12866973556811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6955.515726323496</v>
      </c>
      <c r="G88" s="168">
        <f ca="1">IF($C88-G$1&lt;År1,0,F87*(1-VLOOKUP($A88,[1]Hugst!$R$5:$W$9,MATCH(ROUNDUP((G$1)/10,0)*10,[1]Hugst!$R$4:$W$4,0))))</f>
        <v>6953.4019018323397</v>
      </c>
      <c r="H88" s="168">
        <f ca="1">IF($C88-H$1&lt;År1,0,G87*(1-VLOOKUP($A88,[1]Hugst!$R$5:$W$9,MATCH(ROUNDUP((H$1)/10,0)*10,[1]Hugst!$R$4:$W$4,0))))</f>
        <v>6951.3146073138578</v>
      </c>
      <c r="I88" s="168">
        <f ca="1">IF($C88-I$1&lt;År1,0,H87*(1-VLOOKUP($A88,[1]Hugst!$R$5:$W$9,MATCH(ROUNDUP((I$1)/10,0)*10,[1]Hugst!$R$4:$W$4,0))))</f>
        <v>6949.2540055901864</v>
      </c>
      <c r="J88" s="168">
        <f ca="1">IF($C88-J$1&lt;År1,0,I87*(1-VLOOKUP($A88,[1]Hugst!$R$5:$W$9,MATCH(ROUNDUP((J$1)/10,0)*10,[1]Hugst!$R$4:$W$4,0))))</f>
        <v>6947.2202603060523</v>
      </c>
      <c r="K88" s="168">
        <f ca="1">IF($C88-K$1&lt;År1,0,J87*(1-VLOOKUP($A88,[1]Hugst!$R$5:$W$9,MATCH(ROUNDUP((K$1)/10,0)*10,[1]Hugst!$R$4:$W$4,0))))</f>
        <v>6945.213535932935</v>
      </c>
      <c r="L88" s="168">
        <f ca="1">IF($C88-L$1&lt;År1,0,K87*(1-VLOOKUP($A88,[1]Hugst!$R$5:$W$9,MATCH(ROUNDUP((L$1)/10,0)*10,[1]Hugst!$R$4:$W$4,0))))</f>
        <v>6944.7093814326308</v>
      </c>
      <c r="M88" s="168">
        <f ca="1">IF($C88-M$1&lt;År1,0,L87*(1-VLOOKUP($A88,[1]Hugst!$R$5:$W$9,MATCH(ROUNDUP((M$1)/10,0)*10,[1]Hugst!$R$4:$W$4,0))))</f>
        <v>6944.2232507608951</v>
      </c>
      <c r="N88" s="168">
        <f ca="1">IF($C88-N$1&lt;År1,0,M87*(1-VLOOKUP($A88,[1]Hugst!$R$5:$W$9,MATCH(ROUNDUP((N$1)/10,0)*10,[1]Hugst!$R$4:$W$4,0))))</f>
        <v>6943.7552658964069</v>
      </c>
      <c r="O88" s="168">
        <f ca="1">IF($C88-O$1&lt;År1,0,N87*(1-VLOOKUP($A88,[1]Hugst!$R$5:$W$9,MATCH(ROUNDUP((O$1)/10,0)*10,[1]Hugst!$R$4:$W$4,0))))</f>
        <v>6943.305549478473</v>
      </c>
      <c r="P88" s="168">
        <f ca="1">IF($C88-P$1&lt;År1,0,O87*(1-VLOOKUP($A88,[1]Hugst!$R$5:$W$9,MATCH(ROUNDUP((P$1)/10,0)*10,[1]Hugst!$R$4:$W$4,0))))</f>
        <v>6932.2833997221314</v>
      </c>
      <c r="Q88" s="168">
        <f ca="1">IF($C88-Q$1&lt;År1,0,P87*(1-VLOOKUP($A88,[1]Hugst!$R$5:$W$9,MATCH(ROUNDUP((Q$1)/10,0)*10,[1]Hugst!$R$4:$W$4,0))))</f>
        <v>6921.297179640047</v>
      </c>
      <c r="R88" s="168">
        <f ca="1">IF($C88-R$1&lt;År1,0,Q87*(1-VLOOKUP($A88,[1]Hugst!$R$5:$W$9,MATCH(ROUNDUP((R$1)/10,0)*10,[1]Hugst!$R$4:$W$4,0))))</f>
        <v>6910.3469011788611</v>
      </c>
      <c r="S88" s="168">
        <f ca="1">IF($C88-S$1&lt;År1,0,R87*(1-VLOOKUP($A88,[1]Hugst!$R$5:$W$9,MATCH(ROUNDUP((S$1)/10,0)*10,[1]Hugst!$R$4:$W$4,0))))</f>
        <v>6899.4325764997793</v>
      </c>
      <c r="T88" s="168">
        <f ca="1">IF($C88-T$1&lt;År1,0,S87*(1-VLOOKUP($A88,[1]Hugst!$R$5:$W$9,MATCH(ROUNDUP((T$1)/10,0)*10,[1]Hugst!$R$4:$W$4,0))))</f>
        <v>6888.5542179800441</v>
      </c>
      <c r="U88" s="168">
        <f ca="1">IF($C88-U$1&lt;År1,0,T87*(1-VLOOKUP($A88,[1]Hugst!$R$5:$W$9,MATCH(ROUNDUP((U$1)/10,0)*10,[1]Hugst!$R$4:$W$4,0))))</f>
        <v>6877.7118382118906</v>
      </c>
      <c r="V88" s="168">
        <f ca="1">IF($C88-V$1&lt;År1,0,U87*(1-VLOOKUP($A88,[1]Hugst!$R$5:$W$9,MATCH(ROUNDUP((V$1)/10,0)*10,[1]Hugst!$R$4:$W$4,0))))</f>
        <v>6877.5584341697577</v>
      </c>
      <c r="W88" s="168">
        <f ca="1">IF($C88-W$1&lt;År1,0,V87*(1-VLOOKUP($A88,[1]Hugst!$R$5:$W$9,MATCH(ROUNDUP((W$1)/10,0)*10,[1]Hugst!$R$4:$W$4,0))))</f>
        <v>6877.4413648791424</v>
      </c>
      <c r="X88" s="168">
        <f ca="1">IF($C88-X$1&lt;År1,0,W87*(1-VLOOKUP($A88,[1]Hugst!$R$5:$W$9,MATCH(ROUNDUP((X$1)/10,0)*10,[1]Hugst!$R$4:$W$4,0))))</f>
        <v>6877.3607009794068</v>
      </c>
      <c r="Y88" s="168">
        <f ca="1">IF($C88-Y$1&lt;År1,0,X87*(1-VLOOKUP($A88,[1]Hugst!$R$5:$W$9,MATCH(ROUNDUP((Y$1)/10,0)*10,[1]Hugst!$R$4:$W$4,0))))</f>
        <v>6877.3165134422406</v>
      </c>
      <c r="Z88" s="168">
        <f ca="1">IF($C88-Z$1&lt;År1,0,Y87*(1-VLOOKUP($A88,[1]Hugst!$R$5:$W$9,MATCH(ROUNDUP((Z$1)/10,0)*10,[1]Hugst!$R$4:$W$4,0))))</f>
        <v>6875.8495905832169</v>
      </c>
      <c r="AA88" s="168">
        <f ca="1">IF($C88-AA$1&lt;År1,0,Z87*(1-VLOOKUP($A88,[1]Hugst!$R$5:$W$9,MATCH(ROUNDUP((AA$1)/10,0)*10,[1]Hugst!$R$4:$W$4,0))))</f>
        <v>6874.4195843772586</v>
      </c>
      <c r="AB88" s="168">
        <f ca="1">IF($C88-AB$1&lt;År1,0,AA87*(1-VLOOKUP($A88,[1]Hugst!$R$5:$W$9,MATCH(ROUNDUP((AB$1)/10,0)*10,[1]Hugst!$R$4:$W$4,0))))</f>
        <v>6873.026543386487</v>
      </c>
      <c r="AC88" s="168">
        <f ca="1">IF($C88-AC$1&lt;År1,0,AB87*(1-VLOOKUP($A88,[1]Hugst!$R$5:$W$9,MATCH(ROUNDUP((AC$1)/10,0)*10,[1]Hugst!$R$4:$W$4,0))))</f>
        <v>6871.6705164581081</v>
      </c>
      <c r="AD88" s="168">
        <f ca="1">IF($C88-AD$1&lt;År1,0,AC87*(1-VLOOKUP($A88,[1]Hugst!$R$5:$W$9,MATCH(ROUNDUP((AD$1)/10,0)*10,[1]Hugst!$R$4:$W$4,0))))</f>
        <v>6870.3515527254904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1919.1136398235103</v>
      </c>
      <c r="E89" s="168">
        <f t="shared" ca="1" si="1"/>
        <v>176.91264933042112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6957.655918783561</v>
      </c>
      <c r="G89" s="168">
        <f ca="1">IF($C89-G$1&lt;År1,0,F88*(1-VLOOKUP($A89,[1]Hugst!$R$5:$W$9,MATCH(ROUNDUP((G$1)/10,0)*10,[1]Hugst!$R$4:$W$4,0))))</f>
        <v>6955.515726323496</v>
      </c>
      <c r="H89" s="168">
        <f ca="1">IF($C89-H$1&lt;År1,0,G88*(1-VLOOKUP($A89,[1]Hugst!$R$5:$W$9,MATCH(ROUNDUP((H$1)/10,0)*10,[1]Hugst!$R$4:$W$4,0))))</f>
        <v>6953.4019018323397</v>
      </c>
      <c r="I89" s="168">
        <f ca="1">IF($C89-I$1&lt;År1,0,H88*(1-VLOOKUP($A89,[1]Hugst!$R$5:$W$9,MATCH(ROUNDUP((I$1)/10,0)*10,[1]Hugst!$R$4:$W$4,0))))</f>
        <v>6951.3146073138578</v>
      </c>
      <c r="J89" s="168">
        <f ca="1">IF($C89-J$1&lt;År1,0,I88*(1-VLOOKUP($A89,[1]Hugst!$R$5:$W$9,MATCH(ROUNDUP((J$1)/10,0)*10,[1]Hugst!$R$4:$W$4,0))))</f>
        <v>6949.2540055901864</v>
      </c>
      <c r="K89" s="168">
        <f ca="1">IF($C89-K$1&lt;År1,0,J88*(1-VLOOKUP($A89,[1]Hugst!$R$5:$W$9,MATCH(ROUNDUP((K$1)/10,0)*10,[1]Hugst!$R$4:$W$4,0))))</f>
        <v>6947.2202603060523</v>
      </c>
      <c r="L89" s="168">
        <f ca="1">IF($C89-L$1&lt;År1,0,K88*(1-VLOOKUP($A89,[1]Hugst!$R$5:$W$9,MATCH(ROUNDUP((L$1)/10,0)*10,[1]Hugst!$R$4:$W$4,0))))</f>
        <v>6945.213535932935</v>
      </c>
      <c r="M89" s="168">
        <f ca="1">IF($C89-M$1&lt;År1,0,L88*(1-VLOOKUP($A89,[1]Hugst!$R$5:$W$9,MATCH(ROUNDUP((M$1)/10,0)*10,[1]Hugst!$R$4:$W$4,0))))</f>
        <v>6944.7093814326308</v>
      </c>
      <c r="N89" s="168">
        <f ca="1">IF($C89-N$1&lt;År1,0,M88*(1-VLOOKUP($A89,[1]Hugst!$R$5:$W$9,MATCH(ROUNDUP((N$1)/10,0)*10,[1]Hugst!$R$4:$W$4,0))))</f>
        <v>6944.2232507608951</v>
      </c>
      <c r="O89" s="168">
        <f ca="1">IF($C89-O$1&lt;År1,0,N88*(1-VLOOKUP($A89,[1]Hugst!$R$5:$W$9,MATCH(ROUNDUP((O$1)/10,0)*10,[1]Hugst!$R$4:$W$4,0))))</f>
        <v>6943.7552658964069</v>
      </c>
      <c r="P89" s="168">
        <f ca="1">IF($C89-P$1&lt;År1,0,O88*(1-VLOOKUP($A89,[1]Hugst!$R$5:$W$9,MATCH(ROUNDUP((P$1)/10,0)*10,[1]Hugst!$R$4:$W$4,0))))</f>
        <v>6932.7140664368953</v>
      </c>
      <c r="Q89" s="168">
        <f ca="1">IF($C89-Q$1&lt;År1,0,P88*(1-VLOOKUP($A89,[1]Hugst!$R$5:$W$9,MATCH(ROUNDUP((Q$1)/10,0)*10,[1]Hugst!$R$4:$W$4,0))))</f>
        <v>6921.708730129335</v>
      </c>
      <c r="R89" s="168">
        <f ca="1">IF($C89-R$1&lt;År1,0,Q88*(1-VLOOKUP($A89,[1]Hugst!$R$5:$W$9,MATCH(ROUNDUP((R$1)/10,0)*10,[1]Hugst!$R$4:$W$4,0))))</f>
        <v>6910.7392686880539</v>
      </c>
      <c r="S89" s="168">
        <f ca="1">IF($C89-S$1&lt;År1,0,R88*(1-VLOOKUP($A89,[1]Hugst!$R$5:$W$9,MATCH(ROUNDUP((S$1)/10,0)*10,[1]Hugst!$R$4:$W$4,0))))</f>
        <v>6899.805694041469</v>
      </c>
      <c r="T89" s="168">
        <f ca="1">IF($C89-T$1&lt;År1,0,S88*(1-VLOOKUP($A89,[1]Hugst!$R$5:$W$9,MATCH(ROUNDUP((T$1)/10,0)*10,[1]Hugst!$R$4:$W$4,0))))</f>
        <v>6888.9080183322367</v>
      </c>
      <c r="U89" s="168">
        <f ca="1">IF($C89-U$1&lt;År1,0,T88*(1-VLOOKUP($A89,[1]Hugst!$R$5:$W$9,MATCH(ROUNDUP((U$1)/10,0)*10,[1]Hugst!$R$4:$W$4,0))))</f>
        <v>6878.0462539187183</v>
      </c>
      <c r="V89" s="168">
        <f ca="1">IF($C89-V$1&lt;År1,0,U88*(1-VLOOKUP($A89,[1]Hugst!$R$5:$W$9,MATCH(ROUNDUP((V$1)/10,0)*10,[1]Hugst!$R$4:$W$4,0))))</f>
        <v>6867.2204133739397</v>
      </c>
      <c r="W89" s="168">
        <f ca="1">IF($C89-W$1&lt;År1,0,V88*(1-VLOOKUP($A89,[1]Hugst!$R$5:$W$9,MATCH(ROUNDUP((W$1)/10,0)*10,[1]Hugst!$R$4:$W$4,0))))</f>
        <v>6867.0672433379732</v>
      </c>
      <c r="X89" s="168">
        <f ca="1">IF($C89-X$1&lt;År1,0,W88*(1-VLOOKUP($A89,[1]Hugst!$R$5:$W$9,MATCH(ROUNDUP((X$1)/10,0)*10,[1]Hugst!$R$4:$W$4,0))))</f>
        <v>6866.9503526276312</v>
      </c>
      <c r="Y89" s="168">
        <f ca="1">IF($C89-Y$1&lt;År1,0,X88*(1-VLOOKUP($A89,[1]Hugst!$R$5:$W$9,MATCH(ROUNDUP((Y$1)/10,0)*10,[1]Hugst!$R$4:$W$4,0))))</f>
        <v>6866.8698117745225</v>
      </c>
      <c r="Z89" s="168">
        <f ca="1">IF($C89-Z$1&lt;År1,0,Y88*(1-VLOOKUP($A89,[1]Hugst!$R$5:$W$9,MATCH(ROUNDUP((Z$1)/10,0)*10,[1]Hugst!$R$4:$W$4,0))))</f>
        <v>6865.3686330587179</v>
      </c>
      <c r="AA89" s="168">
        <f ca="1">IF($C89-AA$1&lt;År1,0,Z88*(1-VLOOKUP($A89,[1]Hugst!$R$5:$W$9,MATCH(ROUNDUP((AA$1)/10,0)*10,[1]Hugst!$R$4:$W$4,0))))</f>
        <v>6863.9042586673731</v>
      </c>
      <c r="AB89" s="168">
        <f ca="1">IF($C89-AB$1&lt;År1,0,AA88*(1-VLOOKUP($A89,[1]Hugst!$R$5:$W$9,MATCH(ROUNDUP((AB$1)/10,0)*10,[1]Hugst!$R$4:$W$4,0))))</f>
        <v>6862.4767367942304</v>
      </c>
      <c r="AC89" s="168">
        <f ca="1">IF($C89-AC$1&lt;År1,0,AB88*(1-VLOOKUP($A89,[1]Hugst!$R$5:$W$9,MATCH(ROUNDUP((AC$1)/10,0)*10,[1]Hugst!$R$4:$W$4,0))))</f>
        <v>6861.0861159170445</v>
      </c>
      <c r="AD89" s="168">
        <f ca="1">IF($C89-AD$1&lt;År1,0,AC88*(1-VLOOKUP($A89,[1]Hugst!$R$5:$W$9,MATCH(ROUNDUP((AD$1)/10,0)*10,[1]Hugst!$R$4:$W$4,0))))</f>
        <v>6859.7324447981591</v>
      </c>
      <c r="AE89" s="168">
        <f ca="1">IF($C89-AE$1&lt;År1,0,AD88*(1-VLOOKUP($A89,[1]Hugst!$R$5:$W$9,MATCH(ROUNDUP((AE$1)/10,0)*10,[1]Hugst!$R$4:$W$4,0))))</f>
        <v>6858.4157724855859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1909.5180716244504</v>
      </c>
      <c r="E90" s="168">
        <f t="shared" ca="1" si="1"/>
        <v>188.67461676939274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6959.8223180234727</v>
      </c>
      <c r="G90" s="168">
        <f ca="1">IF($C90-G$1&lt;År1,0,F89*(1-VLOOKUP($A90,[1]Hugst!$R$5:$W$9,MATCH(ROUNDUP((G$1)/10,0)*10,[1]Hugst!$R$4:$W$4,0))))</f>
        <v>6957.655918783561</v>
      </c>
      <c r="H90" s="168">
        <f ca="1">IF($C90-H$1&lt;År1,0,G89*(1-VLOOKUP($A90,[1]Hugst!$R$5:$W$9,MATCH(ROUNDUP((H$1)/10,0)*10,[1]Hugst!$R$4:$W$4,0))))</f>
        <v>6955.515726323496</v>
      </c>
      <c r="I90" s="168">
        <f ca="1">IF($C90-I$1&lt;År1,0,H89*(1-VLOOKUP($A90,[1]Hugst!$R$5:$W$9,MATCH(ROUNDUP((I$1)/10,0)*10,[1]Hugst!$R$4:$W$4,0))))</f>
        <v>6953.4019018323397</v>
      </c>
      <c r="J90" s="168">
        <f ca="1">IF($C90-J$1&lt;År1,0,I89*(1-VLOOKUP($A90,[1]Hugst!$R$5:$W$9,MATCH(ROUNDUP((J$1)/10,0)*10,[1]Hugst!$R$4:$W$4,0))))</f>
        <v>6951.3146073138578</v>
      </c>
      <c r="K90" s="168">
        <f ca="1">IF($C90-K$1&lt;År1,0,J89*(1-VLOOKUP($A90,[1]Hugst!$R$5:$W$9,MATCH(ROUNDUP((K$1)/10,0)*10,[1]Hugst!$R$4:$W$4,0))))</f>
        <v>6949.2540055901864</v>
      </c>
      <c r="L90" s="168">
        <f ca="1">IF($C90-L$1&lt;År1,0,K89*(1-VLOOKUP($A90,[1]Hugst!$R$5:$W$9,MATCH(ROUNDUP((L$1)/10,0)*10,[1]Hugst!$R$4:$W$4,0))))</f>
        <v>6947.2202603060523</v>
      </c>
      <c r="M90" s="168">
        <f ca="1">IF($C90-M$1&lt;År1,0,L89*(1-VLOOKUP($A90,[1]Hugst!$R$5:$W$9,MATCH(ROUNDUP((M$1)/10,0)*10,[1]Hugst!$R$4:$W$4,0))))</f>
        <v>6945.213535932935</v>
      </c>
      <c r="N90" s="168">
        <f ca="1">IF($C90-N$1&lt;År1,0,M89*(1-VLOOKUP($A90,[1]Hugst!$R$5:$W$9,MATCH(ROUNDUP((N$1)/10,0)*10,[1]Hugst!$R$4:$W$4,0))))</f>
        <v>6944.7093814326308</v>
      </c>
      <c r="O90" s="168">
        <f ca="1">IF($C90-O$1&lt;År1,0,N89*(1-VLOOKUP($A90,[1]Hugst!$R$5:$W$9,MATCH(ROUNDUP((O$1)/10,0)*10,[1]Hugst!$R$4:$W$4,0))))</f>
        <v>6944.2232507608951</v>
      </c>
      <c r="P90" s="168">
        <f ca="1">IF($C90-P$1&lt;År1,0,O89*(1-VLOOKUP($A90,[1]Hugst!$R$5:$W$9,MATCH(ROUNDUP((P$1)/10,0)*10,[1]Hugst!$R$4:$W$4,0))))</f>
        <v>6933.1630968467343</v>
      </c>
      <c r="Q90" s="168">
        <f ca="1">IF($C90-Q$1&lt;År1,0,P89*(1-VLOOKUP($A90,[1]Hugst!$R$5:$W$9,MATCH(ROUNDUP((Q$1)/10,0)*10,[1]Hugst!$R$4:$W$4,0))))</f>
        <v>6922.1387398948727</v>
      </c>
      <c r="R90" s="168">
        <f ca="1">IF($C90-R$1&lt;År1,0,Q89*(1-VLOOKUP($A90,[1]Hugst!$R$5:$W$9,MATCH(ROUNDUP((R$1)/10,0)*10,[1]Hugst!$R$4:$W$4,0))))</f>
        <v>6911.1501913884595</v>
      </c>
      <c r="S90" s="168">
        <f ca="1">IF($C90-S$1&lt;År1,0,R89*(1-VLOOKUP($A90,[1]Hugst!$R$5:$W$9,MATCH(ROUNDUP((S$1)/10,0)*10,[1]Hugst!$R$4:$W$4,0))))</f>
        <v>6900.1974630239529</v>
      </c>
      <c r="T90" s="168">
        <f ca="1">IF($C90-T$1&lt;År1,0,S89*(1-VLOOKUP($A90,[1]Hugst!$R$5:$W$9,MATCH(ROUNDUP((T$1)/10,0)*10,[1]Hugst!$R$4:$W$4,0))))</f>
        <v>6889.2805667115754</v>
      </c>
      <c r="U90" s="168">
        <f ca="1">IF($C90-U$1&lt;År1,0,T89*(1-VLOOKUP($A90,[1]Hugst!$R$5:$W$9,MATCH(ROUNDUP((U$1)/10,0)*10,[1]Hugst!$R$4:$W$4,0))))</f>
        <v>6878.3995145754589</v>
      </c>
      <c r="V90" s="168">
        <f ca="1">IF($C90-V$1&lt;År1,0,U89*(1-VLOOKUP($A90,[1]Hugst!$R$5:$W$9,MATCH(ROUNDUP((V$1)/10,0)*10,[1]Hugst!$R$4:$W$4,0))))</f>
        <v>6867.5543189551136</v>
      </c>
      <c r="W90" s="168">
        <f ca="1">IF($C90-W$1&lt;År1,0,V89*(1-VLOOKUP($A90,[1]Hugst!$R$5:$W$9,MATCH(ROUNDUP((W$1)/10,0)*10,[1]Hugst!$R$4:$W$4,0))))</f>
        <v>6856.7449924043858</v>
      </c>
      <c r="X90" s="168">
        <f ca="1">IF($C90-X$1&lt;År1,0,W89*(1-VLOOKUP($A90,[1]Hugst!$R$5:$W$9,MATCH(ROUNDUP((X$1)/10,0)*10,[1]Hugst!$R$4:$W$4,0))))</f>
        <v>6856.5920560176273</v>
      </c>
      <c r="Y90" s="168">
        <f ca="1">IF($C90-Y$1&lt;År1,0,X89*(1-VLOOKUP($A90,[1]Hugst!$R$5:$W$9,MATCH(ROUNDUP((Y$1)/10,0)*10,[1]Hugst!$R$4:$W$4,0))))</f>
        <v>6856.4753436151477</v>
      </c>
      <c r="Z90" s="168">
        <f ca="1">IF($C90-Z$1&lt;År1,0,Y89*(1-VLOOKUP($A90,[1]Hugst!$R$5:$W$9,MATCH(ROUNDUP((Z$1)/10,0)*10,[1]Hugst!$R$4:$W$4,0))))</f>
        <v>6854.9400803218632</v>
      </c>
      <c r="AA90" s="168">
        <f ca="1">IF($C90-AA$1&lt;År1,0,Z89*(1-VLOOKUP($A90,[1]Hugst!$R$5:$W$9,MATCH(ROUNDUP((AA$1)/10,0)*10,[1]Hugst!$R$4:$W$4,0))))</f>
        <v>6853.4415095860313</v>
      </c>
      <c r="AB90" s="168">
        <f ca="1">IF($C90-AB$1&lt;År1,0,AA89*(1-VLOOKUP($A90,[1]Hugst!$R$5:$W$9,MATCH(ROUNDUP((AB$1)/10,0)*10,[1]Hugst!$R$4:$W$4,0))))</f>
        <v>6851.9796792349425</v>
      </c>
      <c r="AC90" s="168">
        <f ca="1">IF($C90-AC$1&lt;År1,0,AB89*(1-VLOOKUP($A90,[1]Hugst!$R$5:$W$9,MATCH(ROUNDUP((AC$1)/10,0)*10,[1]Hugst!$R$4:$W$4,0))))</f>
        <v>6850.5546373786128</v>
      </c>
      <c r="AD90" s="168">
        <f ca="1">IF($C90-AD$1&lt;År1,0,AC89*(1-VLOOKUP($A90,[1]Hugst!$R$5:$W$9,MATCH(ROUNDUP((AD$1)/10,0)*10,[1]Hugst!$R$4:$W$4,0))))</f>
        <v>6849.1664324105777</v>
      </c>
      <c r="AE90" s="168">
        <f ca="1">IF($C90-AE$1&lt;År1,0,AD89*(1-VLOOKUP($A90,[1]Hugst!$R$5:$W$9,MATCH(ROUNDUP((AE$1)/10,0)*10,[1]Hugst!$R$4:$W$4,0))))</f>
        <v>6847.8151130084671</v>
      </c>
      <c r="AF90" s="168">
        <f ca="1">IF($C90-AF$1&lt;År1,0,AE89*(1-VLOOKUP($A90,[1]Hugst!$R$5:$W$9,MATCH(ROUNDUP((AF$1)/10,0)*10,[1]Hugst!$R$4:$W$4,0))))</f>
        <v>6846.5007281350809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1899.9704812662094</v>
      </c>
      <c r="E91" s="168">
        <f t="shared" ca="1" si="1"/>
        <v>200.41465276828967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6962.0147636641286</v>
      </c>
      <c r="G91" s="168">
        <f ca="1">IF($C91-G$1&lt;År1,0,F90*(1-VLOOKUP($A91,[1]Hugst!$R$5:$W$9,MATCH(ROUNDUP((G$1)/10,0)*10,[1]Hugst!$R$4:$W$4,0))))</f>
        <v>6959.8223180234727</v>
      </c>
      <c r="H91" s="168">
        <f ca="1">IF($C91-H$1&lt;År1,0,G90*(1-VLOOKUP($A91,[1]Hugst!$R$5:$W$9,MATCH(ROUNDUP((H$1)/10,0)*10,[1]Hugst!$R$4:$W$4,0))))</f>
        <v>6957.655918783561</v>
      </c>
      <c r="I91" s="168">
        <f ca="1">IF($C91-I$1&lt;År1,0,H90*(1-VLOOKUP($A91,[1]Hugst!$R$5:$W$9,MATCH(ROUNDUP((I$1)/10,0)*10,[1]Hugst!$R$4:$W$4,0))))</f>
        <v>6955.515726323496</v>
      </c>
      <c r="J91" s="168">
        <f ca="1">IF($C91-J$1&lt;År1,0,I90*(1-VLOOKUP($A91,[1]Hugst!$R$5:$W$9,MATCH(ROUNDUP((J$1)/10,0)*10,[1]Hugst!$R$4:$W$4,0))))</f>
        <v>6953.4019018323397</v>
      </c>
      <c r="K91" s="168">
        <f ca="1">IF($C91-K$1&lt;År1,0,J90*(1-VLOOKUP($A91,[1]Hugst!$R$5:$W$9,MATCH(ROUNDUP((K$1)/10,0)*10,[1]Hugst!$R$4:$W$4,0))))</f>
        <v>6951.3146073138578</v>
      </c>
      <c r="L91" s="168">
        <f ca="1">IF($C91-L$1&lt;År1,0,K90*(1-VLOOKUP($A91,[1]Hugst!$R$5:$W$9,MATCH(ROUNDUP((L$1)/10,0)*10,[1]Hugst!$R$4:$W$4,0))))</f>
        <v>6949.2540055901864</v>
      </c>
      <c r="M91" s="168">
        <f ca="1">IF($C91-M$1&lt;År1,0,L90*(1-VLOOKUP($A91,[1]Hugst!$R$5:$W$9,MATCH(ROUNDUP((M$1)/10,0)*10,[1]Hugst!$R$4:$W$4,0))))</f>
        <v>6947.2202603060523</v>
      </c>
      <c r="N91" s="168">
        <f ca="1">IF($C91-N$1&lt;År1,0,M90*(1-VLOOKUP($A91,[1]Hugst!$R$5:$W$9,MATCH(ROUNDUP((N$1)/10,0)*10,[1]Hugst!$R$4:$W$4,0))))</f>
        <v>6945.213535932935</v>
      </c>
      <c r="O91" s="168">
        <f ca="1">IF($C91-O$1&lt;År1,0,N90*(1-VLOOKUP($A91,[1]Hugst!$R$5:$W$9,MATCH(ROUNDUP((O$1)/10,0)*10,[1]Hugst!$R$4:$W$4,0))))</f>
        <v>6944.7093814326308</v>
      </c>
      <c r="P91" s="168">
        <f ca="1">IF($C91-P$1&lt;År1,0,O90*(1-VLOOKUP($A91,[1]Hugst!$R$5:$W$9,MATCH(ROUNDUP((P$1)/10,0)*10,[1]Hugst!$R$4:$W$4,0))))</f>
        <v>6933.6303678360055</v>
      </c>
      <c r="Q91" s="168">
        <f ca="1">IF($C91-Q$1&lt;År1,0,P90*(1-VLOOKUP($A91,[1]Hugst!$R$5:$W$9,MATCH(ROUNDUP((Q$1)/10,0)*10,[1]Hugst!$R$4:$W$4,0))))</f>
        <v>6922.5870853430697</v>
      </c>
      <c r="R91" s="168">
        <f ca="1">IF($C91-R$1&lt;År1,0,Q90*(1-VLOOKUP($A91,[1]Hugst!$R$5:$W$9,MATCH(ROUNDUP((R$1)/10,0)*10,[1]Hugst!$R$4:$W$4,0))))</f>
        <v>6911.5795452068969</v>
      </c>
      <c r="S91" s="168">
        <f ca="1">IF($C91-S$1&lt;År1,0,R90*(1-VLOOKUP($A91,[1]Hugst!$R$5:$W$9,MATCH(ROUNDUP((S$1)/10,0)*10,[1]Hugst!$R$4:$W$4,0))))</f>
        <v>6900.6077588931212</v>
      </c>
      <c r="T91" s="168">
        <f ca="1">IF($C91-T$1&lt;År1,0,S90*(1-VLOOKUP($A91,[1]Hugst!$R$5:$W$9,MATCH(ROUNDUP((T$1)/10,0)*10,[1]Hugst!$R$4:$W$4,0))))</f>
        <v>6889.6717380803566</v>
      </c>
      <c r="U91" s="168">
        <f ca="1">IF($C91-U$1&lt;År1,0,T90*(1-VLOOKUP($A91,[1]Hugst!$R$5:$W$9,MATCH(ROUNDUP((U$1)/10,0)*10,[1]Hugst!$R$4:$W$4,0))))</f>
        <v>6878.7714946606593</v>
      </c>
      <c r="V91" s="168">
        <f ca="1">IF($C91-V$1&lt;År1,0,U90*(1-VLOOKUP($A91,[1]Hugst!$R$5:$W$9,MATCH(ROUNDUP((V$1)/10,0)*10,[1]Hugst!$R$4:$W$4,0))))</f>
        <v>6867.9070407396657</v>
      </c>
      <c r="W91" s="168">
        <f ca="1">IF($C91-W$1&lt;År1,0,V90*(1-VLOOKUP($A91,[1]Hugst!$R$5:$W$9,MATCH(ROUNDUP((W$1)/10,0)*10,[1]Hugst!$R$4:$W$4,0))))</f>
        <v>6857.0783886380632</v>
      </c>
      <c r="X91" s="168">
        <f ca="1">IF($C91-X$1&lt;År1,0,W90*(1-VLOOKUP($A91,[1]Hugst!$R$5:$W$9,MATCH(ROUNDUP((X$1)/10,0)*10,[1]Hugst!$R$4:$W$4,0))))</f>
        <v>6846.2855508905486</v>
      </c>
      <c r="Y91" s="168">
        <f ca="1">IF($C91-Y$1&lt;År1,0,X90*(1-VLOOKUP($A91,[1]Hugst!$R$5:$W$9,MATCH(ROUNDUP((Y$1)/10,0)*10,[1]Hugst!$R$4:$W$4,0))))</f>
        <v>6846.1328477965835</v>
      </c>
      <c r="Z91" s="168">
        <f ca="1">IF($C91-Z$1&lt;År1,0,Y90*(1-VLOOKUP($A91,[1]Hugst!$R$5:$W$9,MATCH(ROUNDUP((Z$1)/10,0)*10,[1]Hugst!$R$4:$W$4,0))))</f>
        <v>6844.5636703486971</v>
      </c>
      <c r="AA91" s="168">
        <f ca="1">IF($C91-AA$1&lt;År1,0,Z90*(1-VLOOKUP($A91,[1]Hugst!$R$5:$W$9,MATCH(ROUNDUP((AA$1)/10,0)*10,[1]Hugst!$R$4:$W$4,0))))</f>
        <v>6843.0310742501169</v>
      </c>
      <c r="AB91" s="168">
        <f ca="1">IF($C91-AB$1&lt;År1,0,AA90*(1-VLOOKUP($A91,[1]Hugst!$R$5:$W$9,MATCH(ROUNDUP((AB$1)/10,0)*10,[1]Hugst!$R$4:$W$4,0))))</f>
        <v>6841.5351069634453</v>
      </c>
      <c r="AC91" s="168">
        <f ca="1">IF($C91-AC$1&lt;År1,0,AB90*(1-VLOOKUP($A91,[1]Hugst!$R$5:$W$9,MATCH(ROUNDUP((AC$1)/10,0)*10,[1]Hugst!$R$4:$W$4,0))))</f>
        <v>6840.0758162328812</v>
      </c>
      <c r="AD91" s="168">
        <f ca="1">IF($C91-AD$1&lt;År1,0,AC90*(1-VLOOKUP($A91,[1]Hugst!$R$5:$W$9,MATCH(ROUNDUP((AD$1)/10,0)*10,[1]Hugst!$R$4:$W$4,0))))</f>
        <v>6838.6532500848616</v>
      </c>
      <c r="AE91" s="168">
        <f ca="1">IF($C91-AE$1&lt;År1,0,AD90*(1-VLOOKUP($A91,[1]Hugst!$R$5:$W$9,MATCH(ROUNDUP((AE$1)/10,0)*10,[1]Hugst!$R$4:$W$4,0))))</f>
        <v>6837.2674568288476</v>
      </c>
      <c r="AF91" s="168">
        <f ca="1">IF($C91-AF$1&lt;År1,0,AE90*(1-VLOOKUP($A91,[1]Hugst!$R$5:$W$9,MATCH(ROUNDUP((AF$1)/10,0)*10,[1]Hugst!$R$4:$W$4,0))))</f>
        <v>6835.9184850579013</v>
      </c>
      <c r="AG91" s="168">
        <f ca="1">IF($C91-AG$1&lt;År1,0,AF90*(1-VLOOKUP($A91,[1]Hugst!$R$5:$W$9,MATCH(ROUNDUP((AG$1)/10,0)*10,[1]Hugst!$R$4:$W$4,0))))</f>
        <v>6834.6063836497615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1890.4706288599409</v>
      </c>
      <c r="E92" s="168">
        <f t="shared" ca="1" si="1"/>
        <v>212.1328376441088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6964.2330961336793</v>
      </c>
      <c r="G92" s="168">
        <f ca="1">IF($C92-G$1&lt;År1,0,F91*(1-VLOOKUP($A92,[1]Hugst!$R$5:$W$9,MATCH(ROUNDUP((G$1)/10,0)*10,[1]Hugst!$R$4:$W$4,0))))</f>
        <v>6962.0147636641286</v>
      </c>
      <c r="H92" s="168">
        <f ca="1">IF($C92-H$1&lt;År1,0,G91*(1-VLOOKUP($A92,[1]Hugst!$R$5:$W$9,MATCH(ROUNDUP((H$1)/10,0)*10,[1]Hugst!$R$4:$W$4,0))))</f>
        <v>6959.8223180234727</v>
      </c>
      <c r="I92" s="168">
        <f ca="1">IF($C92-I$1&lt;År1,0,H91*(1-VLOOKUP($A92,[1]Hugst!$R$5:$W$9,MATCH(ROUNDUP((I$1)/10,0)*10,[1]Hugst!$R$4:$W$4,0))))</f>
        <v>6957.655918783561</v>
      </c>
      <c r="J92" s="168">
        <f ca="1">IF($C92-J$1&lt;År1,0,I91*(1-VLOOKUP($A92,[1]Hugst!$R$5:$W$9,MATCH(ROUNDUP((J$1)/10,0)*10,[1]Hugst!$R$4:$W$4,0))))</f>
        <v>6955.515726323496</v>
      </c>
      <c r="K92" s="168">
        <f ca="1">IF($C92-K$1&lt;År1,0,J91*(1-VLOOKUP($A92,[1]Hugst!$R$5:$W$9,MATCH(ROUNDUP((K$1)/10,0)*10,[1]Hugst!$R$4:$W$4,0))))</f>
        <v>6953.4019018323397</v>
      </c>
      <c r="L92" s="168">
        <f ca="1">IF($C92-L$1&lt;År1,0,K91*(1-VLOOKUP($A92,[1]Hugst!$R$5:$W$9,MATCH(ROUNDUP((L$1)/10,0)*10,[1]Hugst!$R$4:$W$4,0))))</f>
        <v>6951.3146073138578</v>
      </c>
      <c r="M92" s="168">
        <f ca="1">IF($C92-M$1&lt;År1,0,L91*(1-VLOOKUP($A92,[1]Hugst!$R$5:$W$9,MATCH(ROUNDUP((M$1)/10,0)*10,[1]Hugst!$R$4:$W$4,0))))</f>
        <v>6949.2540055901864</v>
      </c>
      <c r="N92" s="168">
        <f ca="1">IF($C92-N$1&lt;År1,0,M91*(1-VLOOKUP($A92,[1]Hugst!$R$5:$W$9,MATCH(ROUNDUP((N$1)/10,0)*10,[1]Hugst!$R$4:$W$4,0))))</f>
        <v>6947.2202603060523</v>
      </c>
      <c r="O92" s="168">
        <f ca="1">IF($C92-O$1&lt;År1,0,N91*(1-VLOOKUP($A92,[1]Hugst!$R$5:$W$9,MATCH(ROUNDUP((O$1)/10,0)*10,[1]Hugst!$R$4:$W$4,0))))</f>
        <v>6945.213535932935</v>
      </c>
      <c r="P92" s="168">
        <f ca="1">IF($C92-P$1&lt;År1,0,O91*(1-VLOOKUP($A92,[1]Hugst!$R$5:$W$9,MATCH(ROUNDUP((P$1)/10,0)*10,[1]Hugst!$R$4:$W$4,0))))</f>
        <v>6934.1157569524794</v>
      </c>
      <c r="Q92" s="168">
        <f ca="1">IF($C92-Q$1&lt;År1,0,P91*(1-VLOOKUP($A92,[1]Hugst!$R$5:$W$9,MATCH(ROUNDUP((Q$1)/10,0)*10,[1]Hugst!$R$4:$W$4,0))))</f>
        <v>6923.0536435460863</v>
      </c>
      <c r="R92" s="168">
        <f ca="1">IF($C92-R$1&lt;År1,0,Q91*(1-VLOOKUP($A92,[1]Hugst!$R$5:$W$9,MATCH(ROUNDUP((R$1)/10,0)*10,[1]Hugst!$R$4:$W$4,0))))</f>
        <v>6912.0272067383085</v>
      </c>
      <c r="S92" s="168">
        <f ca="1">IF($C92-S$1&lt;År1,0,R91*(1-VLOOKUP($A92,[1]Hugst!$R$5:$W$9,MATCH(ROUNDUP((S$1)/10,0)*10,[1]Hugst!$R$4:$W$4,0))))</f>
        <v>6901.0364577650553</v>
      </c>
      <c r="T92" s="168">
        <f ca="1">IF($C92-T$1&lt;År1,0,S91*(1-VLOOKUP($A92,[1]Hugst!$R$5:$W$9,MATCH(ROUNDUP((T$1)/10,0)*10,[1]Hugst!$R$4:$W$4,0))))</f>
        <v>6890.0814080744703</v>
      </c>
      <c r="U92" s="168">
        <f ca="1">IF($C92-U$1&lt;År1,0,T91*(1-VLOOKUP($A92,[1]Hugst!$R$5:$W$9,MATCH(ROUNDUP((U$1)/10,0)*10,[1]Hugst!$R$4:$W$4,0))))</f>
        <v>6879.1620693273526</v>
      </c>
      <c r="V92" s="168">
        <f ca="1">IF($C92-V$1&lt;År1,0,U91*(1-VLOOKUP($A92,[1]Hugst!$R$5:$W$9,MATCH(ROUNDUP((V$1)/10,0)*10,[1]Hugst!$R$4:$W$4,0))))</f>
        <v>6868.2784533976173</v>
      </c>
      <c r="W92" s="168">
        <f ca="1">IF($C92-W$1&lt;År1,0,V91*(1-VLOOKUP($A92,[1]Hugst!$R$5:$W$9,MATCH(ROUNDUP((W$1)/10,0)*10,[1]Hugst!$R$4:$W$4,0))))</f>
        <v>6857.4305723724356</v>
      </c>
      <c r="X92" s="168">
        <f ca="1">IF($C92-X$1&lt;År1,0,W91*(1-VLOOKUP($A92,[1]Hugst!$R$5:$W$9,MATCH(ROUNDUP((X$1)/10,0)*10,[1]Hugst!$R$4:$W$4,0))))</f>
        <v>6846.6184385536999</v>
      </c>
      <c r="Y92" s="168">
        <f ca="1">IF($C92-Y$1&lt;År1,0,X91*(1-VLOOKUP($A92,[1]Hugst!$R$5:$W$9,MATCH(ROUNDUP((Y$1)/10,0)*10,[1]Hugst!$R$4:$W$4,0))))</f>
        <v>6835.8420644569869</v>
      </c>
      <c r="Z92" s="168">
        <f ca="1">IF($C92-Z$1&lt;År1,0,Y91*(1-VLOOKUP($A92,[1]Hugst!$R$5:$W$9,MATCH(ROUNDUP((Z$1)/10,0)*10,[1]Hugst!$R$4:$W$4,0))))</f>
        <v>6834.239142425411</v>
      </c>
      <c r="AA92" s="168">
        <f ca="1">IF($C92-AA$1&lt;År1,0,Z91*(1-VLOOKUP($A92,[1]Hugst!$R$5:$W$9,MATCH(ROUNDUP((AA$1)/10,0)*10,[1]Hugst!$R$4:$W$4,0))))</f>
        <v>6832.6726910908874</v>
      </c>
      <c r="AB92" s="168">
        <f ca="1">IF($C92-AB$1&lt;År1,0,AA91*(1-VLOOKUP($A92,[1]Hugst!$R$5:$W$9,MATCH(ROUNDUP((AB$1)/10,0)*10,[1]Hugst!$R$4:$W$4,0))))</f>
        <v>6831.1427575533262</v>
      </c>
      <c r="AC92" s="168">
        <f ca="1">IF($C92-AC$1&lt;År1,0,AB91*(1-VLOOKUP($A92,[1]Hugst!$R$5:$W$9,MATCH(ROUNDUP((AC$1)/10,0)*10,[1]Hugst!$R$4:$W$4,0))))</f>
        <v>6829.6493891928731</v>
      </c>
      <c r="AD92" s="168">
        <f ca="1">IF($C92-AD$1&lt;År1,0,AC91*(1-VLOOKUP($A92,[1]Hugst!$R$5:$W$9,MATCH(ROUNDUP((AD$1)/10,0)*10,[1]Hugst!$R$4:$W$4,0))))</f>
        <v>6828.1926336707811</v>
      </c>
      <c r="AE92" s="168">
        <f ca="1">IF($C92-AE$1&lt;År1,0,AD91*(1-VLOOKUP($A92,[1]Hugst!$R$5:$W$9,MATCH(ROUNDUP((AE$1)/10,0)*10,[1]Hugst!$R$4:$W$4,0))))</f>
        <v>6826.7725389300531</v>
      </c>
      <c r="AF92" s="168">
        <f ca="1">IF($C92-AF$1&lt;År1,0,AE91*(1-VLOOKUP($A92,[1]Hugst!$R$5:$W$9,MATCH(ROUNDUP((AF$1)/10,0)*10,[1]Hugst!$R$4:$W$4,0))))</f>
        <v>6825.3891531962208</v>
      </c>
      <c r="AG92" s="168">
        <f ca="1">IF($C92-AG$1&lt;År1,0,AF91*(1-VLOOKUP($A92,[1]Hugst!$R$5:$W$9,MATCH(ROUNDUP((AG$1)/10,0)*10,[1]Hugst!$R$4:$W$4,0))))</f>
        <v>6824.0425249779273</v>
      </c>
      <c r="AH92" s="168">
        <f ca="1">IF($C92-AH$1&lt;År1,0,AG91*(1-VLOOKUP($A92,[1]Hugst!$R$5:$W$9,MATCH(ROUNDUP((AH$1)/10,0)*10,[1]Hugst!$R$4:$W$4,0))))</f>
        <v>6822.7327030679971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1881.0182757156435</v>
      </c>
      <c r="E93" s="168">
        <f t="shared" ca="1" si="1"/>
        <v>223.82925131684169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6966.4771566621148</v>
      </c>
      <c r="G93" s="168">
        <f ca="1">IF($C93-G$1&lt;År1,0,F92*(1-VLOOKUP($A93,[1]Hugst!$R$5:$W$9,MATCH(ROUNDUP((G$1)/10,0)*10,[1]Hugst!$R$4:$W$4,0))))</f>
        <v>6964.2330961336793</v>
      </c>
      <c r="H93" s="168">
        <f ca="1">IF($C93-H$1&lt;År1,0,G92*(1-VLOOKUP($A93,[1]Hugst!$R$5:$W$9,MATCH(ROUNDUP((H$1)/10,0)*10,[1]Hugst!$R$4:$W$4,0))))</f>
        <v>6962.0147636641286</v>
      </c>
      <c r="I93" s="168">
        <f ca="1">IF($C93-I$1&lt;År1,0,H92*(1-VLOOKUP($A93,[1]Hugst!$R$5:$W$9,MATCH(ROUNDUP((I$1)/10,0)*10,[1]Hugst!$R$4:$W$4,0))))</f>
        <v>6959.8223180234727</v>
      </c>
      <c r="J93" s="168">
        <f ca="1">IF($C93-J$1&lt;År1,0,I92*(1-VLOOKUP($A93,[1]Hugst!$R$5:$W$9,MATCH(ROUNDUP((J$1)/10,0)*10,[1]Hugst!$R$4:$W$4,0))))</f>
        <v>6957.655918783561</v>
      </c>
      <c r="K93" s="168">
        <f ca="1">IF($C93-K$1&lt;År1,0,J92*(1-VLOOKUP($A93,[1]Hugst!$R$5:$W$9,MATCH(ROUNDUP((K$1)/10,0)*10,[1]Hugst!$R$4:$W$4,0))))</f>
        <v>6955.515726323496</v>
      </c>
      <c r="L93" s="168">
        <f ca="1">IF($C93-L$1&lt;År1,0,K92*(1-VLOOKUP($A93,[1]Hugst!$R$5:$W$9,MATCH(ROUNDUP((L$1)/10,0)*10,[1]Hugst!$R$4:$W$4,0))))</f>
        <v>6953.4019018323397</v>
      </c>
      <c r="M93" s="168">
        <f ca="1">IF($C93-M$1&lt;År1,0,L92*(1-VLOOKUP($A93,[1]Hugst!$R$5:$W$9,MATCH(ROUNDUP((M$1)/10,0)*10,[1]Hugst!$R$4:$W$4,0))))</f>
        <v>6951.3146073138578</v>
      </c>
      <c r="N93" s="168">
        <f ca="1">IF($C93-N$1&lt;År1,0,M92*(1-VLOOKUP($A93,[1]Hugst!$R$5:$W$9,MATCH(ROUNDUP((N$1)/10,0)*10,[1]Hugst!$R$4:$W$4,0))))</f>
        <v>6949.2540055901864</v>
      </c>
      <c r="O93" s="168">
        <f ca="1">IF($C93-O$1&lt;År1,0,N92*(1-VLOOKUP($A93,[1]Hugst!$R$5:$W$9,MATCH(ROUNDUP((O$1)/10,0)*10,[1]Hugst!$R$4:$W$4,0))))</f>
        <v>6947.2202603060523</v>
      </c>
      <c r="P93" s="168">
        <f ca="1">IF($C93-P$1&lt;År1,0,O92*(1-VLOOKUP($A93,[1]Hugst!$R$5:$W$9,MATCH(ROUNDUP((P$1)/10,0)*10,[1]Hugst!$R$4:$W$4,0))))</f>
        <v>6934.6191424035451</v>
      </c>
      <c r="Q93" s="168">
        <f ca="1">IF($C93-Q$1&lt;År1,0,P92*(1-VLOOKUP($A93,[1]Hugst!$R$5:$W$9,MATCH(ROUNDUP((Q$1)/10,0)*10,[1]Hugst!$R$4:$W$4,0))))</f>
        <v>6923.5382922384842</v>
      </c>
      <c r="R93" s="168">
        <f ca="1">IF($C93-R$1&lt;År1,0,Q92*(1-VLOOKUP($A93,[1]Hugst!$R$5:$W$9,MATCH(ROUNDUP((R$1)/10,0)*10,[1]Hugst!$R$4:$W$4,0))))</f>
        <v>6912.4930532423714</v>
      </c>
      <c r="S93" s="168">
        <f ca="1">IF($C93-S$1&lt;År1,0,R92*(1-VLOOKUP($A93,[1]Hugst!$R$5:$W$9,MATCH(ROUNDUP((S$1)/10,0)*10,[1]Hugst!$R$4:$W$4,0))))</f>
        <v>6901.4834364229446</v>
      </c>
      <c r="T93" s="168">
        <f ca="1">IF($C93-T$1&lt;År1,0,S92*(1-VLOOKUP($A93,[1]Hugst!$R$5:$W$9,MATCH(ROUNDUP((T$1)/10,0)*10,[1]Hugst!$R$4:$W$4,0))))</f>
        <v>6890.5094529989728</v>
      </c>
      <c r="U93" s="168">
        <f ca="1">IF($C93-U$1&lt;År1,0,T92*(1-VLOOKUP($A93,[1]Hugst!$R$5:$W$9,MATCH(ROUNDUP((U$1)/10,0)*10,[1]Hugst!$R$4:$W$4,0))))</f>
        <v>6879.5711144011366</v>
      </c>
      <c r="V93" s="168">
        <f ca="1">IF($C93-V$1&lt;År1,0,U92*(1-VLOOKUP($A93,[1]Hugst!$R$5:$W$9,MATCH(ROUNDUP((V$1)/10,0)*10,[1]Hugst!$R$4:$W$4,0))))</f>
        <v>6868.6684322724459</v>
      </c>
      <c r="W93" s="168">
        <f ca="1">IF($C93-W$1&lt;År1,0,V92*(1-VLOOKUP($A93,[1]Hugst!$R$5:$W$9,MATCH(ROUNDUP((W$1)/10,0)*10,[1]Hugst!$R$4:$W$4,0))))</f>
        <v>6857.8014184687054</v>
      </c>
      <c r="X93" s="168">
        <f ca="1">IF($C93-X$1&lt;År1,0,W92*(1-VLOOKUP($A93,[1]Hugst!$R$5:$W$9,MATCH(ROUNDUP((X$1)/10,0)*10,[1]Hugst!$R$4:$W$4,0))))</f>
        <v>6846.9700850586469</v>
      </c>
      <c r="Y93" s="168">
        <f ca="1">IF($C93-Y$1&lt;År1,0,X92*(1-VLOOKUP($A93,[1]Hugst!$R$5:$W$9,MATCH(ROUNDUP((Y$1)/10,0)*10,[1]Hugst!$R$4:$W$4,0))))</f>
        <v>6836.1744443253974</v>
      </c>
      <c r="Z93" s="168">
        <f ca="1">IF($C93-Z$1&lt;År1,0,Y92*(1-VLOOKUP($A93,[1]Hugst!$R$5:$W$9,MATCH(ROUNDUP((Z$1)/10,0)*10,[1]Hugst!$R$4:$W$4,0))))</f>
        <v>6823.9662371416161</v>
      </c>
      <c r="AA93" s="168">
        <f ca="1">IF($C93-AA$1&lt;År1,0,Z92*(1-VLOOKUP($A93,[1]Hugst!$R$5:$W$9,MATCH(ROUNDUP((AA$1)/10,0)*10,[1]Hugst!$R$4:$W$4,0))))</f>
        <v>6822.3660998474679</v>
      </c>
      <c r="AB93" s="168">
        <f ca="1">IF($C93-AB$1&lt;År1,0,AA92*(1-VLOOKUP($A93,[1]Hugst!$R$5:$W$9,MATCH(ROUNDUP((AB$1)/10,0)*10,[1]Hugst!$R$4:$W$4,0))))</f>
        <v>6820.8023698902634</v>
      </c>
      <c r="AC93" s="168">
        <f ca="1">IF($C93-AC$1&lt;År1,0,AB92*(1-VLOOKUP($A93,[1]Hugst!$R$5:$W$9,MATCH(ROUNDUP((AC$1)/10,0)*10,[1]Hugst!$R$4:$W$4,0))))</f>
        <v>6819.2750942880848</v>
      </c>
      <c r="AD93" s="168">
        <f ca="1">IF($C93-AD$1&lt;År1,0,AC92*(1-VLOOKUP($A93,[1]Hugst!$R$5:$W$9,MATCH(ROUNDUP((AD$1)/10,0)*10,[1]Hugst!$R$4:$W$4,0))))</f>
        <v>6817.7843203387665</v>
      </c>
      <c r="AE93" s="168">
        <f ca="1">IF($C93-AE$1&lt;År1,0,AD92*(1-VLOOKUP($A93,[1]Hugst!$R$5:$W$9,MATCH(ROUNDUP((AE$1)/10,0)*10,[1]Hugst!$R$4:$W$4,0))))</f>
        <v>6816.3300956207595</v>
      </c>
      <c r="AF93" s="168">
        <f ca="1">IF($C93-AF$1&lt;År1,0,AE92*(1-VLOOKUP($A93,[1]Hugst!$R$5:$W$9,MATCH(ROUNDUP((AF$1)/10,0)*10,[1]Hugst!$R$4:$W$4,0))))</f>
        <v>6814.9124679937759</v>
      </c>
      <c r="AG93" s="168">
        <f ca="1">IF($C93-AG$1&lt;År1,0,AF92*(1-VLOOKUP($A93,[1]Hugst!$R$5:$W$9,MATCH(ROUNDUP((AG$1)/10,0)*10,[1]Hugst!$R$4:$W$4,0))))</f>
        <v>6813.5314855995657</v>
      </c>
      <c r="AH93" s="168">
        <f ca="1">IF($C93-AH$1&lt;År1,0,AG92*(1-VLOOKUP($A93,[1]Hugst!$R$5:$W$9,MATCH(ROUNDUP((AH$1)/10,0)*10,[1]Hugst!$R$4:$W$4,0))))</f>
        <v>6812.1871968624991</v>
      </c>
      <c r="AI93" s="168">
        <f ca="1">IF($C93-AI$1&lt;År1,0,AH92*(1-VLOOKUP($A93,[1]Hugst!$R$5:$W$9,MATCH(ROUNDUP((AI$1)/10,0)*10,[1]Hugst!$R$4:$W$4,0))))</f>
        <v>6810.8796504906331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1871.6131843370968</v>
      </c>
      <c r="E94" s="168">
        <f t="shared" ca="1" si="1"/>
        <v>229.73654591990635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6962.9793598866327</v>
      </c>
      <c r="G94" s="168">
        <f ca="1">IF($C94-G$1&lt;År1,0,F93*(1-VLOOKUP($A94,[1]Hugst!$R$5:$W$9,MATCH(ROUNDUP((G$1)/10,0)*10,[1]Hugst!$R$4:$W$4,0))))</f>
        <v>6966.4771566621148</v>
      </c>
      <c r="H94" s="168">
        <f ca="1">IF($C94-H$1&lt;År1,0,G93*(1-VLOOKUP($A94,[1]Hugst!$R$5:$W$9,MATCH(ROUNDUP((H$1)/10,0)*10,[1]Hugst!$R$4:$W$4,0))))</f>
        <v>6964.2330961336793</v>
      </c>
      <c r="I94" s="168">
        <f ca="1">IF($C94-I$1&lt;År1,0,H93*(1-VLOOKUP($A94,[1]Hugst!$R$5:$W$9,MATCH(ROUNDUP((I$1)/10,0)*10,[1]Hugst!$R$4:$W$4,0))))</f>
        <v>6962.0147636641286</v>
      </c>
      <c r="J94" s="168">
        <f ca="1">IF($C94-J$1&lt;År1,0,I93*(1-VLOOKUP($A94,[1]Hugst!$R$5:$W$9,MATCH(ROUNDUP((J$1)/10,0)*10,[1]Hugst!$R$4:$W$4,0))))</f>
        <v>6959.8223180234727</v>
      </c>
      <c r="K94" s="168">
        <f ca="1">IF($C94-K$1&lt;År1,0,J93*(1-VLOOKUP($A94,[1]Hugst!$R$5:$W$9,MATCH(ROUNDUP((K$1)/10,0)*10,[1]Hugst!$R$4:$W$4,0))))</f>
        <v>6957.655918783561</v>
      </c>
      <c r="L94" s="168">
        <f ca="1">IF($C94-L$1&lt;År1,0,K93*(1-VLOOKUP($A94,[1]Hugst!$R$5:$W$9,MATCH(ROUNDUP((L$1)/10,0)*10,[1]Hugst!$R$4:$W$4,0))))</f>
        <v>6955.515726323496</v>
      </c>
      <c r="M94" s="168">
        <f ca="1">IF($C94-M$1&lt;År1,0,L93*(1-VLOOKUP($A94,[1]Hugst!$R$5:$W$9,MATCH(ROUNDUP((M$1)/10,0)*10,[1]Hugst!$R$4:$W$4,0))))</f>
        <v>6953.4019018323397</v>
      </c>
      <c r="N94" s="168">
        <f ca="1">IF($C94-N$1&lt;År1,0,M93*(1-VLOOKUP($A94,[1]Hugst!$R$5:$W$9,MATCH(ROUNDUP((N$1)/10,0)*10,[1]Hugst!$R$4:$W$4,0))))</f>
        <v>6951.3146073138578</v>
      </c>
      <c r="O94" s="168">
        <f ca="1">IF($C94-O$1&lt;År1,0,N93*(1-VLOOKUP($A94,[1]Hugst!$R$5:$W$9,MATCH(ROUNDUP((O$1)/10,0)*10,[1]Hugst!$R$4:$W$4,0))))</f>
        <v>6949.2540055901864</v>
      </c>
      <c r="P94" s="168">
        <f ca="1">IF($C94-P$1&lt;År1,0,O93*(1-VLOOKUP($A94,[1]Hugst!$R$5:$W$9,MATCH(ROUNDUP((P$1)/10,0)*10,[1]Hugst!$R$4:$W$4,0))))</f>
        <v>6936.6228056716873</v>
      </c>
      <c r="Q94" s="168">
        <f ca="1">IF($C94-Q$1&lt;År1,0,P93*(1-VLOOKUP($A94,[1]Hugst!$R$5:$W$9,MATCH(ROUNDUP((Q$1)/10,0)*10,[1]Hugst!$R$4:$W$4,0))))</f>
        <v>6924.0409098134378</v>
      </c>
      <c r="R94" s="168">
        <f ca="1">IF($C94-R$1&lt;År1,0,Q93*(1-VLOOKUP($A94,[1]Hugst!$R$5:$W$9,MATCH(ROUNDUP((R$1)/10,0)*10,[1]Hugst!$R$4:$W$4,0))))</f>
        <v>6912.9769626401539</v>
      </c>
      <c r="S94" s="168">
        <f ca="1">IF($C94-S$1&lt;År1,0,R93*(1-VLOOKUP($A94,[1]Hugst!$R$5:$W$9,MATCH(ROUNDUP((S$1)/10,0)*10,[1]Hugst!$R$4:$W$4,0))))</f>
        <v>6901.9485723136968</v>
      </c>
      <c r="T94" s="168">
        <f ca="1">IF($C94-T$1&lt;År1,0,S93*(1-VLOOKUP($A94,[1]Hugst!$R$5:$W$9,MATCH(ROUNDUP((T$1)/10,0)*10,[1]Hugst!$R$4:$W$4,0))))</f>
        <v>6890.9557498250115</v>
      </c>
      <c r="U94" s="168">
        <f ca="1">IF($C94-U$1&lt;År1,0,T93*(1-VLOOKUP($A94,[1]Hugst!$R$5:$W$9,MATCH(ROUNDUP((U$1)/10,0)*10,[1]Hugst!$R$4:$W$4,0))))</f>
        <v>6879.998506375754</v>
      </c>
      <c r="V94" s="168">
        <f ca="1">IF($C94-V$1&lt;År1,0,U93*(1-VLOOKUP($A94,[1]Hugst!$R$5:$W$9,MATCH(ROUNDUP((V$1)/10,0)*10,[1]Hugst!$R$4:$W$4,0))))</f>
        <v>6869.0768533791688</v>
      </c>
      <c r="W94" s="168">
        <f ca="1">IF($C94-W$1&lt;År1,0,V93*(1-VLOOKUP($A94,[1]Hugst!$R$5:$W$9,MATCH(ROUNDUP((W$1)/10,0)*10,[1]Hugst!$R$4:$W$4,0))))</f>
        <v>6858.1908024605045</v>
      </c>
      <c r="X94" s="168">
        <f ca="1">IF($C94-X$1&lt;År1,0,W93*(1-VLOOKUP($A94,[1]Hugst!$R$5:$W$9,MATCH(ROUNDUP((X$1)/10,0)*10,[1]Hugst!$R$4:$W$4,0))))</f>
        <v>6847.3403654574813</v>
      </c>
      <c r="Y94" s="168">
        <f ca="1">IF($C94-Y$1&lt;År1,0,X93*(1-VLOOKUP($A94,[1]Hugst!$R$5:$W$9,MATCH(ROUNDUP((Y$1)/10,0)*10,[1]Hugst!$R$4:$W$4,0))))</f>
        <v>6836.5255544204219</v>
      </c>
      <c r="Z94" s="168">
        <f ca="1">IF($C94-Z$1&lt;År1,0,Y93*(1-VLOOKUP($A94,[1]Hugst!$R$5:$W$9,MATCH(ROUNDUP((Z$1)/10,0)*10,[1]Hugst!$R$4:$W$4,0))))</f>
        <v>6824.2980395704253</v>
      </c>
      <c r="AA94" s="168">
        <f ca="1">IF($C94-AA$1&lt;År1,0,Z93*(1-VLOOKUP($A94,[1]Hugst!$R$5:$W$9,MATCH(ROUNDUP((AA$1)/10,0)*10,[1]Hugst!$R$4:$W$4,0))))</f>
        <v>6812.1110415601406</v>
      </c>
      <c r="AB94" s="168">
        <f ca="1">IF($C94-AB$1&lt;År1,0,AA93*(1-VLOOKUP($A94,[1]Hugst!$R$5:$W$9,MATCH(ROUNDUP((AB$1)/10,0)*10,[1]Hugst!$R$4:$W$4,0))))</f>
        <v>6810.5136841655294</v>
      </c>
      <c r="AC94" s="168">
        <f ca="1">IF($C94-AC$1&lt;År1,0,AB93*(1-VLOOKUP($A94,[1]Hugst!$R$5:$W$9,MATCH(ROUNDUP((AC$1)/10,0)*10,[1]Hugst!$R$4:$W$4,0))))</f>
        <v>6808.9526708578269</v>
      </c>
      <c r="AD94" s="168">
        <f ca="1">IF($C94-AD$1&lt;År1,0,AC93*(1-VLOOKUP($A94,[1]Hugst!$R$5:$W$9,MATCH(ROUNDUP((AD$1)/10,0)*10,[1]Hugst!$R$4:$W$4,0))))</f>
        <v>6807.4280485734316</v>
      </c>
      <c r="AE94" s="168">
        <f ca="1">IF($C94-AE$1&lt;År1,0,AD93*(1-VLOOKUP($A94,[1]Hugst!$R$5:$W$9,MATCH(ROUNDUP((AE$1)/10,0)*10,[1]Hugst!$R$4:$W$4,0))))</f>
        <v>6805.939864528008</v>
      </c>
      <c r="AF94" s="168">
        <f ca="1">IF($C94-AF$1&lt;År1,0,AE93*(1-VLOOKUP($A94,[1]Hugst!$R$5:$W$9,MATCH(ROUNDUP((AF$1)/10,0)*10,[1]Hugst!$R$4:$W$4,0))))</f>
        <v>6804.4881662173502</v>
      </c>
      <c r="AG94" s="168">
        <f ca="1">IF($C94-AG$1&lt;År1,0,AF93*(1-VLOOKUP($A94,[1]Hugst!$R$5:$W$9,MATCH(ROUNDUP((AG$1)/10,0)*10,[1]Hugst!$R$4:$W$4,0))))</f>
        <v>6803.0730014180235</v>
      </c>
      <c r="AH94" s="168">
        <f ca="1">IF($C94-AH$1&lt;År1,0,AG93*(1-VLOOKUP($A94,[1]Hugst!$R$5:$W$9,MATCH(ROUNDUP((AH$1)/10,0)*10,[1]Hugst!$R$4:$W$4,0))))</f>
        <v>6801.6944181881427</v>
      </c>
      <c r="AI94" s="168">
        <f ca="1">IF($C94-AI$1&lt;År1,0,AH93*(1-VLOOKUP($A94,[1]Hugst!$R$5:$W$9,MATCH(ROUNDUP((AI$1)/10,0)*10,[1]Hugst!$R$4:$W$4,0))))</f>
        <v>6800.3524648679495</v>
      </c>
      <c r="AJ94" s="168">
        <f ca="1">IF($C94-AJ$1&lt;År1,0,AI93*(1-VLOOKUP($A94,[1]Hugst!$R$5:$W$9,MATCH(ROUNDUP((AJ$1)/10,0)*10,[1]Hugst!$R$4:$W$4,0))))</f>
        <v>6804.8191219880782</v>
      </c>
      <c r="AK94" s="168"/>
      <c r="AL94" s="168">
        <f ca="1">SUM(F94:AJ94)</f>
        <v>213324.01645850574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636.72739188467676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1375.0977622550483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633.54375492525287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1371.9141252956244</v>
      </c>
      <c r="G96" s="168">
        <f ca="1">IF($C96-G$1&lt;År1,0,F95*(1-VLOOKUP($A96,[1]Hugst!$R$5:$W$9,MATCH(ROUNDUP((G$1)/10,0)*10,[1]Hugst!$R$4:$W$4,0))))</f>
        <v>1375.0977622550483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630.37603615062835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1368.7464065209999</v>
      </c>
      <c r="G97" s="168">
        <f ca="1">IF($C97-G$1&lt;År1,0,F96*(1-VLOOKUP($A97,[1]Hugst!$R$5:$W$9,MATCH(ROUNDUP((G$1)/10,0)*10,[1]Hugst!$R$4:$W$4,0))))</f>
        <v>1371.9141252956244</v>
      </c>
      <c r="H97" s="168">
        <f ca="1">IF($C97-H$1&lt;År1,0,G96*(1-VLOOKUP($A97,[1]Hugst!$R$5:$W$9,MATCH(ROUNDUP((H$1)/10,0)*10,[1]Hugst!$R$4:$W$4,0))))</f>
        <v>1375.0977622550483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627.22415596985957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1365.5945263402311</v>
      </c>
      <c r="G98" s="168">
        <f ca="1">IF($C98-G$1&lt;År1,0,F97*(1-VLOOKUP($A98,[1]Hugst!$R$5:$W$9,MATCH(ROUNDUP((G$1)/10,0)*10,[1]Hugst!$R$4:$W$4,0))))</f>
        <v>1368.7464065209999</v>
      </c>
      <c r="H98" s="168">
        <f ca="1">IF($C98-H$1&lt;År1,0,G97*(1-VLOOKUP($A98,[1]Hugst!$R$5:$W$9,MATCH(ROUNDUP((H$1)/10,0)*10,[1]Hugst!$R$4:$W$4,0))))</f>
        <v>1371.9141252956244</v>
      </c>
      <c r="I98" s="168">
        <f ca="1">IF($C98-I$1&lt;År1,0,H97*(1-VLOOKUP($A98,[1]Hugst!$R$5:$W$9,MATCH(ROUNDUP((I$1)/10,0)*10,[1]Hugst!$R$4:$W$4,0))))</f>
        <v>1375.0977622550483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624.08803519002686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1362.4584055603984</v>
      </c>
      <c r="G99" s="168">
        <f ca="1">IF($C99-G$1&lt;År1,0,F98*(1-VLOOKUP($A99,[1]Hugst!$R$5:$W$9,MATCH(ROUNDUP((G$1)/10,0)*10,[1]Hugst!$R$4:$W$4,0))))</f>
        <v>1365.5945263402311</v>
      </c>
      <c r="H99" s="168">
        <f ca="1">IF($C99-H$1&lt;År1,0,G98*(1-VLOOKUP($A99,[1]Hugst!$R$5:$W$9,MATCH(ROUNDUP((H$1)/10,0)*10,[1]Hugst!$R$4:$W$4,0))))</f>
        <v>1368.7464065209999</v>
      </c>
      <c r="I99" s="168">
        <f ca="1">IF($C99-I$1&lt;År1,0,H98*(1-VLOOKUP($A99,[1]Hugst!$R$5:$W$9,MATCH(ROUNDUP((I$1)/10,0)*10,[1]Hugst!$R$4:$W$4,0))))</f>
        <v>1371.9141252956244</v>
      </c>
      <c r="J99" s="168">
        <f ca="1">IF($C99-J$1&lt;År1,0,I98*(1-VLOOKUP($A99,[1]Hugst!$R$5:$W$9,MATCH(ROUNDUP((J$1)/10,0)*10,[1]Hugst!$R$4:$W$4,0))))</f>
        <v>1375.0977622550483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620.96759501406632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1359.3379653844379</v>
      </c>
      <c r="G100" s="168">
        <f ca="1">IF($C100-G$1&lt;År1,0,F99*(1-VLOOKUP($A100,[1]Hugst!$R$5:$W$9,MATCH(ROUNDUP((G$1)/10,0)*10,[1]Hugst!$R$4:$W$4,0))))</f>
        <v>1362.4584055603984</v>
      </c>
      <c r="H100" s="168">
        <f ca="1">IF($C100-H$1&lt;År1,0,G99*(1-VLOOKUP($A100,[1]Hugst!$R$5:$W$9,MATCH(ROUNDUP((H$1)/10,0)*10,[1]Hugst!$R$4:$W$4,0))))</f>
        <v>1365.5945263402311</v>
      </c>
      <c r="I100" s="168">
        <f ca="1">IF($C100-I$1&lt;År1,0,H99*(1-VLOOKUP($A100,[1]Hugst!$R$5:$W$9,MATCH(ROUNDUP((I$1)/10,0)*10,[1]Hugst!$R$4:$W$4,0))))</f>
        <v>1368.7464065209999</v>
      </c>
      <c r="J100" s="168">
        <f ca="1">IF($C100-J$1&lt;År1,0,I99*(1-VLOOKUP($A100,[1]Hugst!$R$5:$W$9,MATCH(ROUNDUP((J$1)/10,0)*10,[1]Hugst!$R$4:$W$4,0))))</f>
        <v>1371.9141252956244</v>
      </c>
      <c r="K100" s="168">
        <f ca="1">IF($C100-K$1&lt;År1,0,J99*(1-VLOOKUP($A100,[1]Hugst!$R$5:$W$9,MATCH(ROUNDUP((K$1)/10,0)*10,[1]Hugst!$R$4:$W$4,0))))</f>
        <v>1375.0977622550483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617.86275703902356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1356.2331274093951</v>
      </c>
      <c r="G101" s="168">
        <f ca="1">IF($C101-G$1&lt;År1,0,F100*(1-VLOOKUP($A101,[1]Hugst!$R$5:$W$9,MATCH(ROUNDUP((G$1)/10,0)*10,[1]Hugst!$R$4:$W$4,0))))</f>
        <v>1359.3379653844379</v>
      </c>
      <c r="H101" s="168">
        <f ca="1">IF($C101-H$1&lt;År1,0,G100*(1-VLOOKUP($A101,[1]Hugst!$R$5:$W$9,MATCH(ROUNDUP((H$1)/10,0)*10,[1]Hugst!$R$4:$W$4,0))))</f>
        <v>1362.4584055603984</v>
      </c>
      <c r="I101" s="168">
        <f ca="1">IF($C101-I$1&lt;År1,0,H100*(1-VLOOKUP($A101,[1]Hugst!$R$5:$W$9,MATCH(ROUNDUP((I$1)/10,0)*10,[1]Hugst!$R$4:$W$4,0))))</f>
        <v>1365.5945263402311</v>
      </c>
      <c r="J101" s="168">
        <f ca="1">IF($C101-J$1&lt;År1,0,I100*(1-VLOOKUP($A101,[1]Hugst!$R$5:$W$9,MATCH(ROUNDUP((J$1)/10,0)*10,[1]Hugst!$R$4:$W$4,0))))</f>
        <v>1368.7464065209999</v>
      </c>
      <c r="K101" s="168">
        <f ca="1">IF($C101-K$1&lt;År1,0,J100*(1-VLOOKUP($A101,[1]Hugst!$R$5:$W$9,MATCH(ROUNDUP((K$1)/10,0)*10,[1]Hugst!$R$4:$W$4,0))))</f>
        <v>1371.9141252956244</v>
      </c>
      <c r="L101" s="168">
        <f ca="1">IF($C101-L$1&lt;År1,0,K100*(1-VLOOKUP($A101,[1]Hugst!$R$5:$W$9,MATCH(ROUNDUP((L$1)/10,0)*10,[1]Hugst!$R$4:$W$4,0))))</f>
        <v>1375.0977622550483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614.77344325379818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1353.1438136241698</v>
      </c>
      <c r="G102" s="168">
        <f ca="1">IF($C102-G$1&lt;År1,0,F101*(1-VLOOKUP($A102,[1]Hugst!$R$5:$W$9,MATCH(ROUNDUP((G$1)/10,0)*10,[1]Hugst!$R$4:$W$4,0))))</f>
        <v>1356.2331274093951</v>
      </c>
      <c r="H102" s="168">
        <f ca="1">IF($C102-H$1&lt;År1,0,G101*(1-VLOOKUP($A102,[1]Hugst!$R$5:$W$9,MATCH(ROUNDUP((H$1)/10,0)*10,[1]Hugst!$R$4:$W$4,0))))</f>
        <v>1359.3379653844379</v>
      </c>
      <c r="I102" s="168">
        <f ca="1">IF($C102-I$1&lt;År1,0,H101*(1-VLOOKUP($A102,[1]Hugst!$R$5:$W$9,MATCH(ROUNDUP((I$1)/10,0)*10,[1]Hugst!$R$4:$W$4,0))))</f>
        <v>1362.4584055603984</v>
      </c>
      <c r="J102" s="168">
        <f ca="1">IF($C102-J$1&lt;År1,0,I101*(1-VLOOKUP($A102,[1]Hugst!$R$5:$W$9,MATCH(ROUNDUP((J$1)/10,0)*10,[1]Hugst!$R$4:$W$4,0))))</f>
        <v>1365.5945263402311</v>
      </c>
      <c r="K102" s="168">
        <f ca="1">IF($C102-K$1&lt;År1,0,J101*(1-VLOOKUP($A102,[1]Hugst!$R$5:$W$9,MATCH(ROUNDUP((K$1)/10,0)*10,[1]Hugst!$R$4:$W$4,0))))</f>
        <v>1368.7464065209999</v>
      </c>
      <c r="L102" s="168">
        <f ca="1">IF($C102-L$1&lt;År1,0,K101*(1-VLOOKUP($A102,[1]Hugst!$R$5:$W$9,MATCH(ROUNDUP((L$1)/10,0)*10,[1]Hugst!$R$4:$W$4,0))))</f>
        <v>1371.9141252956244</v>
      </c>
      <c r="M102" s="168">
        <f ca="1">IF($C102-M$1&lt;År1,0,L101*(1-VLOOKUP($A102,[1]Hugst!$R$5:$W$9,MATCH(ROUNDUP((M$1)/10,0)*10,[1]Hugst!$R$4:$W$4,0))))</f>
        <v>1375.0977622550483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611.69957603754301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1350.0699464079146</v>
      </c>
      <c r="G103" s="168">
        <f ca="1">IF($C103-G$1&lt;År1,0,F102*(1-VLOOKUP($A103,[1]Hugst!$R$5:$W$9,MATCH(ROUNDUP((G$1)/10,0)*10,[1]Hugst!$R$4:$W$4,0))))</f>
        <v>1353.1438136241698</v>
      </c>
      <c r="H103" s="168">
        <f ca="1">IF($C103-H$1&lt;År1,0,G102*(1-VLOOKUP($A103,[1]Hugst!$R$5:$W$9,MATCH(ROUNDUP((H$1)/10,0)*10,[1]Hugst!$R$4:$W$4,0))))</f>
        <v>1356.2331274093951</v>
      </c>
      <c r="I103" s="168">
        <f ca="1">IF($C103-I$1&lt;År1,0,H102*(1-VLOOKUP($A103,[1]Hugst!$R$5:$W$9,MATCH(ROUNDUP((I$1)/10,0)*10,[1]Hugst!$R$4:$W$4,0))))</f>
        <v>1359.3379653844379</v>
      </c>
      <c r="J103" s="168">
        <f ca="1">IF($C103-J$1&lt;År1,0,I102*(1-VLOOKUP($A103,[1]Hugst!$R$5:$W$9,MATCH(ROUNDUP((J$1)/10,0)*10,[1]Hugst!$R$4:$W$4,0))))</f>
        <v>1362.4584055603984</v>
      </c>
      <c r="K103" s="168">
        <f ca="1">IF($C103-K$1&lt;År1,0,J102*(1-VLOOKUP($A103,[1]Hugst!$R$5:$W$9,MATCH(ROUNDUP((K$1)/10,0)*10,[1]Hugst!$R$4:$W$4,0))))</f>
        <v>1365.5945263402311</v>
      </c>
      <c r="L103" s="168">
        <f ca="1">IF($C103-L$1&lt;År1,0,K102*(1-VLOOKUP($A103,[1]Hugst!$R$5:$W$9,MATCH(ROUNDUP((L$1)/10,0)*10,[1]Hugst!$R$4:$W$4,0))))</f>
        <v>1368.7464065209999</v>
      </c>
      <c r="M103" s="168">
        <f ca="1">IF($C103-M$1&lt;År1,0,L102*(1-VLOOKUP($A103,[1]Hugst!$R$5:$W$9,MATCH(ROUNDUP((M$1)/10,0)*10,[1]Hugst!$R$4:$W$4,0))))</f>
        <v>1371.9141252956244</v>
      </c>
      <c r="N103" s="168">
        <f ca="1">IF($C103-N$1&lt;År1,0,M102*(1-VLOOKUP($A103,[1]Hugst!$R$5:$W$9,MATCH(ROUNDUP((N$1)/10,0)*10,[1]Hugst!$R$4:$W$4,0))))</f>
        <v>1375.0977622550483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608.64107815735042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1347.011448527722</v>
      </c>
      <c r="G104" s="168">
        <f ca="1">IF($C104-G$1&lt;År1,0,F103*(1-VLOOKUP($A104,[1]Hugst!$R$5:$W$9,MATCH(ROUNDUP((G$1)/10,0)*10,[1]Hugst!$R$4:$W$4,0))))</f>
        <v>1350.0699464079146</v>
      </c>
      <c r="H104" s="168">
        <f ca="1">IF($C104-H$1&lt;År1,0,G103*(1-VLOOKUP($A104,[1]Hugst!$R$5:$W$9,MATCH(ROUNDUP((H$1)/10,0)*10,[1]Hugst!$R$4:$W$4,0))))</f>
        <v>1353.1438136241698</v>
      </c>
      <c r="I104" s="168">
        <f ca="1">IF($C104-I$1&lt;År1,0,H103*(1-VLOOKUP($A104,[1]Hugst!$R$5:$W$9,MATCH(ROUNDUP((I$1)/10,0)*10,[1]Hugst!$R$4:$W$4,0))))</f>
        <v>1356.2331274093951</v>
      </c>
      <c r="J104" s="168">
        <f ca="1">IF($C104-J$1&lt;År1,0,I103*(1-VLOOKUP($A104,[1]Hugst!$R$5:$W$9,MATCH(ROUNDUP((J$1)/10,0)*10,[1]Hugst!$R$4:$W$4,0))))</f>
        <v>1359.3379653844379</v>
      </c>
      <c r="K104" s="168">
        <f ca="1">IF($C104-K$1&lt;År1,0,J103*(1-VLOOKUP($A104,[1]Hugst!$R$5:$W$9,MATCH(ROUNDUP((K$1)/10,0)*10,[1]Hugst!$R$4:$W$4,0))))</f>
        <v>1362.4584055603984</v>
      </c>
      <c r="L104" s="168">
        <f ca="1">IF($C104-L$1&lt;År1,0,K103*(1-VLOOKUP($A104,[1]Hugst!$R$5:$W$9,MATCH(ROUNDUP((L$1)/10,0)*10,[1]Hugst!$R$4:$W$4,0))))</f>
        <v>1365.5945263402311</v>
      </c>
      <c r="M104" s="168">
        <f ca="1">IF($C104-M$1&lt;År1,0,L103*(1-VLOOKUP($A104,[1]Hugst!$R$5:$W$9,MATCH(ROUNDUP((M$1)/10,0)*10,[1]Hugst!$R$4:$W$4,0))))</f>
        <v>1368.7464065209999</v>
      </c>
      <c r="N104" s="168">
        <f ca="1">IF($C104-N$1&lt;År1,0,M103*(1-VLOOKUP($A104,[1]Hugst!$R$5:$W$9,MATCH(ROUNDUP((N$1)/10,0)*10,[1]Hugst!$R$4:$W$4,0))))</f>
        <v>1371.9141252956244</v>
      </c>
      <c r="O104" s="168">
        <f ca="1">IF($C104-O$1&lt;År1,0,N103*(1-VLOOKUP($A104,[1]Hugst!$R$5:$W$9,MATCH(ROUNDUP((O$1)/10,0)*10,[1]Hugst!$R$4:$W$4,0))))</f>
        <v>1375.0977622550483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605.5978727665788</v>
      </c>
      <c r="E105" s="168">
        <f t="shared" ca="1" si="2"/>
        <v>2.0976067559822695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1346.0658498929326</v>
      </c>
      <c r="G105" s="168">
        <f ca="1">IF($C105-G$1&lt;År1,0,F104*(1-VLOOKUP($A105,[1]Hugst!$R$5:$W$9,MATCH(ROUNDUP((G$1)/10,0)*10,[1]Hugst!$R$4:$W$4,0))))</f>
        <v>1347.011448527722</v>
      </c>
      <c r="H105" s="168">
        <f ca="1">IF($C105-H$1&lt;År1,0,G104*(1-VLOOKUP($A105,[1]Hugst!$R$5:$W$9,MATCH(ROUNDUP((H$1)/10,0)*10,[1]Hugst!$R$4:$W$4,0))))</f>
        <v>1350.0699464079146</v>
      </c>
      <c r="I105" s="168">
        <f ca="1">IF($C105-I$1&lt;År1,0,H104*(1-VLOOKUP($A105,[1]Hugst!$R$5:$W$9,MATCH(ROUNDUP((I$1)/10,0)*10,[1]Hugst!$R$4:$W$4,0))))</f>
        <v>1353.1438136241698</v>
      </c>
      <c r="J105" s="168">
        <f ca="1">IF($C105-J$1&lt;År1,0,I104*(1-VLOOKUP($A105,[1]Hugst!$R$5:$W$9,MATCH(ROUNDUP((J$1)/10,0)*10,[1]Hugst!$R$4:$W$4,0))))</f>
        <v>1356.2331274093951</v>
      </c>
      <c r="K105" s="168">
        <f ca="1">IF($C105-K$1&lt;År1,0,J104*(1-VLOOKUP($A105,[1]Hugst!$R$5:$W$9,MATCH(ROUNDUP((K$1)/10,0)*10,[1]Hugst!$R$4:$W$4,0))))</f>
        <v>1359.3379653844379</v>
      </c>
      <c r="L105" s="168">
        <f ca="1">IF($C105-L$1&lt;År1,0,K104*(1-VLOOKUP($A105,[1]Hugst!$R$5:$W$9,MATCH(ROUNDUP((L$1)/10,0)*10,[1]Hugst!$R$4:$W$4,0))))</f>
        <v>1362.4584055603984</v>
      </c>
      <c r="M105" s="168">
        <f ca="1">IF($C105-M$1&lt;År1,0,L104*(1-VLOOKUP($A105,[1]Hugst!$R$5:$W$9,MATCH(ROUNDUP((M$1)/10,0)*10,[1]Hugst!$R$4:$W$4,0))))</f>
        <v>1365.5945263402311</v>
      </c>
      <c r="N105" s="168">
        <f ca="1">IF($C105-N$1&lt;År1,0,M104*(1-VLOOKUP($A105,[1]Hugst!$R$5:$W$9,MATCH(ROUNDUP((N$1)/10,0)*10,[1]Hugst!$R$4:$W$4,0))))</f>
        <v>1368.7464065209999</v>
      </c>
      <c r="O105" s="168">
        <f ca="1">IF($C105-O$1&lt;År1,0,N104*(1-VLOOKUP($A105,[1]Hugst!$R$5:$W$9,MATCH(ROUNDUP((O$1)/10,0)*10,[1]Hugst!$R$4:$W$4,0))))</f>
        <v>1371.9141252956244</v>
      </c>
      <c r="P105" s="168">
        <f ca="1">IF($C105-P$1&lt;År1,0,O104*(1-VLOOKUP($A105,[1]Hugst!$R$5:$W$9,MATCH(ROUNDUP((P$1)/10,0)*10,[1]Hugst!$R$4:$W$4,0))))</f>
        <v>1373.0001554990661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602.56988340271346</v>
      </c>
      <c r="E106" s="168">
        <f t="shared" ca="1" si="2"/>
        <v>4.1871573774860735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1345.1274111505688</v>
      </c>
      <c r="G106" s="168">
        <f ca="1">IF($C106-G$1&lt;År1,0,F105*(1-VLOOKUP($A106,[1]Hugst!$R$5:$W$9,MATCH(ROUNDUP((G$1)/10,0)*10,[1]Hugst!$R$4:$W$4,0))))</f>
        <v>1346.0658498929326</v>
      </c>
      <c r="H106" s="168">
        <f ca="1">IF($C106-H$1&lt;År1,0,G105*(1-VLOOKUP($A106,[1]Hugst!$R$5:$W$9,MATCH(ROUNDUP((H$1)/10,0)*10,[1]Hugst!$R$4:$W$4,0))))</f>
        <v>1347.011448527722</v>
      </c>
      <c r="I106" s="168">
        <f ca="1">IF($C106-I$1&lt;År1,0,H105*(1-VLOOKUP($A106,[1]Hugst!$R$5:$W$9,MATCH(ROUNDUP((I$1)/10,0)*10,[1]Hugst!$R$4:$W$4,0))))</f>
        <v>1350.0699464079146</v>
      </c>
      <c r="J106" s="168">
        <f ca="1">IF($C106-J$1&lt;År1,0,I105*(1-VLOOKUP($A106,[1]Hugst!$R$5:$W$9,MATCH(ROUNDUP((J$1)/10,0)*10,[1]Hugst!$R$4:$W$4,0))))</f>
        <v>1353.1438136241698</v>
      </c>
      <c r="K106" s="168">
        <f ca="1">IF($C106-K$1&lt;År1,0,J105*(1-VLOOKUP($A106,[1]Hugst!$R$5:$W$9,MATCH(ROUNDUP((K$1)/10,0)*10,[1]Hugst!$R$4:$W$4,0))))</f>
        <v>1356.2331274093951</v>
      </c>
      <c r="L106" s="168">
        <f ca="1">IF($C106-L$1&lt;År1,0,K105*(1-VLOOKUP($A106,[1]Hugst!$R$5:$W$9,MATCH(ROUNDUP((L$1)/10,0)*10,[1]Hugst!$R$4:$W$4,0))))</f>
        <v>1359.3379653844379</v>
      </c>
      <c r="M106" s="168">
        <f ca="1">IF($C106-M$1&lt;År1,0,L105*(1-VLOOKUP($A106,[1]Hugst!$R$5:$W$9,MATCH(ROUNDUP((M$1)/10,0)*10,[1]Hugst!$R$4:$W$4,0))))</f>
        <v>1362.4584055603984</v>
      </c>
      <c r="N106" s="168">
        <f ca="1">IF($C106-N$1&lt;År1,0,M105*(1-VLOOKUP($A106,[1]Hugst!$R$5:$W$9,MATCH(ROUNDUP((N$1)/10,0)*10,[1]Hugst!$R$4:$W$4,0))))</f>
        <v>1365.5945263402311</v>
      </c>
      <c r="O106" s="168">
        <f ca="1">IF($C106-O$1&lt;År1,0,N105*(1-VLOOKUP($A106,[1]Hugst!$R$5:$W$9,MATCH(ROUNDUP((O$1)/10,0)*10,[1]Hugst!$R$4:$W$4,0))))</f>
        <v>1368.7464065209999</v>
      </c>
      <c r="P106" s="168">
        <f ca="1">IF($C106-P$1&lt;År1,0,O105*(1-VLOOKUP($A106,[1]Hugst!$R$5:$W$9,MATCH(ROUNDUP((P$1)/10,0)*10,[1]Hugst!$R$4:$W$4,0))))</f>
        <v>1369.8213749350039</v>
      </c>
      <c r="Q106" s="168">
        <f ca="1">IF($C106-Q$1&lt;År1,0,P105*(1-VLOOKUP($A106,[1]Hugst!$R$5:$W$9,MATCH(ROUNDUP((Q$1)/10,0)*10,[1]Hugst!$R$4:$W$4,0))))</f>
        <v>1370.9057484822031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599.55703398572223</v>
      </c>
      <c r="E107" s="168">
        <f t="shared" ca="1" si="2"/>
        <v>6.2686884354989161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1344.1960927915904</v>
      </c>
      <c r="G107" s="168">
        <f ca="1">IF($C107-G$1&lt;År1,0,F106*(1-VLOOKUP($A107,[1]Hugst!$R$5:$W$9,MATCH(ROUNDUP((G$1)/10,0)*10,[1]Hugst!$R$4:$W$4,0))))</f>
        <v>1345.1274111505688</v>
      </c>
      <c r="H107" s="168">
        <f ca="1">IF($C107-H$1&lt;År1,0,G106*(1-VLOOKUP($A107,[1]Hugst!$R$5:$W$9,MATCH(ROUNDUP((H$1)/10,0)*10,[1]Hugst!$R$4:$W$4,0))))</f>
        <v>1346.0658498929326</v>
      </c>
      <c r="I107" s="168">
        <f ca="1">IF($C107-I$1&lt;År1,0,H106*(1-VLOOKUP($A107,[1]Hugst!$R$5:$W$9,MATCH(ROUNDUP((I$1)/10,0)*10,[1]Hugst!$R$4:$W$4,0))))</f>
        <v>1347.011448527722</v>
      </c>
      <c r="J107" s="168">
        <f ca="1">IF($C107-J$1&lt;År1,0,I106*(1-VLOOKUP($A107,[1]Hugst!$R$5:$W$9,MATCH(ROUNDUP((J$1)/10,0)*10,[1]Hugst!$R$4:$W$4,0))))</f>
        <v>1350.0699464079146</v>
      </c>
      <c r="K107" s="168">
        <f ca="1">IF($C107-K$1&lt;År1,0,J106*(1-VLOOKUP($A107,[1]Hugst!$R$5:$W$9,MATCH(ROUNDUP((K$1)/10,0)*10,[1]Hugst!$R$4:$W$4,0))))</f>
        <v>1353.1438136241698</v>
      </c>
      <c r="L107" s="168">
        <f ca="1">IF($C107-L$1&lt;År1,0,K106*(1-VLOOKUP($A107,[1]Hugst!$R$5:$W$9,MATCH(ROUNDUP((L$1)/10,0)*10,[1]Hugst!$R$4:$W$4,0))))</f>
        <v>1356.2331274093951</v>
      </c>
      <c r="M107" s="168">
        <f ca="1">IF($C107-M$1&lt;År1,0,L106*(1-VLOOKUP($A107,[1]Hugst!$R$5:$W$9,MATCH(ROUNDUP((M$1)/10,0)*10,[1]Hugst!$R$4:$W$4,0))))</f>
        <v>1359.3379653844379</v>
      </c>
      <c r="N107" s="168">
        <f ca="1">IF($C107-N$1&lt;År1,0,M106*(1-VLOOKUP($A107,[1]Hugst!$R$5:$W$9,MATCH(ROUNDUP((N$1)/10,0)*10,[1]Hugst!$R$4:$W$4,0))))</f>
        <v>1362.4584055603984</v>
      </c>
      <c r="O107" s="168">
        <f ca="1">IF($C107-O$1&lt;År1,0,N106*(1-VLOOKUP($A107,[1]Hugst!$R$5:$W$9,MATCH(ROUNDUP((O$1)/10,0)*10,[1]Hugst!$R$4:$W$4,0))))</f>
        <v>1365.5945263402311</v>
      </c>
      <c r="P107" s="168">
        <f ca="1">IF($C107-P$1&lt;År1,0,O106*(1-VLOOKUP($A107,[1]Hugst!$R$5:$W$9,MATCH(ROUNDUP((P$1)/10,0)*10,[1]Hugst!$R$4:$W$4,0))))</f>
        <v>1366.6584882737645</v>
      </c>
      <c r="Q107" s="168">
        <f ca="1">IF($C107-Q$1&lt;År1,0,P106*(1-VLOOKUP($A107,[1]Hugst!$R$5:$W$9,MATCH(ROUNDUP((Q$1)/10,0)*10,[1]Hugst!$R$4:$W$4,0))))</f>
        <v>1367.731816905442</v>
      </c>
      <c r="R107" s="168">
        <f ca="1">IF($C107-R$1&lt;År1,0,Q106*(1-VLOOKUP($A107,[1]Hugst!$R$5:$W$9,MATCH(ROUNDUP((R$1)/10,0)*10,[1]Hugst!$R$4:$W$4,0))))</f>
        <v>1368.8145363235014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596.55924881578539</v>
      </c>
      <c r="E108" s="168">
        <f t="shared" ca="1" si="2"/>
        <v>8.3422363238278194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1343.2718555099825</v>
      </c>
      <c r="G108" s="168">
        <f ca="1">IF($C108-G$1&lt;År1,0,F107*(1-VLOOKUP($A108,[1]Hugst!$R$5:$W$9,MATCH(ROUNDUP((G$1)/10,0)*10,[1]Hugst!$R$4:$W$4,0))))</f>
        <v>1344.1960927915904</v>
      </c>
      <c r="H108" s="168">
        <f ca="1">IF($C108-H$1&lt;År1,0,G107*(1-VLOOKUP($A108,[1]Hugst!$R$5:$W$9,MATCH(ROUNDUP((H$1)/10,0)*10,[1]Hugst!$R$4:$W$4,0))))</f>
        <v>1345.1274111505688</v>
      </c>
      <c r="I108" s="168">
        <f ca="1">IF($C108-I$1&lt;År1,0,H107*(1-VLOOKUP($A108,[1]Hugst!$R$5:$W$9,MATCH(ROUNDUP((I$1)/10,0)*10,[1]Hugst!$R$4:$W$4,0))))</f>
        <v>1346.0658498929326</v>
      </c>
      <c r="J108" s="168">
        <f ca="1">IF($C108-J$1&lt;År1,0,I107*(1-VLOOKUP($A108,[1]Hugst!$R$5:$W$9,MATCH(ROUNDUP((J$1)/10,0)*10,[1]Hugst!$R$4:$W$4,0))))</f>
        <v>1347.011448527722</v>
      </c>
      <c r="K108" s="168">
        <f ca="1">IF($C108-K$1&lt;År1,0,J107*(1-VLOOKUP($A108,[1]Hugst!$R$5:$W$9,MATCH(ROUNDUP((K$1)/10,0)*10,[1]Hugst!$R$4:$W$4,0))))</f>
        <v>1350.0699464079146</v>
      </c>
      <c r="L108" s="168">
        <f ca="1">IF($C108-L$1&lt;År1,0,K107*(1-VLOOKUP($A108,[1]Hugst!$R$5:$W$9,MATCH(ROUNDUP((L$1)/10,0)*10,[1]Hugst!$R$4:$W$4,0))))</f>
        <v>1353.1438136241698</v>
      </c>
      <c r="M108" s="168">
        <f ca="1">IF($C108-M$1&lt;År1,0,L107*(1-VLOOKUP($A108,[1]Hugst!$R$5:$W$9,MATCH(ROUNDUP((M$1)/10,0)*10,[1]Hugst!$R$4:$W$4,0))))</f>
        <v>1356.2331274093951</v>
      </c>
      <c r="N108" s="168">
        <f ca="1">IF($C108-N$1&lt;År1,0,M107*(1-VLOOKUP($A108,[1]Hugst!$R$5:$W$9,MATCH(ROUNDUP((N$1)/10,0)*10,[1]Hugst!$R$4:$W$4,0))))</f>
        <v>1359.3379653844379</v>
      </c>
      <c r="O108" s="168">
        <f ca="1">IF($C108-O$1&lt;År1,0,N107*(1-VLOOKUP($A108,[1]Hugst!$R$5:$W$9,MATCH(ROUNDUP((O$1)/10,0)*10,[1]Hugst!$R$4:$W$4,0))))</f>
        <v>1362.4584055603984</v>
      </c>
      <c r="P108" s="168">
        <f ca="1">IF($C108-P$1&lt;År1,0,O107*(1-VLOOKUP($A108,[1]Hugst!$R$5:$W$9,MATCH(ROUNDUP((P$1)/10,0)*10,[1]Hugst!$R$4:$W$4,0))))</f>
        <v>1363.5114160458138</v>
      </c>
      <c r="Q108" s="168">
        <f ca="1">IF($C108-Q$1&lt;År1,0,P107*(1-VLOOKUP($A108,[1]Hugst!$R$5:$W$9,MATCH(ROUNDUP((Q$1)/10,0)*10,[1]Hugst!$R$4:$W$4,0))))</f>
        <v>1364.5737549865671</v>
      </c>
      <c r="R108" s="168">
        <f ca="1">IF($C108-R$1&lt;År1,0,Q107*(1-VLOOKUP($A108,[1]Hugst!$R$5:$W$9,MATCH(ROUNDUP((R$1)/10,0)*10,[1]Hugst!$R$4:$W$4,0))))</f>
        <v>1365.6454463372811</v>
      </c>
      <c r="S108" s="168">
        <f ca="1">IF($C108-S$1&lt;År1,0,R107*(1-VLOOKUP($A108,[1]Hugst!$R$5:$W$9,MATCH(ROUNDUP((S$1)/10,0)*10,[1]Hugst!$R$4:$W$4,0))))</f>
        <v>1366.7265141494486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593.57645257170952</v>
      </c>
      <c r="E109" s="168">
        <f t="shared" ca="1" si="2"/>
        <v>10.407837259954249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1342.3546602020331</v>
      </c>
      <c r="G109" s="168">
        <f ca="1">IF($C109-G$1&lt;År1,0,F108*(1-VLOOKUP($A109,[1]Hugst!$R$5:$W$9,MATCH(ROUNDUP((G$1)/10,0)*10,[1]Hugst!$R$4:$W$4,0))))</f>
        <v>1343.2718555099825</v>
      </c>
      <c r="H109" s="168">
        <f ca="1">IF($C109-H$1&lt;År1,0,G108*(1-VLOOKUP($A109,[1]Hugst!$R$5:$W$9,MATCH(ROUNDUP((H$1)/10,0)*10,[1]Hugst!$R$4:$W$4,0))))</f>
        <v>1344.1960927915904</v>
      </c>
      <c r="I109" s="168">
        <f ca="1">IF($C109-I$1&lt;År1,0,H108*(1-VLOOKUP($A109,[1]Hugst!$R$5:$W$9,MATCH(ROUNDUP((I$1)/10,0)*10,[1]Hugst!$R$4:$W$4,0))))</f>
        <v>1345.1274111505688</v>
      </c>
      <c r="J109" s="168">
        <f ca="1">IF($C109-J$1&lt;År1,0,I108*(1-VLOOKUP($A109,[1]Hugst!$R$5:$W$9,MATCH(ROUNDUP((J$1)/10,0)*10,[1]Hugst!$R$4:$W$4,0))))</f>
        <v>1346.0658498929326</v>
      </c>
      <c r="K109" s="168">
        <f ca="1">IF($C109-K$1&lt;År1,0,J108*(1-VLOOKUP($A109,[1]Hugst!$R$5:$W$9,MATCH(ROUNDUP((K$1)/10,0)*10,[1]Hugst!$R$4:$W$4,0))))</f>
        <v>1347.011448527722</v>
      </c>
      <c r="L109" s="168">
        <f ca="1">IF($C109-L$1&lt;År1,0,K108*(1-VLOOKUP($A109,[1]Hugst!$R$5:$W$9,MATCH(ROUNDUP((L$1)/10,0)*10,[1]Hugst!$R$4:$W$4,0))))</f>
        <v>1350.0699464079146</v>
      </c>
      <c r="M109" s="168">
        <f ca="1">IF($C109-M$1&lt;År1,0,L108*(1-VLOOKUP($A109,[1]Hugst!$R$5:$W$9,MATCH(ROUNDUP((M$1)/10,0)*10,[1]Hugst!$R$4:$W$4,0))))</f>
        <v>1353.1438136241698</v>
      </c>
      <c r="N109" s="168">
        <f ca="1">IF($C109-N$1&lt;År1,0,M108*(1-VLOOKUP($A109,[1]Hugst!$R$5:$W$9,MATCH(ROUNDUP((N$1)/10,0)*10,[1]Hugst!$R$4:$W$4,0))))</f>
        <v>1356.2331274093951</v>
      </c>
      <c r="O109" s="168">
        <f ca="1">IF($C109-O$1&lt;År1,0,N108*(1-VLOOKUP($A109,[1]Hugst!$R$5:$W$9,MATCH(ROUNDUP((O$1)/10,0)*10,[1]Hugst!$R$4:$W$4,0))))</f>
        <v>1359.3379653844379</v>
      </c>
      <c r="P109" s="168">
        <f ca="1">IF($C109-P$1&lt;År1,0,O108*(1-VLOOKUP($A109,[1]Hugst!$R$5:$W$9,MATCH(ROUNDUP((P$1)/10,0)*10,[1]Hugst!$R$4:$W$4,0))))</f>
        <v>1360.380079179035</v>
      </c>
      <c r="Q109" s="168">
        <f ca="1">IF($C109-Q$1&lt;År1,0,P108*(1-VLOOKUP($A109,[1]Hugst!$R$5:$W$9,MATCH(ROUNDUP((Q$1)/10,0)*10,[1]Hugst!$R$4:$W$4,0))))</f>
        <v>1361.4314833772694</v>
      </c>
      <c r="R109" s="168">
        <f ca="1">IF($C109-R$1&lt;År1,0,Q108*(1-VLOOKUP($A109,[1]Hugst!$R$5:$W$9,MATCH(ROUNDUP((R$1)/10,0)*10,[1]Hugst!$R$4:$W$4,0))))</f>
        <v>1362.4922018009943</v>
      </c>
      <c r="S109" s="168">
        <f ca="1">IF($C109-S$1&lt;År1,0,R108*(1-VLOOKUP($A109,[1]Hugst!$R$5:$W$9,MATCH(ROUNDUP((S$1)/10,0)*10,[1]Hugst!$R$4:$W$4,0))))</f>
        <v>1363.5622583682921</v>
      </c>
      <c r="T109" s="168">
        <f ca="1">IF($C109-T$1&lt;År1,0,S108*(1-VLOOKUP($A109,[1]Hugst!$R$5:$W$9,MATCH(ROUNDUP((T$1)/10,0)*10,[1]Hugst!$R$4:$W$4,0))))</f>
        <v>1364.6416770939663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590.60857030886109</v>
      </c>
      <c r="E110" s="168">
        <f t="shared" ca="1" si="2"/>
        <v>12.465527285901771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1341.4444679651322</v>
      </c>
      <c r="G110" s="168">
        <f ca="1">IF($C110-G$1&lt;År1,0,F109*(1-VLOOKUP($A110,[1]Hugst!$R$5:$W$9,MATCH(ROUNDUP((G$1)/10,0)*10,[1]Hugst!$R$4:$W$4,0))))</f>
        <v>1342.3546602020331</v>
      </c>
      <c r="H110" s="168">
        <f ca="1">IF($C110-H$1&lt;År1,0,G109*(1-VLOOKUP($A110,[1]Hugst!$R$5:$W$9,MATCH(ROUNDUP((H$1)/10,0)*10,[1]Hugst!$R$4:$W$4,0))))</f>
        <v>1343.2718555099825</v>
      </c>
      <c r="I110" s="168">
        <f ca="1">IF($C110-I$1&lt;År1,0,H109*(1-VLOOKUP($A110,[1]Hugst!$R$5:$W$9,MATCH(ROUNDUP((I$1)/10,0)*10,[1]Hugst!$R$4:$W$4,0))))</f>
        <v>1344.1960927915904</v>
      </c>
      <c r="J110" s="168">
        <f ca="1">IF($C110-J$1&lt;År1,0,I109*(1-VLOOKUP($A110,[1]Hugst!$R$5:$W$9,MATCH(ROUNDUP((J$1)/10,0)*10,[1]Hugst!$R$4:$W$4,0))))</f>
        <v>1345.1274111505688</v>
      </c>
      <c r="K110" s="168">
        <f ca="1">IF($C110-K$1&lt;År1,0,J109*(1-VLOOKUP($A110,[1]Hugst!$R$5:$W$9,MATCH(ROUNDUP((K$1)/10,0)*10,[1]Hugst!$R$4:$W$4,0))))</f>
        <v>1346.0658498929326</v>
      </c>
      <c r="L110" s="168">
        <f ca="1">IF($C110-L$1&lt;År1,0,K109*(1-VLOOKUP($A110,[1]Hugst!$R$5:$W$9,MATCH(ROUNDUP((L$1)/10,0)*10,[1]Hugst!$R$4:$W$4,0))))</f>
        <v>1347.011448527722</v>
      </c>
      <c r="M110" s="168">
        <f ca="1">IF($C110-M$1&lt;År1,0,L109*(1-VLOOKUP($A110,[1]Hugst!$R$5:$W$9,MATCH(ROUNDUP((M$1)/10,0)*10,[1]Hugst!$R$4:$W$4,0))))</f>
        <v>1350.0699464079146</v>
      </c>
      <c r="N110" s="168">
        <f ca="1">IF($C110-N$1&lt;År1,0,M109*(1-VLOOKUP($A110,[1]Hugst!$R$5:$W$9,MATCH(ROUNDUP((N$1)/10,0)*10,[1]Hugst!$R$4:$W$4,0))))</f>
        <v>1353.1438136241698</v>
      </c>
      <c r="O110" s="168">
        <f ca="1">IF($C110-O$1&lt;År1,0,N109*(1-VLOOKUP($A110,[1]Hugst!$R$5:$W$9,MATCH(ROUNDUP((O$1)/10,0)*10,[1]Hugst!$R$4:$W$4,0))))</f>
        <v>1356.2331274093951</v>
      </c>
      <c r="P110" s="168">
        <f ca="1">IF($C110-P$1&lt;År1,0,O109*(1-VLOOKUP($A110,[1]Hugst!$R$5:$W$9,MATCH(ROUNDUP((P$1)/10,0)*10,[1]Hugst!$R$4:$W$4,0))))</f>
        <v>1357.2643989965634</v>
      </c>
      <c r="Q110" s="168">
        <f ca="1">IF($C110-Q$1&lt;År1,0,P109*(1-VLOOKUP($A110,[1]Hugst!$R$5:$W$9,MATCH(ROUNDUP((Q$1)/10,0)*10,[1]Hugst!$R$4:$W$4,0))))</f>
        <v>1358.30492312605</v>
      </c>
      <c r="R110" s="168">
        <f ca="1">IF($C110-R$1&lt;År1,0,Q109*(1-VLOOKUP($A110,[1]Hugst!$R$5:$W$9,MATCH(ROUNDUP((R$1)/10,0)*10,[1]Hugst!$R$4:$W$4,0))))</f>
        <v>1359.3547234873718</v>
      </c>
      <c r="S110" s="168">
        <f ca="1">IF($C110-S$1&lt;År1,0,R109*(1-VLOOKUP($A110,[1]Hugst!$R$5:$W$9,MATCH(ROUNDUP((S$1)/10,0)*10,[1]Hugst!$R$4:$W$4,0))))</f>
        <v>1360.4138238660435</v>
      </c>
      <c r="T110" s="168">
        <f ca="1">IF($C110-T$1&lt;År1,0,S109*(1-VLOOKUP($A110,[1]Hugst!$R$5:$W$9,MATCH(ROUNDUP((T$1)/10,0)*10,[1]Hugst!$R$4:$W$4,0))))</f>
        <v>1361.4822481436624</v>
      </c>
      <c r="U110" s="168">
        <f ca="1">IF($C110-U$1&lt;År1,0,T109*(1-VLOOKUP($A110,[1]Hugst!$R$5:$W$9,MATCH(ROUNDUP((U$1)/10,0)*10,[1]Hugst!$R$4:$W$4,0))))</f>
        <v>1362.5600202983992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587.65552745730383</v>
      </c>
      <c r="E111" s="168">
        <f t="shared" ca="1" si="2"/>
        <v>14.515342269151006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1340.5412400968241</v>
      </c>
      <c r="G111" s="168">
        <f ca="1">IF($C111-G$1&lt;År1,0,F110*(1-VLOOKUP($A111,[1]Hugst!$R$5:$W$9,MATCH(ROUNDUP((G$1)/10,0)*10,[1]Hugst!$R$4:$W$4,0))))</f>
        <v>1341.4444679651322</v>
      </c>
      <c r="H111" s="168">
        <f ca="1">IF($C111-H$1&lt;År1,0,G110*(1-VLOOKUP($A111,[1]Hugst!$R$5:$W$9,MATCH(ROUNDUP((H$1)/10,0)*10,[1]Hugst!$R$4:$W$4,0))))</f>
        <v>1342.3546602020331</v>
      </c>
      <c r="I111" s="168">
        <f ca="1">IF($C111-I$1&lt;År1,0,H110*(1-VLOOKUP($A111,[1]Hugst!$R$5:$W$9,MATCH(ROUNDUP((I$1)/10,0)*10,[1]Hugst!$R$4:$W$4,0))))</f>
        <v>1343.2718555099825</v>
      </c>
      <c r="J111" s="168">
        <f ca="1">IF($C111-J$1&lt;År1,0,I110*(1-VLOOKUP($A111,[1]Hugst!$R$5:$W$9,MATCH(ROUNDUP((J$1)/10,0)*10,[1]Hugst!$R$4:$W$4,0))))</f>
        <v>1344.1960927915904</v>
      </c>
      <c r="K111" s="168">
        <f ca="1">IF($C111-K$1&lt;År1,0,J110*(1-VLOOKUP($A111,[1]Hugst!$R$5:$W$9,MATCH(ROUNDUP((K$1)/10,0)*10,[1]Hugst!$R$4:$W$4,0))))</f>
        <v>1345.1274111505688</v>
      </c>
      <c r="L111" s="168">
        <f ca="1">IF($C111-L$1&lt;År1,0,K110*(1-VLOOKUP($A111,[1]Hugst!$R$5:$W$9,MATCH(ROUNDUP((L$1)/10,0)*10,[1]Hugst!$R$4:$W$4,0))))</f>
        <v>1346.0658498929326</v>
      </c>
      <c r="M111" s="168">
        <f ca="1">IF($C111-M$1&lt;År1,0,L110*(1-VLOOKUP($A111,[1]Hugst!$R$5:$W$9,MATCH(ROUNDUP((M$1)/10,0)*10,[1]Hugst!$R$4:$W$4,0))))</f>
        <v>1347.011448527722</v>
      </c>
      <c r="N111" s="168">
        <f ca="1">IF($C111-N$1&lt;År1,0,M110*(1-VLOOKUP($A111,[1]Hugst!$R$5:$W$9,MATCH(ROUNDUP((N$1)/10,0)*10,[1]Hugst!$R$4:$W$4,0))))</f>
        <v>1350.0699464079146</v>
      </c>
      <c r="O111" s="168">
        <f ca="1">IF($C111-O$1&lt;År1,0,N110*(1-VLOOKUP($A111,[1]Hugst!$R$5:$W$9,MATCH(ROUNDUP((O$1)/10,0)*10,[1]Hugst!$R$4:$W$4,0))))</f>
        <v>1353.1438136241698</v>
      </c>
      <c r="P111" s="168">
        <f ca="1">IF($C111-P$1&lt;År1,0,O110*(1-VLOOKUP($A111,[1]Hugst!$R$5:$W$9,MATCH(ROUNDUP((P$1)/10,0)*10,[1]Hugst!$R$4:$W$4,0))))</f>
        <v>1354.1642972150419</v>
      </c>
      <c r="Q111" s="168">
        <f ca="1">IF($C111-Q$1&lt;År1,0,P110*(1-VLOOKUP($A111,[1]Hugst!$R$5:$W$9,MATCH(ROUNDUP((Q$1)/10,0)*10,[1]Hugst!$R$4:$W$4,0))))</f>
        <v>1355.19399567606</v>
      </c>
      <c r="R111" s="168">
        <f ca="1">IF($C111-R$1&lt;År1,0,Q110*(1-VLOOKUP($A111,[1]Hugst!$R$5:$W$9,MATCH(ROUNDUP((R$1)/10,0)*10,[1]Hugst!$R$4:$W$4,0))))</f>
        <v>1356.2329325653491</v>
      </c>
      <c r="S111" s="168">
        <f ca="1">IF($C111-S$1&lt;År1,0,R110*(1-VLOOKUP($A111,[1]Hugst!$R$5:$W$9,MATCH(ROUNDUP((S$1)/10,0)*10,[1]Hugst!$R$4:$W$4,0))))</f>
        <v>1357.2811315362892</v>
      </c>
      <c r="T111" s="168">
        <f ca="1">IF($C111-T$1&lt;År1,0,S110*(1-VLOOKUP($A111,[1]Hugst!$R$5:$W$9,MATCH(ROUNDUP((T$1)/10,0)*10,[1]Hugst!$R$4:$W$4,0))))</f>
        <v>1358.3386163381122</v>
      </c>
      <c r="U111" s="168">
        <f ca="1">IF($C111-U$1&lt;År1,0,T110*(1-VLOOKUP($A111,[1]Hugst!$R$5:$W$9,MATCH(ROUNDUP((U$1)/10,0)*10,[1]Hugst!$R$4:$W$4,0))))</f>
        <v>1359.4054108159855</v>
      </c>
      <c r="V111" s="168">
        <f ca="1">IF($C111-V$1&lt;År1,0,U110*(1-VLOOKUP($A111,[1]Hugst!$R$5:$W$9,MATCH(ROUNDUP((V$1)/10,0)*10,[1]Hugst!$R$4:$W$4,0))))</f>
        <v>1360.4815389115033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584.71724982002343</v>
      </c>
      <c r="E112" s="168">
        <f t="shared" ca="1" si="2"/>
        <v>16.557317903418152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1339.6449380938109</v>
      </c>
      <c r="G112" s="168">
        <f ca="1">IF($C112-G$1&lt;År1,0,F111*(1-VLOOKUP($A112,[1]Hugst!$R$5:$W$9,MATCH(ROUNDUP((G$1)/10,0)*10,[1]Hugst!$R$4:$W$4,0))))</f>
        <v>1340.5412400968241</v>
      </c>
      <c r="H112" s="168">
        <f ca="1">IF($C112-H$1&lt;År1,0,G111*(1-VLOOKUP($A112,[1]Hugst!$R$5:$W$9,MATCH(ROUNDUP((H$1)/10,0)*10,[1]Hugst!$R$4:$W$4,0))))</f>
        <v>1341.4444679651322</v>
      </c>
      <c r="I112" s="168">
        <f ca="1">IF($C112-I$1&lt;År1,0,H111*(1-VLOOKUP($A112,[1]Hugst!$R$5:$W$9,MATCH(ROUNDUP((I$1)/10,0)*10,[1]Hugst!$R$4:$W$4,0))))</f>
        <v>1342.3546602020331</v>
      </c>
      <c r="J112" s="168">
        <f ca="1">IF($C112-J$1&lt;År1,0,I111*(1-VLOOKUP($A112,[1]Hugst!$R$5:$W$9,MATCH(ROUNDUP((J$1)/10,0)*10,[1]Hugst!$R$4:$W$4,0))))</f>
        <v>1343.2718555099825</v>
      </c>
      <c r="K112" s="168">
        <f ca="1">IF($C112-K$1&lt;År1,0,J111*(1-VLOOKUP($A112,[1]Hugst!$R$5:$W$9,MATCH(ROUNDUP((K$1)/10,0)*10,[1]Hugst!$R$4:$W$4,0))))</f>
        <v>1344.1960927915904</v>
      </c>
      <c r="L112" s="168">
        <f ca="1">IF($C112-L$1&lt;År1,0,K111*(1-VLOOKUP($A112,[1]Hugst!$R$5:$W$9,MATCH(ROUNDUP((L$1)/10,0)*10,[1]Hugst!$R$4:$W$4,0))))</f>
        <v>1345.1274111505688</v>
      </c>
      <c r="M112" s="168">
        <f ca="1">IF($C112-M$1&lt;År1,0,L111*(1-VLOOKUP($A112,[1]Hugst!$R$5:$W$9,MATCH(ROUNDUP((M$1)/10,0)*10,[1]Hugst!$R$4:$W$4,0))))</f>
        <v>1346.0658498929326</v>
      </c>
      <c r="N112" s="168">
        <f ca="1">IF($C112-N$1&lt;År1,0,M111*(1-VLOOKUP($A112,[1]Hugst!$R$5:$W$9,MATCH(ROUNDUP((N$1)/10,0)*10,[1]Hugst!$R$4:$W$4,0))))</f>
        <v>1347.011448527722</v>
      </c>
      <c r="O112" s="168">
        <f ca="1">IF($C112-O$1&lt;År1,0,N111*(1-VLOOKUP($A112,[1]Hugst!$R$5:$W$9,MATCH(ROUNDUP((O$1)/10,0)*10,[1]Hugst!$R$4:$W$4,0))))</f>
        <v>1350.0699464079146</v>
      </c>
      <c r="P112" s="168">
        <f ca="1">IF($C112-P$1&lt;År1,0,O111*(1-VLOOKUP($A112,[1]Hugst!$R$5:$W$9,MATCH(ROUNDUP((P$1)/10,0)*10,[1]Hugst!$R$4:$W$4,0))))</f>
        <v>1351.0796959423701</v>
      </c>
      <c r="Q112" s="168">
        <f ca="1">IF($C112-Q$1&lt;År1,0,P111*(1-VLOOKUP($A112,[1]Hugst!$R$5:$W$9,MATCH(ROUNDUP((Q$1)/10,0)*10,[1]Hugst!$R$4:$W$4,0))))</f>
        <v>1352.0986228633578</v>
      </c>
      <c r="R112" s="168">
        <f ca="1">IF($C112-R$1&lt;År1,0,Q111*(1-VLOOKUP($A112,[1]Hugst!$R$5:$W$9,MATCH(ROUNDUP((R$1)/10,0)*10,[1]Hugst!$R$4:$W$4,0))))</f>
        <v>1353.1267505979101</v>
      </c>
      <c r="S112" s="168">
        <f ca="1">IF($C112-S$1&lt;År1,0,R111*(1-VLOOKUP($A112,[1]Hugst!$R$5:$W$9,MATCH(ROUNDUP((S$1)/10,0)*10,[1]Hugst!$R$4:$W$4,0))))</f>
        <v>1354.1641026682155</v>
      </c>
      <c r="T112" s="168">
        <f ca="1">IF($C112-T$1&lt;År1,0,S111*(1-VLOOKUP($A112,[1]Hugst!$R$5:$W$9,MATCH(ROUNDUP((T$1)/10,0)*10,[1]Hugst!$R$4:$W$4,0))))</f>
        <v>1355.2107026915728</v>
      </c>
      <c r="U112" s="168">
        <f ca="1">IF($C112-U$1&lt;År1,0,T111*(1-VLOOKUP($A112,[1]Hugst!$R$5:$W$9,MATCH(ROUNDUP((U$1)/10,0)*10,[1]Hugst!$R$4:$W$4,0))))</f>
        <v>1356.2665743809862</v>
      </c>
      <c r="V112" s="168">
        <f ca="1">IF($C112-V$1&lt;År1,0,U111*(1-VLOOKUP($A112,[1]Hugst!$R$5:$W$9,MATCH(ROUNDUP((V$1)/10,0)*10,[1]Hugst!$R$4:$W$4,0))))</f>
        <v>1357.3317415452493</v>
      </c>
      <c r="W112" s="168">
        <f ca="1">IF($C112-W$1&lt;År1,0,V111*(1-VLOOKUP($A112,[1]Hugst!$R$5:$W$9,MATCH(ROUNDUP((W$1)/10,0)*10,[1]Hugst!$R$4:$W$4,0))))</f>
        <v>1358.406228089435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581.79366357093386</v>
      </c>
      <c r="E113" s="168">
        <f t="shared" ca="1" si="2"/>
        <v>18.59148970960814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1338.7555236509113</v>
      </c>
      <c r="G113" s="168">
        <f ca="1">IF($C113-G$1&lt;År1,0,F112*(1-VLOOKUP($A113,[1]Hugst!$R$5:$W$9,MATCH(ROUNDUP((G$1)/10,0)*10,[1]Hugst!$R$4:$W$4,0))))</f>
        <v>1339.6449380938109</v>
      </c>
      <c r="H113" s="168">
        <f ca="1">IF($C113-H$1&lt;År1,0,G112*(1-VLOOKUP($A113,[1]Hugst!$R$5:$W$9,MATCH(ROUNDUP((H$1)/10,0)*10,[1]Hugst!$R$4:$W$4,0))))</f>
        <v>1340.5412400968241</v>
      </c>
      <c r="I113" s="168">
        <f ca="1">IF($C113-I$1&lt;År1,0,H112*(1-VLOOKUP($A113,[1]Hugst!$R$5:$W$9,MATCH(ROUNDUP((I$1)/10,0)*10,[1]Hugst!$R$4:$W$4,0))))</f>
        <v>1341.4444679651322</v>
      </c>
      <c r="J113" s="168">
        <f ca="1">IF($C113-J$1&lt;År1,0,I112*(1-VLOOKUP($A113,[1]Hugst!$R$5:$W$9,MATCH(ROUNDUP((J$1)/10,0)*10,[1]Hugst!$R$4:$W$4,0))))</f>
        <v>1342.3546602020331</v>
      </c>
      <c r="K113" s="168">
        <f ca="1">IF($C113-K$1&lt;År1,0,J112*(1-VLOOKUP($A113,[1]Hugst!$R$5:$W$9,MATCH(ROUNDUP((K$1)/10,0)*10,[1]Hugst!$R$4:$W$4,0))))</f>
        <v>1343.2718555099825</v>
      </c>
      <c r="L113" s="168">
        <f ca="1">IF($C113-L$1&lt;År1,0,K112*(1-VLOOKUP($A113,[1]Hugst!$R$5:$W$9,MATCH(ROUNDUP((L$1)/10,0)*10,[1]Hugst!$R$4:$W$4,0))))</f>
        <v>1344.1960927915904</v>
      </c>
      <c r="M113" s="168">
        <f ca="1">IF($C113-M$1&lt;År1,0,L112*(1-VLOOKUP($A113,[1]Hugst!$R$5:$W$9,MATCH(ROUNDUP((M$1)/10,0)*10,[1]Hugst!$R$4:$W$4,0))))</f>
        <v>1345.1274111505688</v>
      </c>
      <c r="N113" s="168">
        <f ca="1">IF($C113-N$1&lt;År1,0,M112*(1-VLOOKUP($A113,[1]Hugst!$R$5:$W$9,MATCH(ROUNDUP((N$1)/10,0)*10,[1]Hugst!$R$4:$W$4,0))))</f>
        <v>1346.0658498929326</v>
      </c>
      <c r="O113" s="168">
        <f ca="1">IF($C113-O$1&lt;År1,0,N112*(1-VLOOKUP($A113,[1]Hugst!$R$5:$W$9,MATCH(ROUNDUP((O$1)/10,0)*10,[1]Hugst!$R$4:$W$4,0))))</f>
        <v>1347.011448527722</v>
      </c>
      <c r="P113" s="168">
        <f ca="1">IF($C113-P$1&lt;År1,0,O112*(1-VLOOKUP($A113,[1]Hugst!$R$5:$W$9,MATCH(ROUNDUP((P$1)/10,0)*10,[1]Hugst!$R$4:$W$4,0))))</f>
        <v>1348.0105176761058</v>
      </c>
      <c r="Q113" s="168">
        <f ca="1">IF($C113-Q$1&lt;År1,0,P112*(1-VLOOKUP($A113,[1]Hugst!$R$5:$W$9,MATCH(ROUNDUP((Q$1)/10,0)*10,[1]Hugst!$R$4:$W$4,0))))</f>
        <v>1349.0187269146613</v>
      </c>
      <c r="R113" s="168">
        <f ca="1">IF($C113-R$1&lt;År1,0,Q112*(1-VLOOKUP($A113,[1]Hugst!$R$5:$W$9,MATCH(ROUNDUP((R$1)/10,0)*10,[1]Hugst!$R$4:$W$4,0))))</f>
        <v>1350.036099540346</v>
      </c>
      <c r="S113" s="168">
        <f ca="1">IF($C113-S$1&lt;År1,0,R112*(1-VLOOKUP($A113,[1]Hugst!$R$5:$W$9,MATCH(ROUNDUP((S$1)/10,0)*10,[1]Hugst!$R$4:$W$4,0))))</f>
        <v>1351.0626589444557</v>
      </c>
      <c r="T113" s="168">
        <f ca="1">IF($C113-T$1&lt;År1,0,S112*(1-VLOOKUP($A113,[1]Hugst!$R$5:$W$9,MATCH(ROUNDUP((T$1)/10,0)*10,[1]Hugst!$R$4:$W$4,0))))</f>
        <v>1352.0984286132978</v>
      </c>
      <c r="U113" s="168">
        <f ca="1">IF($C113-U$1&lt;År1,0,T112*(1-VLOOKUP($A113,[1]Hugst!$R$5:$W$9,MATCH(ROUNDUP((U$1)/10,0)*10,[1]Hugst!$R$4:$W$4,0))))</f>
        <v>1353.1434321281449</v>
      </c>
      <c r="V113" s="168">
        <f ca="1">IF($C113-V$1&lt;År1,0,U112*(1-VLOOKUP($A113,[1]Hugst!$R$5:$W$9,MATCH(ROUNDUP((V$1)/10,0)*10,[1]Hugst!$R$4:$W$4,0))))</f>
        <v>1354.1976931658287</v>
      </c>
      <c r="W113" s="168">
        <f ca="1">IF($C113-W$1&lt;År1,0,V112*(1-VLOOKUP($A113,[1]Hugst!$R$5:$W$9,MATCH(ROUNDUP((W$1)/10,0)*10,[1]Hugst!$R$4:$W$4,0))))</f>
        <v>1355.2612354988244</v>
      </c>
      <c r="X113" s="168">
        <f ca="1">IF($C113-X$1&lt;År1,0,W112*(1-VLOOKUP($A113,[1]Hugst!$R$5:$W$9,MATCH(ROUNDUP((X$1)/10,0)*10,[1]Hugst!$R$4:$W$4,0))))</f>
        <v>1356.3340829957392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578.88469525305845</v>
      </c>
      <c r="E114" s="168">
        <f t="shared" ca="1" si="2"/>
        <v>20.617893036614987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1337.8729586600427</v>
      </c>
      <c r="G114" s="168">
        <f ca="1">IF($C114-G$1&lt;År1,0,F113*(1-VLOOKUP($A114,[1]Hugst!$R$5:$W$9,MATCH(ROUNDUP((G$1)/10,0)*10,[1]Hugst!$R$4:$W$4,0))))</f>
        <v>1338.7555236509113</v>
      </c>
      <c r="H114" s="168">
        <f ca="1">IF($C114-H$1&lt;År1,0,G113*(1-VLOOKUP($A114,[1]Hugst!$R$5:$W$9,MATCH(ROUNDUP((H$1)/10,0)*10,[1]Hugst!$R$4:$W$4,0))))</f>
        <v>1339.6449380938109</v>
      </c>
      <c r="I114" s="168">
        <f ca="1">IF($C114-I$1&lt;År1,0,H113*(1-VLOOKUP($A114,[1]Hugst!$R$5:$W$9,MATCH(ROUNDUP((I$1)/10,0)*10,[1]Hugst!$R$4:$W$4,0))))</f>
        <v>1340.5412400968241</v>
      </c>
      <c r="J114" s="168">
        <f ca="1">IF($C114-J$1&lt;År1,0,I113*(1-VLOOKUP($A114,[1]Hugst!$R$5:$W$9,MATCH(ROUNDUP((J$1)/10,0)*10,[1]Hugst!$R$4:$W$4,0))))</f>
        <v>1341.4444679651322</v>
      </c>
      <c r="K114" s="168">
        <f ca="1">IF($C114-K$1&lt;År1,0,J113*(1-VLOOKUP($A114,[1]Hugst!$R$5:$W$9,MATCH(ROUNDUP((K$1)/10,0)*10,[1]Hugst!$R$4:$W$4,0))))</f>
        <v>1342.3546602020331</v>
      </c>
      <c r="L114" s="168">
        <f ca="1">IF($C114-L$1&lt;År1,0,K113*(1-VLOOKUP($A114,[1]Hugst!$R$5:$W$9,MATCH(ROUNDUP((L$1)/10,0)*10,[1]Hugst!$R$4:$W$4,0))))</f>
        <v>1343.2718555099825</v>
      </c>
      <c r="M114" s="168">
        <f ca="1">IF($C114-M$1&lt;År1,0,L113*(1-VLOOKUP($A114,[1]Hugst!$R$5:$W$9,MATCH(ROUNDUP((M$1)/10,0)*10,[1]Hugst!$R$4:$W$4,0))))</f>
        <v>1344.1960927915904</v>
      </c>
      <c r="N114" s="168">
        <f ca="1">IF($C114-N$1&lt;År1,0,M113*(1-VLOOKUP($A114,[1]Hugst!$R$5:$W$9,MATCH(ROUNDUP((N$1)/10,0)*10,[1]Hugst!$R$4:$W$4,0))))</f>
        <v>1345.1274111505688</v>
      </c>
      <c r="O114" s="168">
        <f ca="1">IF($C114-O$1&lt;År1,0,N113*(1-VLOOKUP($A114,[1]Hugst!$R$5:$W$9,MATCH(ROUNDUP((O$1)/10,0)*10,[1]Hugst!$R$4:$W$4,0))))</f>
        <v>1346.0658498929326</v>
      </c>
      <c r="P114" s="168">
        <f ca="1">IF($C114-P$1&lt;År1,0,O113*(1-VLOOKUP($A114,[1]Hugst!$R$5:$W$9,MATCH(ROUNDUP((P$1)/10,0)*10,[1]Hugst!$R$4:$W$4,0))))</f>
        <v>1344.9566853011543</v>
      </c>
      <c r="Q114" s="168">
        <f ca="1">IF($C114-Q$1&lt;År1,0,P113*(1-VLOOKUP($A114,[1]Hugst!$R$5:$W$9,MATCH(ROUNDUP((Q$1)/10,0)*10,[1]Hugst!$R$4:$W$4,0))))</f>
        <v>1345.9542304457523</v>
      </c>
      <c r="R114" s="168">
        <f ca="1">IF($C114-R$1&lt;År1,0,Q113*(1-VLOOKUP($A114,[1]Hugst!$R$5:$W$9,MATCH(ROUNDUP((R$1)/10,0)*10,[1]Hugst!$R$4:$W$4,0))))</f>
        <v>1346.9609017380119</v>
      </c>
      <c r="S114" s="168">
        <f ca="1">IF($C114-S$1&lt;År1,0,R113*(1-VLOOKUP($A114,[1]Hugst!$R$5:$W$9,MATCH(ROUNDUP((S$1)/10,0)*10,[1]Hugst!$R$4:$W$4,0))))</f>
        <v>1347.9767224393522</v>
      </c>
      <c r="T114" s="168">
        <f ca="1">IF($C114-T$1&lt;År1,0,S113*(1-VLOOKUP($A114,[1]Hugst!$R$5:$W$9,MATCH(ROUNDUP((T$1)/10,0)*10,[1]Hugst!$R$4:$W$4,0))))</f>
        <v>1349.001715905388</v>
      </c>
      <c r="U114" s="168">
        <f ca="1">IF($C114-U$1&lt;År1,0,T113*(1-VLOOKUP($A114,[1]Hugst!$R$5:$W$9,MATCH(ROUNDUP((U$1)/10,0)*10,[1]Hugst!$R$4:$W$4,0))))</f>
        <v>1350.0359055865995</v>
      </c>
      <c r="V114" s="168">
        <f ca="1">IF($C114-V$1&lt;År1,0,U113*(1-VLOOKUP($A114,[1]Hugst!$R$5:$W$9,MATCH(ROUNDUP((V$1)/10,0)*10,[1]Hugst!$R$4:$W$4,0))))</f>
        <v>1351.0793150282884</v>
      </c>
      <c r="W114" s="168">
        <f ca="1">IF($C114-W$1&lt;År1,0,V113*(1-VLOOKUP($A114,[1]Hugst!$R$5:$W$9,MATCH(ROUNDUP((W$1)/10,0)*10,[1]Hugst!$R$4:$W$4,0))))</f>
        <v>1352.1319678711689</v>
      </c>
      <c r="X114" s="168">
        <f ca="1">IF($C114-X$1&lt;År1,0,W113*(1-VLOOKUP($A114,[1]Hugst!$R$5:$W$9,MATCH(ROUNDUP((X$1)/10,0)*10,[1]Hugst!$R$4:$W$4,0))))</f>
        <v>1353.1938878514532</v>
      </c>
      <c r="Y114" s="168">
        <f ca="1">IF($C114-Y$1&lt;År1,0,X113*(1-VLOOKUP($A114,[1]Hugst!$R$5:$W$9,MATCH(ROUNDUP((Y$1)/10,0)*10,[1]Hugst!$R$4:$W$4,0))))</f>
        <v>1354.2650988013388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575.99027177679818</v>
      </c>
      <c r="E115" s="168">
        <f t="shared" ca="1" si="2"/>
        <v>22.926683373098058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1337.2873255202655</v>
      </c>
      <c r="G115" s="168">
        <f ca="1">IF($C115-G$1&lt;År1,0,F114*(1-VLOOKUP($A115,[1]Hugst!$R$5:$W$9,MATCH(ROUNDUP((G$1)/10,0)*10,[1]Hugst!$R$4:$W$4,0))))</f>
        <v>1337.8729586600427</v>
      </c>
      <c r="H115" s="168">
        <f ca="1">IF($C115-H$1&lt;År1,0,G114*(1-VLOOKUP($A115,[1]Hugst!$R$5:$W$9,MATCH(ROUNDUP((H$1)/10,0)*10,[1]Hugst!$R$4:$W$4,0))))</f>
        <v>1338.7555236509113</v>
      </c>
      <c r="I115" s="168">
        <f ca="1">IF($C115-I$1&lt;År1,0,H114*(1-VLOOKUP($A115,[1]Hugst!$R$5:$W$9,MATCH(ROUNDUP((I$1)/10,0)*10,[1]Hugst!$R$4:$W$4,0))))</f>
        <v>1339.6449380938109</v>
      </c>
      <c r="J115" s="168">
        <f ca="1">IF($C115-J$1&lt;År1,0,I114*(1-VLOOKUP($A115,[1]Hugst!$R$5:$W$9,MATCH(ROUNDUP((J$1)/10,0)*10,[1]Hugst!$R$4:$W$4,0))))</f>
        <v>1340.5412400968241</v>
      </c>
      <c r="K115" s="168">
        <f ca="1">IF($C115-K$1&lt;År1,0,J114*(1-VLOOKUP($A115,[1]Hugst!$R$5:$W$9,MATCH(ROUNDUP((K$1)/10,0)*10,[1]Hugst!$R$4:$W$4,0))))</f>
        <v>1341.4444679651322</v>
      </c>
      <c r="L115" s="168">
        <f ca="1">IF($C115-L$1&lt;År1,0,K114*(1-VLOOKUP($A115,[1]Hugst!$R$5:$W$9,MATCH(ROUNDUP((L$1)/10,0)*10,[1]Hugst!$R$4:$W$4,0))))</f>
        <v>1342.3546602020331</v>
      </c>
      <c r="M115" s="168">
        <f ca="1">IF($C115-M$1&lt;År1,0,L114*(1-VLOOKUP($A115,[1]Hugst!$R$5:$W$9,MATCH(ROUNDUP((M$1)/10,0)*10,[1]Hugst!$R$4:$W$4,0))))</f>
        <v>1343.2718555099825</v>
      </c>
      <c r="N115" s="168">
        <f ca="1">IF($C115-N$1&lt;År1,0,M114*(1-VLOOKUP($A115,[1]Hugst!$R$5:$W$9,MATCH(ROUNDUP((N$1)/10,0)*10,[1]Hugst!$R$4:$W$4,0))))</f>
        <v>1344.1960927915904</v>
      </c>
      <c r="O115" s="168">
        <f ca="1">IF($C115-O$1&lt;År1,0,N114*(1-VLOOKUP($A115,[1]Hugst!$R$5:$W$9,MATCH(ROUNDUP((O$1)/10,0)*10,[1]Hugst!$R$4:$W$4,0))))</f>
        <v>1345.1274111505688</v>
      </c>
      <c r="P115" s="168">
        <f ca="1">IF($C115-P$1&lt;År1,0,O114*(1-VLOOKUP($A115,[1]Hugst!$R$5:$W$9,MATCH(ROUNDUP((P$1)/10,0)*10,[1]Hugst!$R$4:$W$4,0))))</f>
        <v>1344.0125291049603</v>
      </c>
      <c r="Q115" s="168">
        <f ca="1">IF($C115-Q$1&lt;År1,0,P114*(1-VLOOKUP($A115,[1]Hugst!$R$5:$W$9,MATCH(ROUNDUP((Q$1)/10,0)*10,[1]Hugst!$R$4:$W$4,0))))</f>
        <v>1342.9050564591694</v>
      </c>
      <c r="R115" s="168">
        <f ca="1">IF($C115-R$1&lt;År1,0,Q114*(1-VLOOKUP($A115,[1]Hugst!$R$5:$W$9,MATCH(ROUNDUP((R$1)/10,0)*10,[1]Hugst!$R$4:$W$4,0))))</f>
        <v>1343.9010799247333</v>
      </c>
      <c r="S115" s="168">
        <f ca="1">IF($C115-S$1&lt;År1,0,R114*(1-VLOOKUP($A115,[1]Hugst!$R$5:$W$9,MATCH(ROUNDUP((S$1)/10,0)*10,[1]Hugst!$R$4:$W$4,0))))</f>
        <v>1344.9062156167165</v>
      </c>
      <c r="T115" s="168">
        <f ca="1">IF($C115-T$1&lt;År1,0,S114*(1-VLOOKUP($A115,[1]Hugst!$R$5:$W$9,MATCH(ROUNDUP((T$1)/10,0)*10,[1]Hugst!$R$4:$W$4,0))))</f>
        <v>1345.9204867610549</v>
      </c>
      <c r="U115" s="168">
        <f ca="1">IF($C115-U$1&lt;År1,0,T114*(1-VLOOKUP($A115,[1]Hugst!$R$5:$W$9,MATCH(ROUNDUP((U$1)/10,0)*10,[1]Hugst!$R$4:$W$4,0))))</f>
        <v>1346.9439166777356</v>
      </c>
      <c r="V115" s="168">
        <f ca="1">IF($C115-V$1&lt;År1,0,U114*(1-VLOOKUP($A115,[1]Hugst!$R$5:$W$9,MATCH(ROUNDUP((V$1)/10,0)*10,[1]Hugst!$R$4:$W$4,0))))</f>
        <v>1347.9765287814673</v>
      </c>
      <c r="W115" s="168">
        <f ca="1">IF($C115-W$1&lt;År1,0,V114*(1-VLOOKUP($A115,[1]Hugst!$R$5:$W$9,MATCH(ROUNDUP((W$1)/10,0)*10,[1]Hugst!$R$4:$W$4,0))))</f>
        <v>1349.0183465816351</v>
      </c>
      <c r="X115" s="168">
        <f ca="1">IF($C115-X$1&lt;År1,0,W114*(1-VLOOKUP($A115,[1]Hugst!$R$5:$W$9,MATCH(ROUNDUP((X$1)/10,0)*10,[1]Hugst!$R$4:$W$4,0))))</f>
        <v>1350.0693936828907</v>
      </c>
      <c r="Y115" s="168">
        <f ca="1">IF($C115-Y$1&lt;År1,0,X114*(1-VLOOKUP($A115,[1]Hugst!$R$5:$W$9,MATCH(ROUNDUP((Y$1)/10,0)*10,[1]Hugst!$R$4:$W$4,0))))</f>
        <v>1351.1296937852389</v>
      </c>
      <c r="Z115" s="168">
        <f ca="1">IF($C115-Z$1&lt;År1,0,Y114*(1-VLOOKUP($A115,[1]Hugst!$R$5:$W$9,MATCH(ROUNDUP((Z$1)/10,0)*10,[1]Hugst!$R$4:$W$4,0))))</f>
        <v>1351.9123501127433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573.1103204179235</v>
      </c>
      <c r="E116" s="168">
        <f t="shared" ca="1" si="2"/>
        <v>25.229357564854581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1336.7100483531474</v>
      </c>
      <c r="G116" s="168">
        <f ca="1">IF($C116-G$1&lt;År1,0,F115*(1-VLOOKUP($A116,[1]Hugst!$R$5:$W$9,MATCH(ROUNDUP((G$1)/10,0)*10,[1]Hugst!$R$4:$W$4,0))))</f>
        <v>1337.2873255202655</v>
      </c>
      <c r="H116" s="168">
        <f ca="1">IF($C116-H$1&lt;År1,0,G115*(1-VLOOKUP($A116,[1]Hugst!$R$5:$W$9,MATCH(ROUNDUP((H$1)/10,0)*10,[1]Hugst!$R$4:$W$4,0))))</f>
        <v>1337.8729586600427</v>
      </c>
      <c r="I116" s="168">
        <f ca="1">IF($C116-I$1&lt;År1,0,H115*(1-VLOOKUP($A116,[1]Hugst!$R$5:$W$9,MATCH(ROUNDUP((I$1)/10,0)*10,[1]Hugst!$R$4:$W$4,0))))</f>
        <v>1338.7555236509113</v>
      </c>
      <c r="J116" s="168">
        <f ca="1">IF($C116-J$1&lt;År1,0,I115*(1-VLOOKUP($A116,[1]Hugst!$R$5:$W$9,MATCH(ROUNDUP((J$1)/10,0)*10,[1]Hugst!$R$4:$W$4,0))))</f>
        <v>1339.6449380938109</v>
      </c>
      <c r="K116" s="168">
        <f ca="1">IF($C116-K$1&lt;År1,0,J115*(1-VLOOKUP($A116,[1]Hugst!$R$5:$W$9,MATCH(ROUNDUP((K$1)/10,0)*10,[1]Hugst!$R$4:$W$4,0))))</f>
        <v>1340.5412400968241</v>
      </c>
      <c r="L116" s="168">
        <f ca="1">IF($C116-L$1&lt;År1,0,K115*(1-VLOOKUP($A116,[1]Hugst!$R$5:$W$9,MATCH(ROUNDUP((L$1)/10,0)*10,[1]Hugst!$R$4:$W$4,0))))</f>
        <v>1341.4444679651322</v>
      </c>
      <c r="M116" s="168">
        <f ca="1">IF($C116-M$1&lt;År1,0,L115*(1-VLOOKUP($A116,[1]Hugst!$R$5:$W$9,MATCH(ROUNDUP((M$1)/10,0)*10,[1]Hugst!$R$4:$W$4,0))))</f>
        <v>1342.3546602020331</v>
      </c>
      <c r="N116" s="168">
        <f ca="1">IF($C116-N$1&lt;År1,0,M115*(1-VLOOKUP($A116,[1]Hugst!$R$5:$W$9,MATCH(ROUNDUP((N$1)/10,0)*10,[1]Hugst!$R$4:$W$4,0))))</f>
        <v>1343.2718555099825</v>
      </c>
      <c r="O116" s="168">
        <f ca="1">IF($C116-O$1&lt;År1,0,N115*(1-VLOOKUP($A116,[1]Hugst!$R$5:$W$9,MATCH(ROUNDUP((O$1)/10,0)*10,[1]Hugst!$R$4:$W$4,0))))</f>
        <v>1344.1960927915904</v>
      </c>
      <c r="P116" s="168">
        <f ca="1">IF($C116-P$1&lt;År1,0,O115*(1-VLOOKUP($A116,[1]Hugst!$R$5:$W$9,MATCH(ROUNDUP((P$1)/10,0)*10,[1]Hugst!$R$4:$W$4,0))))</f>
        <v>1343.0755218793222</v>
      </c>
      <c r="Q116" s="168">
        <f ca="1">IF($C116-Q$1&lt;År1,0,P115*(1-VLOOKUP($A116,[1]Hugst!$R$5:$W$9,MATCH(ROUNDUP((Q$1)/10,0)*10,[1]Hugst!$R$4:$W$4,0))))</f>
        <v>1341.9623405012408</v>
      </c>
      <c r="R116" s="168">
        <f ca="1">IF($C116-R$1&lt;År1,0,Q115*(1-VLOOKUP($A116,[1]Hugst!$R$5:$W$9,MATCH(ROUNDUP((R$1)/10,0)*10,[1]Hugst!$R$4:$W$4,0))))</f>
        <v>1340.8565572205027</v>
      </c>
      <c r="S116" s="168">
        <f ca="1">IF($C116-S$1&lt;År1,0,R115*(1-VLOOKUP($A116,[1]Hugst!$R$5:$W$9,MATCH(ROUNDUP((S$1)/10,0)*10,[1]Hugst!$R$4:$W$4,0))))</f>
        <v>1341.8510613282378</v>
      </c>
      <c r="T116" s="168">
        <f ca="1">IF($C116-T$1&lt;År1,0,S115*(1-VLOOKUP($A116,[1]Hugst!$R$5:$W$9,MATCH(ROUNDUP((T$1)/10,0)*10,[1]Hugst!$R$4:$W$4,0))))</f>
        <v>1342.8546637623858</v>
      </c>
      <c r="U116" s="168">
        <f ca="1">IF($C116-U$1&lt;År1,0,T115*(1-VLOOKUP($A116,[1]Hugst!$R$5:$W$9,MATCH(ROUNDUP((U$1)/10,0)*10,[1]Hugst!$R$4:$W$4,0))))</f>
        <v>1343.8673877134534</v>
      </c>
      <c r="V116" s="168">
        <f ca="1">IF($C116-V$1&lt;År1,0,U115*(1-VLOOKUP($A116,[1]Hugst!$R$5:$W$9,MATCH(ROUNDUP((V$1)/10,0)*10,[1]Hugst!$R$4:$W$4,0))))</f>
        <v>1344.8892564658543</v>
      </c>
      <c r="W116" s="168">
        <f ca="1">IF($C116-W$1&lt;År1,0,V115*(1-VLOOKUP($A116,[1]Hugst!$R$5:$W$9,MATCH(ROUNDUP((W$1)/10,0)*10,[1]Hugst!$R$4:$W$4,0))))</f>
        <v>1345.9202933985803</v>
      </c>
      <c r="X116" s="168">
        <f ca="1">IF($C116-X$1&lt;År1,0,W115*(1-VLOOKUP($A116,[1]Hugst!$R$5:$W$9,MATCH(ROUNDUP((X$1)/10,0)*10,[1]Hugst!$R$4:$W$4,0))))</f>
        <v>1346.9605219851546</v>
      </c>
      <c r="Y116" s="168">
        <f ca="1">IF($C116-Y$1&lt;År1,0,X115*(1-VLOOKUP($A116,[1]Hugst!$R$5:$W$9,MATCH(ROUNDUP((Y$1)/10,0)*10,[1]Hugst!$R$4:$W$4,0))))</f>
        <v>1348.0099657942219</v>
      </c>
      <c r="Z116" s="168">
        <f ca="1">IF($C116-Z$1&lt;År1,0,Y115*(1-VLOOKUP($A116,[1]Hugst!$R$5:$W$9,MATCH(ROUNDUP((Z$1)/10,0)*10,[1]Hugst!$R$4:$W$4,0))))</f>
        <v>1348.782392198578</v>
      </c>
      <c r="AA116" s="168">
        <f ca="1">IF($C116-AA$1&lt;År1,0,Z115*(1-VLOOKUP($A116,[1]Hugst!$R$5:$W$9,MATCH(ROUNDUP((AA$1)/10,0)*10,[1]Hugst!$R$4:$W$4,0))))</f>
        <v>1349.5636888265303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570.24476881582814</v>
      </c>
      <c r="E117" s="168">
        <f t="shared" ca="1" si="2"/>
        <v>27.525941144624085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1336.1410803308215</v>
      </c>
      <c r="G117" s="168">
        <f ca="1">IF($C117-G$1&lt;År1,0,F116*(1-VLOOKUP($A117,[1]Hugst!$R$5:$W$9,MATCH(ROUNDUP((G$1)/10,0)*10,[1]Hugst!$R$4:$W$4,0))))</f>
        <v>1336.7100483531474</v>
      </c>
      <c r="H117" s="168">
        <f ca="1">IF($C117-H$1&lt;År1,0,G116*(1-VLOOKUP($A117,[1]Hugst!$R$5:$W$9,MATCH(ROUNDUP((H$1)/10,0)*10,[1]Hugst!$R$4:$W$4,0))))</f>
        <v>1337.2873255202655</v>
      </c>
      <c r="I117" s="168">
        <f ca="1">IF($C117-I$1&lt;År1,0,H116*(1-VLOOKUP($A117,[1]Hugst!$R$5:$W$9,MATCH(ROUNDUP((I$1)/10,0)*10,[1]Hugst!$R$4:$W$4,0))))</f>
        <v>1337.8729586600427</v>
      </c>
      <c r="J117" s="168">
        <f ca="1">IF($C117-J$1&lt;År1,0,I116*(1-VLOOKUP($A117,[1]Hugst!$R$5:$W$9,MATCH(ROUNDUP((J$1)/10,0)*10,[1]Hugst!$R$4:$W$4,0))))</f>
        <v>1338.7555236509113</v>
      </c>
      <c r="K117" s="168">
        <f ca="1">IF($C117-K$1&lt;År1,0,J116*(1-VLOOKUP($A117,[1]Hugst!$R$5:$W$9,MATCH(ROUNDUP((K$1)/10,0)*10,[1]Hugst!$R$4:$W$4,0))))</f>
        <v>1339.6449380938109</v>
      </c>
      <c r="L117" s="168">
        <f ca="1">IF($C117-L$1&lt;År1,0,K116*(1-VLOOKUP($A117,[1]Hugst!$R$5:$W$9,MATCH(ROUNDUP((L$1)/10,0)*10,[1]Hugst!$R$4:$W$4,0))))</f>
        <v>1340.5412400968241</v>
      </c>
      <c r="M117" s="168">
        <f ca="1">IF($C117-M$1&lt;År1,0,L116*(1-VLOOKUP($A117,[1]Hugst!$R$5:$W$9,MATCH(ROUNDUP((M$1)/10,0)*10,[1]Hugst!$R$4:$W$4,0))))</f>
        <v>1341.4444679651322</v>
      </c>
      <c r="N117" s="168">
        <f ca="1">IF($C117-N$1&lt;År1,0,M116*(1-VLOOKUP($A117,[1]Hugst!$R$5:$W$9,MATCH(ROUNDUP((N$1)/10,0)*10,[1]Hugst!$R$4:$W$4,0))))</f>
        <v>1342.3546602020331</v>
      </c>
      <c r="O117" s="168">
        <f ca="1">IF($C117-O$1&lt;År1,0,N116*(1-VLOOKUP($A117,[1]Hugst!$R$5:$W$9,MATCH(ROUNDUP((O$1)/10,0)*10,[1]Hugst!$R$4:$W$4,0))))</f>
        <v>1343.2718555099825</v>
      </c>
      <c r="P117" s="168">
        <f ca="1">IF($C117-P$1&lt;År1,0,O116*(1-VLOOKUP($A117,[1]Hugst!$R$5:$W$9,MATCH(ROUNDUP((P$1)/10,0)*10,[1]Hugst!$R$4:$W$4,0))))</f>
        <v>1342.1456241754677</v>
      </c>
      <c r="Q117" s="168">
        <f ca="1">IF($C117-Q$1&lt;År1,0,P116*(1-VLOOKUP($A117,[1]Hugst!$R$5:$W$9,MATCH(ROUNDUP((Q$1)/10,0)*10,[1]Hugst!$R$4:$W$4,0))))</f>
        <v>1341.0267626086588</v>
      </c>
      <c r="R117" s="168">
        <f ca="1">IF($C117-R$1&lt;År1,0,Q116*(1-VLOOKUP($A117,[1]Hugst!$R$5:$W$9,MATCH(ROUNDUP((R$1)/10,0)*10,[1]Hugst!$R$4:$W$4,0))))</f>
        <v>1339.9152793038659</v>
      </c>
      <c r="S117" s="168">
        <f ca="1">IF($C117-S$1&lt;År1,0,R116*(1-VLOOKUP($A117,[1]Hugst!$R$5:$W$9,MATCH(ROUNDUP((S$1)/10,0)*10,[1]Hugst!$R$4:$W$4,0))))</f>
        <v>1338.8111828111832</v>
      </c>
      <c r="T117" s="168">
        <f ca="1">IF($C117-T$1&lt;År1,0,S116*(1-VLOOKUP($A117,[1]Hugst!$R$5:$W$9,MATCH(ROUNDUP((T$1)/10,0)*10,[1]Hugst!$R$4:$W$4,0))))</f>
        <v>1339.804169878754</v>
      </c>
      <c r="U117" s="168">
        <f ca="1">IF($C117-U$1&lt;År1,0,T116*(1-VLOOKUP($A117,[1]Hugst!$R$5:$W$9,MATCH(ROUNDUP((U$1)/10,0)*10,[1]Hugst!$R$4:$W$4,0))))</f>
        <v>1340.8062413939347</v>
      </c>
      <c r="V117" s="168">
        <f ca="1">IF($C117-V$1&lt;År1,0,U116*(1-VLOOKUP($A117,[1]Hugst!$R$5:$W$9,MATCH(ROUNDUP((V$1)/10,0)*10,[1]Hugst!$R$4:$W$4,0))))</f>
        <v>1341.8174205118564</v>
      </c>
      <c r="W117" s="168">
        <f ca="1">IF($C117-W$1&lt;År1,0,V116*(1-VLOOKUP($A117,[1]Hugst!$R$5:$W$9,MATCH(ROUNDUP((W$1)/10,0)*10,[1]Hugst!$R$4:$W$4,0))))</f>
        <v>1342.8377304814148</v>
      </c>
      <c r="X117" s="168">
        <f ca="1">IF($C117-X$1&lt;År1,0,W116*(1-VLOOKUP($A117,[1]Hugst!$R$5:$W$9,MATCH(ROUNDUP((X$1)/10,0)*10,[1]Hugst!$R$4:$W$4,0))))</f>
        <v>1343.8671946459383</v>
      </c>
      <c r="Y117" s="168">
        <f ca="1">IF($C117-Y$1&lt;År1,0,X116*(1-VLOOKUP($A117,[1]Hugst!$R$5:$W$9,MATCH(ROUNDUP((Y$1)/10,0)*10,[1]Hugst!$R$4:$W$4,0))))</f>
        <v>1344.9058364431432</v>
      </c>
      <c r="Z117" s="168">
        <f ca="1">IF($C117-Z$1&lt;År1,0,Y116*(1-VLOOKUP($A117,[1]Hugst!$R$5:$W$9,MATCH(ROUNDUP((Z$1)/10,0)*10,[1]Hugst!$R$4:$W$4,0))))</f>
        <v>1345.6680840739862</v>
      </c>
      <c r="AA117" s="168">
        <f ca="1">IF($C117-AA$1&lt;År1,0,Z116*(1-VLOOKUP($A117,[1]Hugst!$R$5:$W$9,MATCH(ROUNDUP((AA$1)/10,0)*10,[1]Hugst!$R$4:$W$4,0))))</f>
        <v>1346.4391685511143</v>
      </c>
      <c r="AB117" s="168">
        <f ca="1">IF($C117-AB$1&lt;År1,0,AA116*(1-VLOOKUP($A117,[1]Hugst!$R$5:$W$9,MATCH(ROUNDUP((AB$1)/10,0)*10,[1]Hugst!$R$4:$W$4,0))))</f>
        <v>1347.2191078417045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567.39354497175373</v>
      </c>
      <c r="E118" s="168">
        <f t="shared" ca="1" si="2"/>
        <v>29.816459520374337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1335.5803748624974</v>
      </c>
      <c r="G118" s="168">
        <f ca="1">IF($C118-G$1&lt;År1,0,F117*(1-VLOOKUP($A118,[1]Hugst!$R$5:$W$9,MATCH(ROUNDUP((G$1)/10,0)*10,[1]Hugst!$R$4:$W$4,0))))</f>
        <v>1336.1410803308215</v>
      </c>
      <c r="H118" s="168">
        <f ca="1">IF($C118-H$1&lt;År1,0,G117*(1-VLOOKUP($A118,[1]Hugst!$R$5:$W$9,MATCH(ROUNDUP((H$1)/10,0)*10,[1]Hugst!$R$4:$W$4,0))))</f>
        <v>1336.7100483531474</v>
      </c>
      <c r="I118" s="168">
        <f ca="1">IF($C118-I$1&lt;År1,0,H117*(1-VLOOKUP($A118,[1]Hugst!$R$5:$W$9,MATCH(ROUNDUP((I$1)/10,0)*10,[1]Hugst!$R$4:$W$4,0))))</f>
        <v>1337.2873255202655</v>
      </c>
      <c r="J118" s="168">
        <f ca="1">IF($C118-J$1&lt;År1,0,I117*(1-VLOOKUP($A118,[1]Hugst!$R$5:$W$9,MATCH(ROUNDUP((J$1)/10,0)*10,[1]Hugst!$R$4:$W$4,0))))</f>
        <v>1337.8729586600427</v>
      </c>
      <c r="K118" s="168">
        <f ca="1">IF($C118-K$1&lt;År1,0,J117*(1-VLOOKUP($A118,[1]Hugst!$R$5:$W$9,MATCH(ROUNDUP((K$1)/10,0)*10,[1]Hugst!$R$4:$W$4,0))))</f>
        <v>1338.7555236509113</v>
      </c>
      <c r="L118" s="168">
        <f ca="1">IF($C118-L$1&lt;År1,0,K117*(1-VLOOKUP($A118,[1]Hugst!$R$5:$W$9,MATCH(ROUNDUP((L$1)/10,0)*10,[1]Hugst!$R$4:$W$4,0))))</f>
        <v>1339.6449380938109</v>
      </c>
      <c r="M118" s="168">
        <f ca="1">IF($C118-M$1&lt;År1,0,L117*(1-VLOOKUP($A118,[1]Hugst!$R$5:$W$9,MATCH(ROUNDUP((M$1)/10,0)*10,[1]Hugst!$R$4:$W$4,0))))</f>
        <v>1340.5412400968241</v>
      </c>
      <c r="N118" s="168">
        <f ca="1">IF($C118-N$1&lt;År1,0,M117*(1-VLOOKUP($A118,[1]Hugst!$R$5:$W$9,MATCH(ROUNDUP((N$1)/10,0)*10,[1]Hugst!$R$4:$W$4,0))))</f>
        <v>1341.4444679651322</v>
      </c>
      <c r="O118" s="168">
        <f ca="1">IF($C118-O$1&lt;År1,0,N117*(1-VLOOKUP($A118,[1]Hugst!$R$5:$W$9,MATCH(ROUNDUP((O$1)/10,0)*10,[1]Hugst!$R$4:$W$4,0))))</f>
        <v>1342.3546602020331</v>
      </c>
      <c r="P118" s="168">
        <f ca="1">IF($C118-P$1&lt;År1,0,O117*(1-VLOOKUP($A118,[1]Hugst!$R$5:$W$9,MATCH(ROUNDUP((P$1)/10,0)*10,[1]Hugst!$R$4:$W$4,0))))</f>
        <v>1341.2227967473402</v>
      </c>
      <c r="Q118" s="168">
        <f ca="1">IF($C118-Q$1&lt;År1,0,P117*(1-VLOOKUP($A118,[1]Hugst!$R$5:$W$9,MATCH(ROUNDUP((Q$1)/10,0)*10,[1]Hugst!$R$4:$W$4,0))))</f>
        <v>1340.0982833928272</v>
      </c>
      <c r="R118" s="168">
        <f ca="1">IF($C118-R$1&lt;År1,0,Q117*(1-VLOOKUP($A118,[1]Hugst!$R$5:$W$9,MATCH(ROUNDUP((R$1)/10,0)*10,[1]Hugst!$R$4:$W$4,0))))</f>
        <v>1338.9811285640014</v>
      </c>
      <c r="S118" s="168">
        <f ca="1">IF($C118-S$1&lt;År1,0,R117*(1-VLOOKUP($A118,[1]Hugst!$R$5:$W$9,MATCH(ROUNDUP((S$1)/10,0)*10,[1]Hugst!$R$4:$W$4,0))))</f>
        <v>1337.8713407422158</v>
      </c>
      <c r="T118" s="168">
        <f ca="1">IF($C118-T$1&lt;År1,0,S117*(1-VLOOKUP($A118,[1]Hugst!$R$5:$W$9,MATCH(ROUNDUP((T$1)/10,0)*10,[1]Hugst!$R$4:$W$4,0))))</f>
        <v>1336.7689284645221</v>
      </c>
      <c r="U118" s="168">
        <f ca="1">IF($C118-U$1&lt;År1,0,T117*(1-VLOOKUP($A118,[1]Hugst!$R$5:$W$9,MATCH(ROUNDUP((U$1)/10,0)*10,[1]Hugst!$R$4:$W$4,0))))</f>
        <v>1337.7604008060575</v>
      </c>
      <c r="V118" s="168">
        <f ca="1">IF($C118-V$1&lt;År1,0,U117*(1-VLOOKUP($A118,[1]Hugst!$R$5:$W$9,MATCH(ROUNDUP((V$1)/10,0)*10,[1]Hugst!$R$4:$W$4,0))))</f>
        <v>1338.7609437375711</v>
      </c>
      <c r="W118" s="168">
        <f ca="1">IF($C118-W$1&lt;År1,0,V117*(1-VLOOKUP($A118,[1]Hugst!$R$5:$W$9,MATCH(ROUNDUP((W$1)/10,0)*10,[1]Hugst!$R$4:$W$4,0))))</f>
        <v>1339.7705803788722</v>
      </c>
      <c r="X118" s="168">
        <f ca="1">IF($C118-X$1&lt;År1,0,W117*(1-VLOOKUP($A118,[1]Hugst!$R$5:$W$9,MATCH(ROUNDUP((X$1)/10,0)*10,[1]Hugst!$R$4:$W$4,0))))</f>
        <v>1340.7893339433922</v>
      </c>
      <c r="Y118" s="168">
        <f ca="1">IF($C118-Y$1&lt;År1,0,X117*(1-VLOOKUP($A118,[1]Hugst!$R$5:$W$9,MATCH(ROUNDUP((Y$1)/10,0)*10,[1]Hugst!$R$4:$W$4,0))))</f>
        <v>1341.8172277388512</v>
      </c>
      <c r="Z118" s="168">
        <f ca="1">IF($C118-Z$1&lt;År1,0,Y117*(1-VLOOKUP($A118,[1]Hugst!$R$5:$W$9,MATCH(ROUNDUP((Z$1)/10,0)*10,[1]Hugst!$R$4:$W$4,0))))</f>
        <v>1342.5693474900004</v>
      </c>
      <c r="AA118" s="168">
        <f ca="1">IF($C118-AA$1&lt;År1,0,Z117*(1-VLOOKUP($A118,[1]Hugst!$R$5:$W$9,MATCH(ROUNDUP((AA$1)/10,0)*10,[1]Hugst!$R$4:$W$4,0))))</f>
        <v>1343.330270877078</v>
      </c>
      <c r="AB118" s="168">
        <f ca="1">IF($C118-AB$1&lt;År1,0,AA117*(1-VLOOKUP($A118,[1]Hugst!$R$5:$W$9,MATCH(ROUNDUP((AB$1)/10,0)*10,[1]Hugst!$R$4:$W$4,0))))</f>
        <v>1344.1000157582923</v>
      </c>
      <c r="AC118" s="168">
        <f ca="1">IF($C118-AC$1&lt;År1,0,AB117*(1-VLOOKUP($A118,[1]Hugst!$R$5:$W$9,MATCH(ROUNDUP((AC$1)/10,0)*10,[1]Hugst!$R$4:$W$4,0))))</f>
        <v>1344.8786000696066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564.55657724688353</v>
      </c>
      <c r="E119" s="168">
        <f t="shared" ca="1" si="2"/>
        <v>32.100937975872512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1335.0278855931253</v>
      </c>
      <c r="G119" s="168">
        <f ca="1">IF($C119-G$1&lt;År1,0,F118*(1-VLOOKUP($A119,[1]Hugst!$R$5:$W$9,MATCH(ROUNDUP((G$1)/10,0)*10,[1]Hugst!$R$4:$W$4,0))))</f>
        <v>1335.5803748624974</v>
      </c>
      <c r="H119" s="168">
        <f ca="1">IF($C119-H$1&lt;År1,0,G118*(1-VLOOKUP($A119,[1]Hugst!$R$5:$W$9,MATCH(ROUNDUP((H$1)/10,0)*10,[1]Hugst!$R$4:$W$4,0))))</f>
        <v>1336.1410803308215</v>
      </c>
      <c r="I119" s="168">
        <f ca="1">IF($C119-I$1&lt;År1,0,H118*(1-VLOOKUP($A119,[1]Hugst!$R$5:$W$9,MATCH(ROUNDUP((I$1)/10,0)*10,[1]Hugst!$R$4:$W$4,0))))</f>
        <v>1336.7100483531474</v>
      </c>
      <c r="J119" s="168">
        <f ca="1">IF($C119-J$1&lt;År1,0,I118*(1-VLOOKUP($A119,[1]Hugst!$R$5:$W$9,MATCH(ROUNDUP((J$1)/10,0)*10,[1]Hugst!$R$4:$W$4,0))))</f>
        <v>1337.2873255202655</v>
      </c>
      <c r="K119" s="168">
        <f ca="1">IF($C119-K$1&lt;År1,0,J118*(1-VLOOKUP($A119,[1]Hugst!$R$5:$W$9,MATCH(ROUNDUP((K$1)/10,0)*10,[1]Hugst!$R$4:$W$4,0))))</f>
        <v>1337.8729586600427</v>
      </c>
      <c r="L119" s="168">
        <f ca="1">IF($C119-L$1&lt;År1,0,K118*(1-VLOOKUP($A119,[1]Hugst!$R$5:$W$9,MATCH(ROUNDUP((L$1)/10,0)*10,[1]Hugst!$R$4:$W$4,0))))</f>
        <v>1338.7555236509113</v>
      </c>
      <c r="M119" s="168">
        <f ca="1">IF($C119-M$1&lt;År1,0,L118*(1-VLOOKUP($A119,[1]Hugst!$R$5:$W$9,MATCH(ROUNDUP((M$1)/10,0)*10,[1]Hugst!$R$4:$W$4,0))))</f>
        <v>1339.6449380938109</v>
      </c>
      <c r="N119" s="168">
        <f ca="1">IF($C119-N$1&lt;År1,0,M118*(1-VLOOKUP($A119,[1]Hugst!$R$5:$W$9,MATCH(ROUNDUP((N$1)/10,0)*10,[1]Hugst!$R$4:$W$4,0))))</f>
        <v>1340.5412400968241</v>
      </c>
      <c r="O119" s="168">
        <f ca="1">IF($C119-O$1&lt;År1,0,N118*(1-VLOOKUP($A119,[1]Hugst!$R$5:$W$9,MATCH(ROUNDUP((O$1)/10,0)*10,[1]Hugst!$R$4:$W$4,0))))</f>
        <v>1341.4444679651322</v>
      </c>
      <c r="P119" s="168">
        <f ca="1">IF($C119-P$1&lt;År1,0,O118*(1-VLOOKUP($A119,[1]Hugst!$R$5:$W$9,MATCH(ROUNDUP((P$1)/10,0)*10,[1]Hugst!$R$4:$W$4,0))))</f>
        <v>1340.3070005508773</v>
      </c>
      <c r="Q119" s="168">
        <f ca="1">IF($C119-Q$1&lt;År1,0,P118*(1-VLOOKUP($A119,[1]Hugst!$R$5:$W$9,MATCH(ROUNDUP((Q$1)/10,0)*10,[1]Hugst!$R$4:$W$4,0))))</f>
        <v>1339.1768636675561</v>
      </c>
      <c r="R119" s="168">
        <f ca="1">IF($C119-R$1&lt;År1,0,Q118*(1-VLOOKUP($A119,[1]Hugst!$R$5:$W$9,MATCH(ROUNDUP((R$1)/10,0)*10,[1]Hugst!$R$4:$W$4,0))))</f>
        <v>1338.0540656723974</v>
      </c>
      <c r="S119" s="168">
        <f ca="1">IF($C119-S$1&lt;År1,0,R118*(1-VLOOKUP($A119,[1]Hugst!$R$5:$W$9,MATCH(ROUNDUP((S$1)/10,0)*10,[1]Hugst!$R$4:$W$4,0))))</f>
        <v>1336.9386149780564</v>
      </c>
      <c r="T119" s="168">
        <f ca="1">IF($C119-T$1&lt;År1,0,S118*(1-VLOOKUP($A119,[1]Hugst!$R$5:$W$9,MATCH(ROUNDUP((T$1)/10,0)*10,[1]Hugst!$R$4:$W$4,0))))</f>
        <v>1335.830520052948</v>
      </c>
      <c r="U119" s="168">
        <f ca="1">IF($C119-U$1&lt;År1,0,T118*(1-VLOOKUP($A119,[1]Hugst!$R$5:$W$9,MATCH(ROUNDUP((U$1)/10,0)*10,[1]Hugst!$R$4:$W$4,0))))</f>
        <v>1334.7297894211017</v>
      </c>
      <c r="V119" s="168">
        <f ca="1">IF($C119-V$1&lt;År1,0,U118*(1-VLOOKUP($A119,[1]Hugst!$R$5:$W$9,MATCH(ROUNDUP((V$1)/10,0)*10,[1]Hugst!$R$4:$W$4,0))))</f>
        <v>1335.7197493472008</v>
      </c>
      <c r="W119" s="168">
        <f ca="1">IF($C119-W$1&lt;År1,0,V118*(1-VLOOKUP($A119,[1]Hugst!$R$5:$W$9,MATCH(ROUNDUP((W$1)/10,0)*10,[1]Hugst!$R$4:$W$4,0))))</f>
        <v>1336.718766026785</v>
      </c>
      <c r="X119" s="168">
        <f ca="1">IF($C119-X$1&lt;År1,0,W118*(1-VLOOKUP($A119,[1]Hugst!$R$5:$W$9,MATCH(ROUNDUP((X$1)/10,0)*10,[1]Hugst!$R$4:$W$4,0))))</f>
        <v>1337.726862544396</v>
      </c>
      <c r="Y119" s="168">
        <f ca="1">IF($C119-Y$1&lt;År1,0,X118*(1-VLOOKUP($A119,[1]Hugst!$R$5:$W$9,MATCH(ROUNDUP((Y$1)/10,0)*10,[1]Hugst!$R$4:$W$4,0))))</f>
        <v>1338.7440620780549</v>
      </c>
      <c r="Z119" s="168">
        <f ca="1">IF($C119-Z$1&lt;År1,0,Y118*(1-VLOOKUP($A119,[1]Hugst!$R$5:$W$9,MATCH(ROUNDUP((Z$1)/10,0)*10,[1]Hugst!$R$4:$W$4,0))))</f>
        <v>1339.4861045889659</v>
      </c>
      <c r="AA119" s="168">
        <f ca="1">IF($C119-AA$1&lt;År1,0,Z118*(1-VLOOKUP($A119,[1]Hugst!$R$5:$W$9,MATCH(ROUNDUP((AA$1)/10,0)*10,[1]Hugst!$R$4:$W$4,0))))</f>
        <v>1340.2369176913949</v>
      </c>
      <c r="AB119" s="168">
        <f ca="1">IF($C119-AB$1&lt;År1,0,AA118*(1-VLOOKUP($A119,[1]Hugst!$R$5:$W$9,MATCH(ROUNDUP((AB$1)/10,0)*10,[1]Hugst!$R$4:$W$4,0))))</f>
        <v>1340.9965191352999</v>
      </c>
      <c r="AC119" s="168">
        <f ca="1">IF($C119-AC$1&lt;År1,0,AB118*(1-VLOOKUP($A119,[1]Hugst!$R$5:$W$9,MATCH(ROUNDUP((AC$1)/10,0)*10,[1]Hugst!$R$4:$W$4,0))))</f>
        <v>1341.7649267478648</v>
      </c>
      <c r="AD119" s="168">
        <f ca="1">IF($C119-AD$1&lt;År1,0,AC118*(1-VLOOKUP($A119,[1]Hugst!$R$5:$W$9,MATCH(ROUNDUP((AD$1)/10,0)*10,[1]Hugst!$R$4:$W$4,0))))</f>
        <v>1342.5421584338924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561.73379436065443</v>
      </c>
      <c r="E120" s="168">
        <f t="shared" ca="1" si="2"/>
        <v>34.379401671350934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1334.4835664023747</v>
      </c>
      <c r="G120" s="168">
        <f ca="1">IF($C120-G$1&lt;År1,0,F119*(1-VLOOKUP($A120,[1]Hugst!$R$5:$W$9,MATCH(ROUNDUP((G$1)/10,0)*10,[1]Hugst!$R$4:$W$4,0))))</f>
        <v>1335.0278855931253</v>
      </c>
      <c r="H120" s="168">
        <f ca="1">IF($C120-H$1&lt;År1,0,G119*(1-VLOOKUP($A120,[1]Hugst!$R$5:$W$9,MATCH(ROUNDUP((H$1)/10,0)*10,[1]Hugst!$R$4:$W$4,0))))</f>
        <v>1335.5803748624974</v>
      </c>
      <c r="I120" s="168">
        <f ca="1">IF($C120-I$1&lt;År1,0,H119*(1-VLOOKUP($A120,[1]Hugst!$R$5:$W$9,MATCH(ROUNDUP((I$1)/10,0)*10,[1]Hugst!$R$4:$W$4,0))))</f>
        <v>1336.1410803308215</v>
      </c>
      <c r="J120" s="168">
        <f ca="1">IF($C120-J$1&lt;År1,0,I119*(1-VLOOKUP($A120,[1]Hugst!$R$5:$W$9,MATCH(ROUNDUP((J$1)/10,0)*10,[1]Hugst!$R$4:$W$4,0))))</f>
        <v>1336.7100483531474</v>
      </c>
      <c r="K120" s="168">
        <f ca="1">IF($C120-K$1&lt;År1,0,J119*(1-VLOOKUP($A120,[1]Hugst!$R$5:$W$9,MATCH(ROUNDUP((K$1)/10,0)*10,[1]Hugst!$R$4:$W$4,0))))</f>
        <v>1337.2873255202655</v>
      </c>
      <c r="L120" s="168">
        <f ca="1">IF($C120-L$1&lt;År1,0,K119*(1-VLOOKUP($A120,[1]Hugst!$R$5:$W$9,MATCH(ROUNDUP((L$1)/10,0)*10,[1]Hugst!$R$4:$W$4,0))))</f>
        <v>1337.8729586600427</v>
      </c>
      <c r="M120" s="168">
        <f ca="1">IF($C120-M$1&lt;År1,0,L119*(1-VLOOKUP($A120,[1]Hugst!$R$5:$W$9,MATCH(ROUNDUP((M$1)/10,0)*10,[1]Hugst!$R$4:$W$4,0))))</f>
        <v>1338.7555236509113</v>
      </c>
      <c r="N120" s="168">
        <f ca="1">IF($C120-N$1&lt;År1,0,M119*(1-VLOOKUP($A120,[1]Hugst!$R$5:$W$9,MATCH(ROUNDUP((N$1)/10,0)*10,[1]Hugst!$R$4:$W$4,0))))</f>
        <v>1339.6449380938109</v>
      </c>
      <c r="O120" s="168">
        <f ca="1">IF($C120-O$1&lt;År1,0,N119*(1-VLOOKUP($A120,[1]Hugst!$R$5:$W$9,MATCH(ROUNDUP((O$1)/10,0)*10,[1]Hugst!$R$4:$W$4,0))))</f>
        <v>1340.5412400968241</v>
      </c>
      <c r="P120" s="168">
        <f ca="1">IF($C120-P$1&lt;År1,0,O119*(1-VLOOKUP($A120,[1]Hugst!$R$5:$W$9,MATCH(ROUNDUP((P$1)/10,0)*10,[1]Hugst!$R$4:$W$4,0))))</f>
        <v>1339.3981967428124</v>
      </c>
      <c r="Q120" s="168">
        <f ca="1">IF($C120-Q$1&lt;År1,0,P119*(1-VLOOKUP($A120,[1]Hugst!$R$5:$W$9,MATCH(ROUNDUP((Q$1)/10,0)*10,[1]Hugst!$R$4:$W$4,0))))</f>
        <v>1338.2624644483421</v>
      </c>
      <c r="R120" s="168">
        <f ca="1">IF($C120-R$1&lt;År1,0,Q119*(1-VLOOKUP($A120,[1]Hugst!$R$5:$W$9,MATCH(ROUNDUP((R$1)/10,0)*10,[1]Hugst!$R$4:$W$4,0))))</f>
        <v>1337.1340515026395</v>
      </c>
      <c r="S120" s="168">
        <f ca="1">IF($C120-S$1&lt;År1,0,R119*(1-VLOOKUP($A120,[1]Hugst!$R$5:$W$9,MATCH(ROUNDUP((S$1)/10,0)*10,[1]Hugst!$R$4:$W$4,0))))</f>
        <v>1336.0129662501852</v>
      </c>
      <c r="T120" s="168">
        <f ca="1">IF($C120-T$1&lt;År1,0,S119*(1-VLOOKUP($A120,[1]Hugst!$R$5:$W$9,MATCH(ROUNDUP((T$1)/10,0)*10,[1]Hugst!$R$4:$W$4,0))))</f>
        <v>1334.8992170908018</v>
      </c>
      <c r="U120" s="168">
        <f ca="1">IF($C120-U$1&lt;År1,0,T119*(1-VLOOKUP($A120,[1]Hugst!$R$5:$W$9,MATCH(ROUNDUP((U$1)/10,0)*10,[1]Hugst!$R$4:$W$4,0))))</f>
        <v>1333.792812479986</v>
      </c>
      <c r="V120" s="168">
        <f ca="1">IF($C120-V$1&lt;År1,0,U119*(1-VLOOKUP($A120,[1]Hugst!$R$5:$W$9,MATCH(ROUNDUP((V$1)/10,0)*10,[1]Hugst!$R$4:$W$4,0))))</f>
        <v>1332.6937609287645</v>
      </c>
      <c r="W120" s="168">
        <f ca="1">IF($C120-W$1&lt;År1,0,V119*(1-VLOOKUP($A120,[1]Hugst!$R$5:$W$9,MATCH(ROUNDUP((W$1)/10,0)*10,[1]Hugst!$R$4:$W$4,0))))</f>
        <v>1333.6822107465016</v>
      </c>
      <c r="X120" s="168">
        <f ca="1">IF($C120-X$1&lt;År1,0,W119*(1-VLOOKUP($A120,[1]Hugst!$R$5:$W$9,MATCH(ROUNDUP((X$1)/10,0)*10,[1]Hugst!$R$4:$W$4,0))))</f>
        <v>1334.6797035023374</v>
      </c>
      <c r="Y120" s="168">
        <f ca="1">IF($C120-Y$1&lt;År1,0,X119*(1-VLOOKUP($A120,[1]Hugst!$R$5:$W$9,MATCH(ROUNDUP((Y$1)/10,0)*10,[1]Hugst!$R$4:$W$4,0))))</f>
        <v>1335.6862622455994</v>
      </c>
      <c r="Z120" s="168">
        <f ca="1">IF($C120-Z$1&lt;År1,0,Y119*(1-VLOOKUP($A120,[1]Hugst!$R$5:$W$9,MATCH(ROUNDUP((Z$1)/10,0)*10,[1]Hugst!$R$4:$W$4,0))))</f>
        <v>1336.4182779024106</v>
      </c>
      <c r="AA120" s="168">
        <f ca="1">IF($C120-AA$1&lt;År1,0,Z119*(1-VLOOKUP($A120,[1]Hugst!$R$5:$W$9,MATCH(ROUNDUP((AA$1)/10,0)*10,[1]Hugst!$R$4:$W$4,0))))</f>
        <v>1337.1590312716714</v>
      </c>
      <c r="AB120" s="168">
        <f ca="1">IF($C120-AB$1&lt;År1,0,AA119*(1-VLOOKUP($A120,[1]Hugst!$R$5:$W$9,MATCH(ROUNDUP((AB$1)/10,0)*10,[1]Hugst!$R$4:$W$4,0))))</f>
        <v>1337.9085399954056</v>
      </c>
      <c r="AC120" s="168">
        <f ca="1">IF($C120-AC$1&lt;År1,0,AB119*(1-VLOOKUP($A120,[1]Hugst!$R$5:$W$9,MATCH(ROUNDUP((AC$1)/10,0)*10,[1]Hugst!$R$4:$W$4,0))))</f>
        <v>1338.6668217927343</v>
      </c>
      <c r="AD120" s="168">
        <f ca="1">IF($C120-AD$1&lt;År1,0,AC119*(1-VLOOKUP($A120,[1]Hugst!$R$5:$W$9,MATCH(ROUNDUP((AD$1)/10,0)*10,[1]Hugst!$R$4:$W$4,0))))</f>
        <v>1339.4338944598705</v>
      </c>
      <c r="AE120" s="168">
        <f ca="1">IF($C120-AE$1&lt;År1,0,AD119*(1-VLOOKUP($A120,[1]Hugst!$R$5:$W$9,MATCH(ROUNDUP((AE$1)/10,0)*10,[1]Hugst!$R$4:$W$4,0))))</f>
        <v>1340.2097758705115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558.92512538886513</v>
      </c>
      <c r="E121" s="168">
        <f t="shared" ca="1" si="2"/>
        <v>36.651875644129177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1333.9473714033636</v>
      </c>
      <c r="G121" s="168">
        <f ca="1">IF($C121-G$1&lt;År1,0,F120*(1-VLOOKUP($A121,[1]Hugst!$R$5:$W$9,MATCH(ROUNDUP((G$1)/10,0)*10,[1]Hugst!$R$4:$W$4,0))))</f>
        <v>1334.4835664023747</v>
      </c>
      <c r="H121" s="168">
        <f ca="1">IF($C121-H$1&lt;År1,0,G120*(1-VLOOKUP($A121,[1]Hugst!$R$5:$W$9,MATCH(ROUNDUP((H$1)/10,0)*10,[1]Hugst!$R$4:$W$4,0))))</f>
        <v>1335.0278855931253</v>
      </c>
      <c r="I121" s="168">
        <f ca="1">IF($C121-I$1&lt;År1,0,H120*(1-VLOOKUP($A121,[1]Hugst!$R$5:$W$9,MATCH(ROUNDUP((I$1)/10,0)*10,[1]Hugst!$R$4:$W$4,0))))</f>
        <v>1335.5803748624974</v>
      </c>
      <c r="J121" s="168">
        <f ca="1">IF($C121-J$1&lt;År1,0,I120*(1-VLOOKUP($A121,[1]Hugst!$R$5:$W$9,MATCH(ROUNDUP((J$1)/10,0)*10,[1]Hugst!$R$4:$W$4,0))))</f>
        <v>1336.1410803308215</v>
      </c>
      <c r="K121" s="168">
        <f ca="1">IF($C121-K$1&lt;År1,0,J120*(1-VLOOKUP($A121,[1]Hugst!$R$5:$W$9,MATCH(ROUNDUP((K$1)/10,0)*10,[1]Hugst!$R$4:$W$4,0))))</f>
        <v>1336.7100483531474</v>
      </c>
      <c r="L121" s="168">
        <f ca="1">IF($C121-L$1&lt;År1,0,K120*(1-VLOOKUP($A121,[1]Hugst!$R$5:$W$9,MATCH(ROUNDUP((L$1)/10,0)*10,[1]Hugst!$R$4:$W$4,0))))</f>
        <v>1337.2873255202655</v>
      </c>
      <c r="M121" s="168">
        <f ca="1">IF($C121-M$1&lt;År1,0,L120*(1-VLOOKUP($A121,[1]Hugst!$R$5:$W$9,MATCH(ROUNDUP((M$1)/10,0)*10,[1]Hugst!$R$4:$W$4,0))))</f>
        <v>1337.8729586600427</v>
      </c>
      <c r="N121" s="168">
        <f ca="1">IF($C121-N$1&lt;År1,0,M120*(1-VLOOKUP($A121,[1]Hugst!$R$5:$W$9,MATCH(ROUNDUP((N$1)/10,0)*10,[1]Hugst!$R$4:$W$4,0))))</f>
        <v>1338.7555236509113</v>
      </c>
      <c r="O121" s="168">
        <f ca="1">IF($C121-O$1&lt;År1,0,N120*(1-VLOOKUP($A121,[1]Hugst!$R$5:$W$9,MATCH(ROUNDUP((O$1)/10,0)*10,[1]Hugst!$R$4:$W$4,0))))</f>
        <v>1339.6449380938109</v>
      </c>
      <c r="P121" s="168">
        <f ca="1">IF($C121-P$1&lt;År1,0,O120*(1-VLOOKUP($A121,[1]Hugst!$R$5:$W$9,MATCH(ROUNDUP((P$1)/10,0)*10,[1]Hugst!$R$4:$W$4,0))))</f>
        <v>1338.4963466797271</v>
      </c>
      <c r="Q121" s="168">
        <f ca="1">IF($C121-Q$1&lt;År1,0,P120*(1-VLOOKUP($A121,[1]Hugst!$R$5:$W$9,MATCH(ROUNDUP((Q$1)/10,0)*10,[1]Hugst!$R$4:$W$4,0))))</f>
        <v>1337.3550469511708</v>
      </c>
      <c r="R121" s="168">
        <f ca="1">IF($C121-R$1&lt;År1,0,Q120*(1-VLOOKUP($A121,[1]Hugst!$R$5:$W$9,MATCH(ROUNDUP((R$1)/10,0)*10,[1]Hugst!$R$4:$W$4,0))))</f>
        <v>1336.2210471296921</v>
      </c>
      <c r="S121" s="168">
        <f ca="1">IF($C121-S$1&lt;År1,0,R120*(1-VLOOKUP($A121,[1]Hugst!$R$5:$W$9,MATCH(ROUNDUP((S$1)/10,0)*10,[1]Hugst!$R$4:$W$4,0))))</f>
        <v>1335.0943554918726</v>
      </c>
      <c r="T121" s="168">
        <f ca="1">IF($C121-T$1&lt;År1,0,S120*(1-VLOOKUP($A121,[1]Hugst!$R$5:$W$9,MATCH(ROUNDUP((T$1)/10,0)*10,[1]Hugst!$R$4:$W$4,0))))</f>
        <v>1333.9749803694644</v>
      </c>
      <c r="U121" s="168">
        <f ca="1">IF($C121-U$1&lt;År1,0,T120*(1-VLOOKUP($A121,[1]Hugst!$R$5:$W$9,MATCH(ROUNDUP((U$1)/10,0)*10,[1]Hugst!$R$4:$W$4,0))))</f>
        <v>1332.8629301494768</v>
      </c>
      <c r="V121" s="168">
        <f ca="1">IF($C121-V$1&lt;År1,0,U120*(1-VLOOKUP($A121,[1]Hugst!$R$5:$W$9,MATCH(ROUNDUP((V$1)/10,0)*10,[1]Hugst!$R$4:$W$4,0))))</f>
        <v>1331.7582132745081</v>
      </c>
      <c r="W121" s="168">
        <f ca="1">IF($C121-W$1&lt;År1,0,V120*(1-VLOOKUP($A121,[1]Hugst!$R$5:$W$9,MATCH(ROUNDUP((W$1)/10,0)*10,[1]Hugst!$R$4:$W$4,0))))</f>
        <v>1330.660838242602</v>
      </c>
      <c r="X121" s="168">
        <f ca="1">IF($C121-X$1&lt;År1,0,W120*(1-VLOOKUP($A121,[1]Hugst!$R$5:$W$9,MATCH(ROUNDUP((X$1)/10,0)*10,[1]Hugst!$R$4:$W$4,0))))</f>
        <v>1331.6477802555323</v>
      </c>
      <c r="Y121" s="168">
        <f ca="1">IF($C121-Y$1&lt;År1,0,X120*(1-VLOOKUP($A121,[1]Hugst!$R$5:$W$9,MATCH(ROUNDUP((Y$1)/10,0)*10,[1]Hugst!$R$4:$W$4,0))))</f>
        <v>1332.643751412249</v>
      </c>
      <c r="Z121" s="168">
        <f ca="1">IF($C121-Z$1&lt;År1,0,Y120*(1-VLOOKUP($A121,[1]Hugst!$R$5:$W$9,MATCH(ROUNDUP((Z$1)/10,0)*10,[1]Hugst!$R$4:$W$4,0))))</f>
        <v>1333.3657903493252</v>
      </c>
      <c r="AA121" s="168">
        <f ca="1">IF($C121-AA$1&lt;År1,0,Z120*(1-VLOOKUP($A121,[1]Hugst!$R$5:$W$9,MATCH(ROUNDUP((AA$1)/10,0)*10,[1]Hugst!$R$4:$W$4,0))))</f>
        <v>1334.0965342840209</v>
      </c>
      <c r="AB121" s="168">
        <f ca="1">IF($C121-AB$1&lt;År1,0,AA120*(1-VLOOKUP($A121,[1]Hugst!$R$5:$W$9,MATCH(ROUNDUP((AB$1)/10,0)*10,[1]Hugst!$R$4:$W$4,0))))</f>
        <v>1334.8360007512417</v>
      </c>
      <c r="AC121" s="168">
        <f ca="1">IF($C121-AC$1&lt;År1,0,AB120*(1-VLOOKUP($A121,[1]Hugst!$R$5:$W$9,MATCH(ROUNDUP((AC$1)/10,0)*10,[1]Hugst!$R$4:$W$4,0))))</f>
        <v>1335.5842073623626</v>
      </c>
      <c r="AD121" s="168">
        <f ca="1">IF($C121-AD$1&lt;År1,0,AC120*(1-VLOOKUP($A121,[1]Hugst!$R$5:$W$9,MATCH(ROUNDUP((AD$1)/10,0)*10,[1]Hugst!$R$4:$W$4,0))))</f>
        <v>1336.3411718057214</v>
      </c>
      <c r="AE121" s="168">
        <f ca="1">IF($C121-AE$1&lt;År1,0,AD120*(1-VLOOKUP($A121,[1]Hugst!$R$5:$W$9,MATCH(ROUNDUP((AE$1)/10,0)*10,[1]Hugst!$R$4:$W$4,0))))</f>
        <v>1337.1069118466139</v>
      </c>
      <c r="AF121" s="168">
        <f ca="1">IF($C121-AF$1&lt;År1,0,AE120*(1-VLOOKUP($A121,[1]Hugst!$R$5:$W$9,MATCH(ROUNDUP((AF$1)/10,0)*10,[1]Hugst!$R$4:$W$4,0))))</f>
        <v>1337.8814453276855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556.13049976188631</v>
      </c>
      <c r="E122" s="168">
        <f t="shared" ca="1" si="2"/>
        <v>38.918384809221607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1333.4192549414772</v>
      </c>
      <c r="G122" s="168">
        <f ca="1">IF($C122-G$1&lt;År1,0,F121*(1-VLOOKUP($A122,[1]Hugst!$R$5:$W$9,MATCH(ROUNDUP((G$1)/10,0)*10,[1]Hugst!$R$4:$W$4,0))))</f>
        <v>1333.9473714033636</v>
      </c>
      <c r="H122" s="168">
        <f ca="1">IF($C122-H$1&lt;År1,0,G121*(1-VLOOKUP($A122,[1]Hugst!$R$5:$W$9,MATCH(ROUNDUP((H$1)/10,0)*10,[1]Hugst!$R$4:$W$4,0))))</f>
        <v>1334.4835664023747</v>
      </c>
      <c r="I122" s="168">
        <f ca="1">IF($C122-I$1&lt;År1,0,H121*(1-VLOOKUP($A122,[1]Hugst!$R$5:$W$9,MATCH(ROUNDUP((I$1)/10,0)*10,[1]Hugst!$R$4:$W$4,0))))</f>
        <v>1335.0278855931253</v>
      </c>
      <c r="J122" s="168">
        <f ca="1">IF($C122-J$1&lt;År1,0,I121*(1-VLOOKUP($A122,[1]Hugst!$R$5:$W$9,MATCH(ROUNDUP((J$1)/10,0)*10,[1]Hugst!$R$4:$W$4,0))))</f>
        <v>1335.5803748624974</v>
      </c>
      <c r="K122" s="168">
        <f ca="1">IF($C122-K$1&lt;År1,0,J121*(1-VLOOKUP($A122,[1]Hugst!$R$5:$W$9,MATCH(ROUNDUP((K$1)/10,0)*10,[1]Hugst!$R$4:$W$4,0))))</f>
        <v>1336.1410803308215</v>
      </c>
      <c r="L122" s="168">
        <f ca="1">IF($C122-L$1&lt;År1,0,K121*(1-VLOOKUP($A122,[1]Hugst!$R$5:$W$9,MATCH(ROUNDUP((L$1)/10,0)*10,[1]Hugst!$R$4:$W$4,0))))</f>
        <v>1336.7100483531474</v>
      </c>
      <c r="M122" s="168">
        <f ca="1">IF($C122-M$1&lt;År1,0,L121*(1-VLOOKUP($A122,[1]Hugst!$R$5:$W$9,MATCH(ROUNDUP((M$1)/10,0)*10,[1]Hugst!$R$4:$W$4,0))))</f>
        <v>1337.2873255202655</v>
      </c>
      <c r="N122" s="168">
        <f ca="1">IF($C122-N$1&lt;År1,0,M121*(1-VLOOKUP($A122,[1]Hugst!$R$5:$W$9,MATCH(ROUNDUP((N$1)/10,0)*10,[1]Hugst!$R$4:$W$4,0))))</f>
        <v>1337.8729586600427</v>
      </c>
      <c r="O122" s="168">
        <f ca="1">IF($C122-O$1&lt;År1,0,N121*(1-VLOOKUP($A122,[1]Hugst!$R$5:$W$9,MATCH(ROUNDUP((O$1)/10,0)*10,[1]Hugst!$R$4:$W$4,0))))</f>
        <v>1338.7555236509113</v>
      </c>
      <c r="P122" s="168">
        <f ca="1">IF($C122-P$1&lt;År1,0,O121*(1-VLOOKUP($A122,[1]Hugst!$R$5:$W$9,MATCH(ROUNDUP((P$1)/10,0)*10,[1]Hugst!$R$4:$W$4,0))))</f>
        <v>1337.6014119170575</v>
      </c>
      <c r="Q122" s="168">
        <f ca="1">IF($C122-Q$1&lt;År1,0,P121*(1-VLOOKUP($A122,[1]Hugst!$R$5:$W$9,MATCH(ROUNDUP((Q$1)/10,0)*10,[1]Hugst!$R$4:$W$4,0))))</f>
        <v>1336.4545725915716</v>
      </c>
      <c r="R122" s="168">
        <f ca="1">IF($C122-R$1&lt;År1,0,Q121*(1-VLOOKUP($A122,[1]Hugst!$R$5:$W$9,MATCH(ROUNDUP((R$1)/10,0)*10,[1]Hugst!$R$4:$W$4,0))))</f>
        <v>1335.3150138287028</v>
      </c>
      <c r="S122" s="168">
        <f ca="1">IF($C122-S$1&lt;År1,0,R121*(1-VLOOKUP($A122,[1]Hugst!$R$5:$W$9,MATCH(ROUNDUP((S$1)/10,0)*10,[1]Hugst!$R$4:$W$4,0))))</f>
        <v>1334.1827438374603</v>
      </c>
      <c r="T122" s="168">
        <f ca="1">IF($C122-T$1&lt;År1,0,S121*(1-VLOOKUP($A122,[1]Hugst!$R$5:$W$9,MATCH(ROUNDUP((T$1)/10,0)*10,[1]Hugst!$R$4:$W$4,0))))</f>
        <v>1333.0577708818003</v>
      </c>
      <c r="U122" s="168">
        <f ca="1">IF($C122-U$1&lt;År1,0,T121*(1-VLOOKUP($A122,[1]Hugst!$R$5:$W$9,MATCH(ROUNDUP((U$1)/10,0)*10,[1]Hugst!$R$4:$W$4,0))))</f>
        <v>1331.9401032807652</v>
      </c>
      <c r="V122" s="168">
        <f ca="1">IF($C122-V$1&lt;År1,0,U121*(1-VLOOKUP($A122,[1]Hugst!$R$5:$W$9,MATCH(ROUNDUP((V$1)/10,0)*10,[1]Hugst!$R$4:$W$4,0))))</f>
        <v>1330.8297494085707</v>
      </c>
      <c r="W122" s="168">
        <f ca="1">IF($C122-W$1&lt;År1,0,V121*(1-VLOOKUP($A122,[1]Hugst!$R$5:$W$9,MATCH(ROUNDUP((W$1)/10,0)*10,[1]Hugst!$R$4:$W$4,0))))</f>
        <v>1329.7267176949367</v>
      </c>
      <c r="X122" s="168">
        <f ca="1">IF($C122-X$1&lt;År1,0,W121*(1-VLOOKUP($A122,[1]Hugst!$R$5:$W$9,MATCH(ROUNDUP((X$1)/10,0)*10,[1]Hugst!$R$4:$W$4,0))))</f>
        <v>1328.6310166249439</v>
      </c>
      <c r="Y122" s="168">
        <f ca="1">IF($C122-Y$1&lt;År1,0,X121*(1-VLOOKUP($A122,[1]Hugst!$R$5:$W$9,MATCH(ROUNDUP((Y$1)/10,0)*10,[1]Hugst!$R$4:$W$4,0))))</f>
        <v>1329.6164531331085</v>
      </c>
      <c r="Z122" s="168">
        <f ca="1">IF($C122-Z$1&lt;År1,0,Y121*(1-VLOOKUP($A122,[1]Hugst!$R$5:$W$9,MATCH(ROUNDUP((Z$1)/10,0)*10,[1]Hugst!$R$4:$W$4,0))))</f>
        <v>1330.328565233948</v>
      </c>
      <c r="AA122" s="168">
        <f ca="1">IF($C122-AA$1&lt;År1,0,Z121*(1-VLOOKUP($A122,[1]Hugst!$R$5:$W$9,MATCH(ROUNDUP((AA$1)/10,0)*10,[1]Hugst!$R$4:$W$4,0))))</f>
        <v>1331.0493497813454</v>
      </c>
      <c r="AB122" s="168">
        <f ca="1">IF($C122-AB$1&lt;År1,0,AA121*(1-VLOOKUP($A122,[1]Hugst!$R$5:$W$9,MATCH(ROUNDUP((AB$1)/10,0)*10,[1]Hugst!$R$4:$W$4,0))))</f>
        <v>1331.7788242032732</v>
      </c>
      <c r="AC122" s="168">
        <f ca="1">IF($C122-AC$1&lt;År1,0,AB121*(1-VLOOKUP($A122,[1]Hugst!$R$5:$W$9,MATCH(ROUNDUP((AC$1)/10,0)*10,[1]Hugst!$R$4:$W$4,0))))</f>
        <v>1332.5170060041739</v>
      </c>
      <c r="AD122" s="168">
        <f ca="1">IF($C122-AD$1&lt;År1,0,AC121*(1-VLOOKUP($A122,[1]Hugst!$R$5:$W$9,MATCH(ROUNDUP((AD$1)/10,0)*10,[1]Hugst!$R$4:$W$4,0))))</f>
        <v>1333.2639127648263</v>
      </c>
      <c r="AE122" s="168">
        <f ca="1">IF($C122-AE$1&lt;År1,0,AD121*(1-VLOOKUP($A122,[1]Hugst!$R$5:$W$9,MATCH(ROUNDUP((AE$1)/10,0)*10,[1]Hugst!$R$4:$W$4,0))))</f>
        <v>1334.0195621428386</v>
      </c>
      <c r="AF122" s="168">
        <f ca="1">IF($C122-AF$1&lt;År1,0,AE121*(1-VLOOKUP($A122,[1]Hugst!$R$5:$W$9,MATCH(ROUNDUP((AF$1)/10,0)*10,[1]Hugst!$R$4:$W$4,0))))</f>
        <v>1334.783971872643</v>
      </c>
      <c r="AG122" s="168">
        <f ca="1">IF($C122-AG$1&lt;År1,0,AF121*(1-VLOOKUP($A122,[1]Hugst!$R$5:$W$9,MATCH(ROUNDUP((AG$1)/10,0)*10,[1]Hugst!$R$4:$W$4,0))))</f>
        <v>1335.5571597658873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553.34984726308903</v>
      </c>
      <c r="E123" s="168">
        <f t="shared" ca="1" si="2"/>
        <v>41.178953959941282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1332.8991715933996</v>
      </c>
      <c r="G123" s="168">
        <f ca="1">IF($C123-G$1&lt;År1,0,F122*(1-VLOOKUP($A123,[1]Hugst!$R$5:$W$9,MATCH(ROUNDUP((G$1)/10,0)*10,[1]Hugst!$R$4:$W$4,0))))</f>
        <v>1333.4192549414772</v>
      </c>
      <c r="H123" s="168">
        <f ca="1">IF($C123-H$1&lt;År1,0,G122*(1-VLOOKUP($A123,[1]Hugst!$R$5:$W$9,MATCH(ROUNDUP((H$1)/10,0)*10,[1]Hugst!$R$4:$W$4,0))))</f>
        <v>1333.9473714033636</v>
      </c>
      <c r="I123" s="168">
        <f ca="1">IF($C123-I$1&lt;År1,0,H122*(1-VLOOKUP($A123,[1]Hugst!$R$5:$W$9,MATCH(ROUNDUP((I$1)/10,0)*10,[1]Hugst!$R$4:$W$4,0))))</f>
        <v>1334.4835664023747</v>
      </c>
      <c r="J123" s="168">
        <f ca="1">IF($C123-J$1&lt;År1,0,I122*(1-VLOOKUP($A123,[1]Hugst!$R$5:$W$9,MATCH(ROUNDUP((J$1)/10,0)*10,[1]Hugst!$R$4:$W$4,0))))</f>
        <v>1335.0278855931253</v>
      </c>
      <c r="K123" s="168">
        <f ca="1">IF($C123-K$1&lt;År1,0,J122*(1-VLOOKUP($A123,[1]Hugst!$R$5:$W$9,MATCH(ROUNDUP((K$1)/10,0)*10,[1]Hugst!$R$4:$W$4,0))))</f>
        <v>1335.5803748624974</v>
      </c>
      <c r="L123" s="168">
        <f ca="1">IF($C123-L$1&lt;År1,0,K122*(1-VLOOKUP($A123,[1]Hugst!$R$5:$W$9,MATCH(ROUNDUP((L$1)/10,0)*10,[1]Hugst!$R$4:$W$4,0))))</f>
        <v>1336.1410803308215</v>
      </c>
      <c r="M123" s="168">
        <f ca="1">IF($C123-M$1&lt;År1,0,L122*(1-VLOOKUP($A123,[1]Hugst!$R$5:$W$9,MATCH(ROUNDUP((M$1)/10,0)*10,[1]Hugst!$R$4:$W$4,0))))</f>
        <v>1336.7100483531474</v>
      </c>
      <c r="N123" s="168">
        <f ca="1">IF($C123-N$1&lt;År1,0,M122*(1-VLOOKUP($A123,[1]Hugst!$R$5:$W$9,MATCH(ROUNDUP((N$1)/10,0)*10,[1]Hugst!$R$4:$W$4,0))))</f>
        <v>1337.2873255202655</v>
      </c>
      <c r="O123" s="168">
        <f ca="1">IF($C123-O$1&lt;År1,0,N122*(1-VLOOKUP($A123,[1]Hugst!$R$5:$W$9,MATCH(ROUNDUP((O$1)/10,0)*10,[1]Hugst!$R$4:$W$4,0))))</f>
        <v>1337.8729586600427</v>
      </c>
      <c r="P123" s="168">
        <f ca="1">IF($C123-P$1&lt;År1,0,O122*(1-VLOOKUP($A123,[1]Hugst!$R$5:$W$9,MATCH(ROUNDUP((P$1)/10,0)*10,[1]Hugst!$R$4:$W$4,0))))</f>
        <v>1336.7133542080539</v>
      </c>
      <c r="Q123" s="168">
        <f ca="1">IF($C123-Q$1&lt;År1,0,P122*(1-VLOOKUP($A123,[1]Hugst!$R$5:$W$9,MATCH(ROUNDUP((Q$1)/10,0)*10,[1]Hugst!$R$4:$W$4,0))))</f>
        <v>1335.5610029836246</v>
      </c>
      <c r="R123" s="168">
        <f ca="1">IF($C123-R$1&lt;År1,0,Q122*(1-VLOOKUP($A123,[1]Hugst!$R$5:$W$9,MATCH(ROUNDUP((R$1)/10,0)*10,[1]Hugst!$R$4:$W$4,0))))</f>
        <v>1334.4159130740591</v>
      </c>
      <c r="S123" s="168">
        <f ca="1">IF($C123-S$1&lt;År1,0,R122*(1-VLOOKUP($A123,[1]Hugst!$R$5:$W$9,MATCH(ROUNDUP((S$1)/10,0)*10,[1]Hugst!$R$4:$W$4,0))))</f>
        <v>1333.2780926211674</v>
      </c>
      <c r="T123" s="168">
        <f ca="1">IF($C123-T$1&lt;År1,0,S122*(1-VLOOKUP($A123,[1]Hugst!$R$5:$W$9,MATCH(ROUNDUP((T$1)/10,0)*10,[1]Hugst!$R$4:$W$4,0))))</f>
        <v>1332.147549821437</v>
      </c>
      <c r="U123" s="168">
        <f ca="1">IF($C123-U$1&lt;År1,0,T122*(1-VLOOKUP($A123,[1]Hugst!$R$5:$W$9,MATCH(ROUNDUP((U$1)/10,0)*10,[1]Hugst!$R$4:$W$4,0))))</f>
        <v>1331.0242929262179</v>
      </c>
      <c r="V123" s="168">
        <f ca="1">IF($C123-V$1&lt;År1,0,U122*(1-VLOOKUP($A123,[1]Hugst!$R$5:$W$9,MATCH(ROUNDUP((V$1)/10,0)*10,[1]Hugst!$R$4:$W$4,0))))</f>
        <v>1329.9083302418624</v>
      </c>
      <c r="W123" s="168">
        <f ca="1">IF($C123-W$1&lt;År1,0,V122*(1-VLOOKUP($A123,[1]Hugst!$R$5:$W$9,MATCH(ROUNDUP((W$1)/10,0)*10,[1]Hugst!$R$4:$W$4,0))))</f>
        <v>1328.7996701298118</v>
      </c>
      <c r="X123" s="168">
        <f ca="1">IF($C123-X$1&lt;År1,0,W122*(1-VLOOKUP($A123,[1]Hugst!$R$5:$W$9,MATCH(ROUNDUP((X$1)/10,0)*10,[1]Hugst!$R$4:$W$4,0))))</f>
        <v>1327.6983210069275</v>
      </c>
      <c r="Y123" s="168">
        <f ca="1">IF($C123-Y$1&lt;År1,0,X122*(1-VLOOKUP($A123,[1]Hugst!$R$5:$W$9,MATCH(ROUNDUP((Y$1)/10,0)*10,[1]Hugst!$R$4:$W$4,0))))</f>
        <v>1326.6042913453464</v>
      </c>
      <c r="Z123" s="168">
        <f ca="1">IF($C123-Z$1&lt;År1,0,Y122*(1-VLOOKUP($A123,[1]Hugst!$R$5:$W$9,MATCH(ROUNDUP((Z$1)/10,0)*10,[1]Hugst!$R$4:$W$4,0))))</f>
        <v>1327.3065262441908</v>
      </c>
      <c r="AA123" s="168">
        <f ca="1">IF($C123-AA$1&lt;År1,0,Z122*(1-VLOOKUP($A123,[1]Hugst!$R$5:$W$9,MATCH(ROUNDUP((AA$1)/10,0)*10,[1]Hugst!$R$4:$W$4,0))))</f>
        <v>1328.0174012011262</v>
      </c>
      <c r="AB123" s="168">
        <f ca="1">IF($C123-AB$1&lt;År1,0,AA122*(1-VLOOKUP($A123,[1]Hugst!$R$5:$W$9,MATCH(ROUNDUP((AB$1)/10,0)*10,[1]Hugst!$R$4:$W$4,0))))</f>
        <v>1328.7369335380811</v>
      </c>
      <c r="AC123" s="168">
        <f ca="1">IF($C123-AC$1&lt;År1,0,AB122*(1-VLOOKUP($A123,[1]Hugst!$R$5:$W$9,MATCH(ROUNDUP((AC$1)/10,0)*10,[1]Hugst!$R$4:$W$4,0))))</f>
        <v>1329.4651406527505</v>
      </c>
      <c r="AD123" s="168">
        <f ca="1">IF($C123-AD$1&lt;År1,0,AC122*(1-VLOOKUP($A123,[1]Hugst!$R$5:$W$9,MATCH(ROUNDUP((AD$1)/10,0)*10,[1]Hugst!$R$4:$W$4,0))))</f>
        <v>1330.2020400191666</v>
      </c>
      <c r="AE123" s="168">
        <f ca="1">IF($C123-AE$1&lt;År1,0,AD122*(1-VLOOKUP($A123,[1]Hugst!$R$5:$W$9,MATCH(ROUNDUP((AE$1)/10,0)*10,[1]Hugst!$R$4:$W$4,0))))</f>
        <v>1330.9476491875653</v>
      </c>
      <c r="AF123" s="168">
        <f ca="1">IF($C123-AF$1&lt;År1,0,AE122*(1-VLOOKUP($A123,[1]Hugst!$R$5:$W$9,MATCH(ROUNDUP((AF$1)/10,0)*10,[1]Hugst!$R$4:$W$4,0))))</f>
        <v>1331.7019857848786</v>
      </c>
      <c r="AG123" s="168">
        <f ca="1">IF($C123-AG$1&lt;År1,0,AF122*(1-VLOOKUP($A123,[1]Hugst!$R$5:$W$9,MATCH(ROUNDUP((AG$1)/10,0)*10,[1]Hugst!$R$4:$W$4,0))))</f>
        <v>1332.4650675147286</v>
      </c>
      <c r="AH123" s="168">
        <f ca="1">IF($C123-AH$1&lt;År1,0,AG122*(1-VLOOKUP($A123,[1]Hugst!$R$5:$W$9,MATCH(ROUNDUP((AH$1)/10,0)*10,[1]Hugst!$R$4:$W$4,0))))</f>
        <v>1333.2369121578195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550.58309802679287</v>
      </c>
      <c r="E124" s="168">
        <f t="shared" ca="1" si="2"/>
        <v>43.433607768536604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1332.3870761656988</v>
      </c>
      <c r="G124" s="168">
        <f ca="1">IF($C124-G$1&lt;År1,0,F123*(1-VLOOKUP($A124,[1]Hugst!$R$5:$W$9,MATCH(ROUNDUP((G$1)/10,0)*10,[1]Hugst!$R$4:$W$4,0))))</f>
        <v>1332.8991715933996</v>
      </c>
      <c r="H124" s="168">
        <f ca="1">IF($C124-H$1&lt;År1,0,G123*(1-VLOOKUP($A124,[1]Hugst!$R$5:$W$9,MATCH(ROUNDUP((H$1)/10,0)*10,[1]Hugst!$R$4:$W$4,0))))</f>
        <v>1333.4192549414772</v>
      </c>
      <c r="I124" s="168">
        <f ca="1">IF($C124-I$1&lt;År1,0,H123*(1-VLOOKUP($A124,[1]Hugst!$R$5:$W$9,MATCH(ROUNDUP((I$1)/10,0)*10,[1]Hugst!$R$4:$W$4,0))))</f>
        <v>1333.9473714033636</v>
      </c>
      <c r="J124" s="168">
        <f ca="1">IF($C124-J$1&lt;År1,0,I123*(1-VLOOKUP($A124,[1]Hugst!$R$5:$W$9,MATCH(ROUNDUP((J$1)/10,0)*10,[1]Hugst!$R$4:$W$4,0))))</f>
        <v>1334.4835664023747</v>
      </c>
      <c r="K124" s="168">
        <f ca="1">IF($C124-K$1&lt;År1,0,J123*(1-VLOOKUP($A124,[1]Hugst!$R$5:$W$9,MATCH(ROUNDUP((K$1)/10,0)*10,[1]Hugst!$R$4:$W$4,0))))</f>
        <v>1335.0278855931253</v>
      </c>
      <c r="L124" s="168">
        <f ca="1">IF($C124-L$1&lt;År1,0,K123*(1-VLOOKUP($A124,[1]Hugst!$R$5:$W$9,MATCH(ROUNDUP((L$1)/10,0)*10,[1]Hugst!$R$4:$W$4,0))))</f>
        <v>1335.5803748624974</v>
      </c>
      <c r="M124" s="168">
        <f ca="1">IF($C124-M$1&lt;År1,0,L123*(1-VLOOKUP($A124,[1]Hugst!$R$5:$W$9,MATCH(ROUNDUP((M$1)/10,0)*10,[1]Hugst!$R$4:$W$4,0))))</f>
        <v>1336.1410803308215</v>
      </c>
      <c r="N124" s="168">
        <f ca="1">IF($C124-N$1&lt;År1,0,M123*(1-VLOOKUP($A124,[1]Hugst!$R$5:$W$9,MATCH(ROUNDUP((N$1)/10,0)*10,[1]Hugst!$R$4:$W$4,0))))</f>
        <v>1336.7100483531474</v>
      </c>
      <c r="O124" s="168">
        <f ca="1">IF($C124-O$1&lt;År1,0,N123*(1-VLOOKUP($A124,[1]Hugst!$R$5:$W$9,MATCH(ROUNDUP((O$1)/10,0)*10,[1]Hugst!$R$4:$W$4,0))))</f>
        <v>1337.2873255202655</v>
      </c>
      <c r="P124" s="168">
        <f ca="1">IF($C124-P$1&lt;År1,0,O123*(1-VLOOKUP($A124,[1]Hugst!$R$5:$W$9,MATCH(ROUNDUP((P$1)/10,0)*10,[1]Hugst!$R$4:$W$4,0))))</f>
        <v>1335.8321355027647</v>
      </c>
      <c r="Q124" s="168">
        <f ca="1">IF($C124-Q$1&lt;År1,0,P123*(1-VLOOKUP($A124,[1]Hugst!$R$5:$W$9,MATCH(ROUNDUP((Q$1)/10,0)*10,[1]Hugst!$R$4:$W$4,0))))</f>
        <v>1334.674299938923</v>
      </c>
      <c r="R124" s="168">
        <f ca="1">IF($C124-R$1&lt;År1,0,Q123*(1-VLOOKUP($A124,[1]Hugst!$R$5:$W$9,MATCH(ROUNDUP((R$1)/10,0)*10,[1]Hugst!$R$4:$W$4,0))))</f>
        <v>1333.5237065383953</v>
      </c>
      <c r="S124" s="168">
        <f ca="1">IF($C124-S$1&lt;År1,0,R123*(1-VLOOKUP($A124,[1]Hugst!$R$5:$W$9,MATCH(ROUNDUP((S$1)/10,0)*10,[1]Hugst!$R$4:$W$4,0))))</f>
        <v>1332.3803633761495</v>
      </c>
      <c r="T124" s="168">
        <f ca="1">IF($C124-T$1&lt;År1,0,S123*(1-VLOOKUP($A124,[1]Hugst!$R$5:$W$9,MATCH(ROUNDUP((T$1)/10,0)*10,[1]Hugst!$R$4:$W$4,0))))</f>
        <v>1331.2442785815758</v>
      </c>
      <c r="U124" s="168">
        <f ca="1">IF($C124-U$1&lt;År1,0,T123*(1-VLOOKUP($A124,[1]Hugst!$R$5:$W$9,MATCH(ROUNDUP((U$1)/10,0)*10,[1]Hugst!$R$4:$W$4,0))))</f>
        <v>1330.1154603386585</v>
      </c>
      <c r="V124" s="168">
        <f ca="1">IF($C124-V$1&lt;År1,0,U123*(1-VLOOKUP($A124,[1]Hugst!$R$5:$W$9,MATCH(ROUNDUP((V$1)/10,0)*10,[1]Hugst!$R$4:$W$4,0))))</f>
        <v>1328.9939168861608</v>
      </c>
      <c r="W124" s="168">
        <f ca="1">IF($C124-W$1&lt;År1,0,V123*(1-VLOOKUP($A124,[1]Hugst!$R$5:$W$9,MATCH(ROUNDUP((W$1)/10,0)*10,[1]Hugst!$R$4:$W$4,0))))</f>
        <v>1327.8796565177645</v>
      </c>
      <c r="X124" s="168">
        <f ca="1">IF($C124-X$1&lt;År1,0,W123*(1-VLOOKUP($A124,[1]Hugst!$R$5:$W$9,MATCH(ROUNDUP((X$1)/10,0)*10,[1]Hugst!$R$4:$W$4,0))))</f>
        <v>1326.7726875821561</v>
      </c>
      <c r="Y124" s="168">
        <f ca="1">IF($C124-Y$1&lt;År1,0,X123*(1-VLOOKUP($A124,[1]Hugst!$R$5:$W$9,MATCH(ROUNDUP((Y$1)/10,0)*10,[1]Hugst!$R$4:$W$4,0))))</f>
        <v>1325.6730184833575</v>
      </c>
      <c r="Z124" s="168">
        <f ca="1">IF($C124-Z$1&lt;År1,0,Y123*(1-VLOOKUP($A124,[1]Hugst!$R$5:$W$9,MATCH(ROUNDUP((Z$1)/10,0)*10,[1]Hugst!$R$4:$W$4,0))))</f>
        <v>1324.2995974493649</v>
      </c>
      <c r="AA124" s="168">
        <f ca="1">IF($C124-AA$1&lt;År1,0,Z123*(1-VLOOKUP($A124,[1]Hugst!$R$5:$W$9,MATCH(ROUNDUP((AA$1)/10,0)*10,[1]Hugst!$R$4:$W$4,0))))</f>
        <v>1325.0006123638511</v>
      </c>
      <c r="AB124" s="168">
        <f ca="1">IF($C124-AB$1&lt;År1,0,AA123*(1-VLOOKUP($A124,[1]Hugst!$R$5:$W$9,MATCH(ROUNDUP((AB$1)/10,0)*10,[1]Hugst!$R$4:$W$4,0))))</f>
        <v>1325.7102523261581</v>
      </c>
      <c r="AC124" s="168">
        <f ca="1">IF($C124-AC$1&lt;År1,0,AB123*(1-VLOOKUP($A124,[1]Hugst!$R$5:$W$9,MATCH(ROUNDUP((AC$1)/10,0)*10,[1]Hugst!$R$4:$W$4,0))))</f>
        <v>1326.4285346281208</v>
      </c>
      <c r="AD124" s="168">
        <f ca="1">IF($C124-AD$1&lt;År1,0,AC123*(1-VLOOKUP($A124,[1]Hugst!$R$5:$W$9,MATCH(ROUNDUP((AD$1)/10,0)*10,[1]Hugst!$R$4:$W$4,0))))</f>
        <v>1327.1554766372096</v>
      </c>
      <c r="AE124" s="168">
        <f ca="1">IF($C124-AE$1&lt;År1,0,AD123*(1-VLOOKUP($A124,[1]Hugst!$R$5:$W$9,MATCH(ROUNDUP((AE$1)/10,0)*10,[1]Hugst!$R$4:$W$4,0))))</f>
        <v>1327.8910957970993</v>
      </c>
      <c r="AF124" s="168">
        <f ca="1">IF($C124-AF$1&lt;År1,0,AE123*(1-VLOOKUP($A124,[1]Hugst!$R$5:$W$9,MATCH(ROUNDUP((AF$1)/10,0)*10,[1]Hugst!$R$4:$W$4,0))))</f>
        <v>1328.6354096275359</v>
      </c>
      <c r="AG124" s="168">
        <f ca="1">IF($C124-AG$1&lt;År1,0,AF123*(1-VLOOKUP($A124,[1]Hugst!$R$5:$W$9,MATCH(ROUNDUP((AG$1)/10,0)*10,[1]Hugst!$R$4:$W$4,0))))</f>
        <v>1329.3884357248285</v>
      </c>
      <c r="AH124" s="168">
        <f ca="1">IF($C124-AH$1&lt;År1,0,AG123*(1-VLOOKUP($A124,[1]Hugst!$R$5:$W$9,MATCH(ROUNDUP((AH$1)/10,0)*10,[1]Hugst!$R$4:$W$4,0))))</f>
        <v>1330.1501917618427</v>
      </c>
      <c r="AI124" s="168">
        <f ca="1">IF($C124-AI$1&lt;År1,0,AH123*(1-VLOOKUP($A124,[1]Hugst!$R$5:$W$9,MATCH(ROUNDUP((AI$1)/10,0)*10,[1]Hugst!$R$4:$W$4,0))))</f>
        <v>1330.9206954883928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547.83018253665068</v>
      </c>
      <c r="E125" s="168">
        <f ca="1">IF(C125=2020,SUM(G125:AJ125),SUM(F124:AJ124)-SUM(G125:AJ125))</f>
        <v>44.555352124167257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1330.7559050311872</v>
      </c>
      <c r="G125" s="168">
        <f ca="1">IF($C125-G$1&lt;År1,0,F124*(1-VLOOKUP($A125,[1]Hugst!$R$5:$W$9,MATCH(ROUNDUP((G$1)/10,0)*10,[1]Hugst!$R$4:$W$4,0))))</f>
        <v>1332.3870761656988</v>
      </c>
      <c r="H125" s="168">
        <f ca="1">IF($C125-H$1&lt;År1,0,G124*(1-VLOOKUP($A125,[1]Hugst!$R$5:$W$9,MATCH(ROUNDUP((H$1)/10,0)*10,[1]Hugst!$R$4:$W$4,0))))</f>
        <v>1332.8991715933996</v>
      </c>
      <c r="I125" s="168">
        <f ca="1">IF($C125-I$1&lt;År1,0,H124*(1-VLOOKUP($A125,[1]Hugst!$R$5:$W$9,MATCH(ROUNDUP((I$1)/10,0)*10,[1]Hugst!$R$4:$W$4,0))))</f>
        <v>1333.4192549414772</v>
      </c>
      <c r="J125" s="168">
        <f ca="1">IF($C125-J$1&lt;År1,0,I124*(1-VLOOKUP($A125,[1]Hugst!$R$5:$W$9,MATCH(ROUNDUP((J$1)/10,0)*10,[1]Hugst!$R$4:$W$4,0))))</f>
        <v>1333.9473714033636</v>
      </c>
      <c r="K125" s="168">
        <f ca="1">IF($C125-K$1&lt;År1,0,J124*(1-VLOOKUP($A125,[1]Hugst!$R$5:$W$9,MATCH(ROUNDUP((K$1)/10,0)*10,[1]Hugst!$R$4:$W$4,0))))</f>
        <v>1334.4835664023747</v>
      </c>
      <c r="L125" s="168">
        <f ca="1">IF($C125-L$1&lt;År1,0,K124*(1-VLOOKUP($A125,[1]Hugst!$R$5:$W$9,MATCH(ROUNDUP((L$1)/10,0)*10,[1]Hugst!$R$4:$W$4,0))))</f>
        <v>1335.0278855931253</v>
      </c>
      <c r="M125" s="168">
        <f ca="1">IF($C125-M$1&lt;År1,0,L124*(1-VLOOKUP($A125,[1]Hugst!$R$5:$W$9,MATCH(ROUNDUP((M$1)/10,0)*10,[1]Hugst!$R$4:$W$4,0))))</f>
        <v>1335.5803748624974</v>
      </c>
      <c r="N125" s="168">
        <f ca="1">IF($C125-N$1&lt;År1,0,M124*(1-VLOOKUP($A125,[1]Hugst!$R$5:$W$9,MATCH(ROUNDUP((N$1)/10,0)*10,[1]Hugst!$R$4:$W$4,0))))</f>
        <v>1336.1410803308215</v>
      </c>
      <c r="O125" s="168">
        <f ca="1">IF($C125-O$1&lt;År1,0,N124*(1-VLOOKUP($A125,[1]Hugst!$R$5:$W$9,MATCH(ROUNDUP((O$1)/10,0)*10,[1]Hugst!$R$4:$W$4,0))))</f>
        <v>1336.7100483531474</v>
      </c>
      <c r="P125" s="168">
        <f ca="1">IF($C125-P$1&lt;År1,0,O124*(1-VLOOKUP($A125,[1]Hugst!$R$5:$W$9,MATCH(ROUNDUP((P$1)/10,0)*10,[1]Hugst!$R$4:$W$4,0))))</f>
        <v>1335.2473957016753</v>
      </c>
      <c r="Q125" s="168">
        <f ca="1">IF($C125-Q$1&lt;År1,0,P124*(1-VLOOKUP($A125,[1]Hugst!$R$5:$W$9,MATCH(ROUNDUP((Q$1)/10,0)*10,[1]Hugst!$R$4:$W$4,0))))</f>
        <v>1333.794425465557</v>
      </c>
      <c r="R125" s="168">
        <f ca="1">IF($C125-R$1&lt;År1,0,Q124*(1-VLOOKUP($A125,[1]Hugst!$R$5:$W$9,MATCH(ROUNDUP((R$1)/10,0)*10,[1]Hugst!$R$4:$W$4,0))))</f>
        <v>1332.6383560915585</v>
      </c>
      <c r="S125" s="168">
        <f ca="1">IF($C125-S$1&lt;År1,0,R124*(1-VLOOKUP($A125,[1]Hugst!$R$5:$W$9,MATCH(ROUNDUP((S$1)/10,0)*10,[1]Hugst!$R$4:$W$4,0))))</f>
        <v>1331.4895178335062</v>
      </c>
      <c r="T125" s="168">
        <f ca="1">IF($C125-T$1&lt;År1,0,S124*(1-VLOOKUP($A125,[1]Hugst!$R$5:$W$9,MATCH(ROUNDUP((T$1)/10,0)*10,[1]Hugst!$R$4:$W$4,0))))</f>
        <v>1330.3479187540502</v>
      </c>
      <c r="U125" s="168">
        <f ca="1">IF($C125-U$1&lt;År1,0,T124*(1-VLOOKUP($A125,[1]Hugst!$R$5:$W$9,MATCH(ROUNDUP((U$1)/10,0)*10,[1]Hugst!$R$4:$W$4,0))))</f>
        <v>1329.2135669701802</v>
      </c>
      <c r="V125" s="168">
        <f ca="1">IF($C125-V$1&lt;År1,0,U124*(1-VLOOKUP($A125,[1]Hugst!$R$5:$W$9,MATCH(ROUNDUP((V$1)/10,0)*10,[1]Hugst!$R$4:$W$4,0))))</f>
        <v>1328.0864706533962</v>
      </c>
      <c r="W125" s="168">
        <f ca="1">IF($C125-W$1&lt;År1,0,V124*(1-VLOOKUP($A125,[1]Hugst!$R$5:$W$9,MATCH(ROUNDUP((W$1)/10,0)*10,[1]Hugst!$R$4:$W$4,0))))</f>
        <v>1326.9666380298938</v>
      </c>
      <c r="X125" s="168">
        <f ca="1">IF($C125-X$1&lt;År1,0,W124*(1-VLOOKUP($A125,[1]Hugst!$R$5:$W$9,MATCH(ROUNDUP((X$1)/10,0)*10,[1]Hugst!$R$4:$W$4,0))))</f>
        <v>1325.8540773807035</v>
      </c>
      <c r="Y125" s="168">
        <f ca="1">IF($C125-Y$1&lt;År1,0,X124*(1-VLOOKUP($A125,[1]Hugst!$R$5:$W$9,MATCH(ROUNDUP((Y$1)/10,0)*10,[1]Hugst!$R$4:$W$4,0))))</f>
        <v>1324.7487970417765</v>
      </c>
      <c r="Z125" s="168">
        <f ca="1">IF($C125-Z$1&lt;År1,0,Y124*(1-VLOOKUP($A125,[1]Hugst!$R$5:$W$9,MATCH(ROUNDUP((Z$1)/10,0)*10,[1]Hugst!$R$4:$W$4,0))))</f>
        <v>1323.3699424766703</v>
      </c>
      <c r="AA125" s="168">
        <f ca="1">IF($C125-AA$1&lt;År1,0,Z124*(1-VLOOKUP($A125,[1]Hugst!$R$5:$W$9,MATCH(ROUNDUP((AA$1)/10,0)*10,[1]Hugst!$R$4:$W$4,0))))</f>
        <v>1321.9989074707453</v>
      </c>
      <c r="AB125" s="168">
        <f ca="1">IF($C125-AB$1&lt;År1,0,AA124*(1-VLOOKUP($A125,[1]Hugst!$R$5:$W$9,MATCH(ROUNDUP((AB$1)/10,0)*10,[1]Hugst!$R$4:$W$4,0))))</f>
        <v>1322.6987045203375</v>
      </c>
      <c r="AC125" s="168">
        <f ca="1">IF($C125-AC$1&lt;År1,0,AB124*(1-VLOOKUP($A125,[1]Hugst!$R$5:$W$9,MATCH(ROUNDUP((AC$1)/10,0)*10,[1]Hugst!$R$4:$W$4,0))))</f>
        <v>1323.4071116335574</v>
      </c>
      <c r="AD125" s="168">
        <f ca="1">IF($C125-AD$1&lt;År1,0,AC124*(1-VLOOKUP($A125,[1]Hugst!$R$5:$W$9,MATCH(ROUNDUP((AD$1)/10,0)*10,[1]Hugst!$R$4:$W$4,0))))</f>
        <v>1324.124146072199</v>
      </c>
      <c r="AE125" s="168">
        <f ca="1">IF($C125-AE$1&lt;År1,0,AD124*(1-VLOOKUP($A125,[1]Hugst!$R$5:$W$9,MATCH(ROUNDUP((AE$1)/10,0)*10,[1]Hugst!$R$4:$W$4,0))))</f>
        <v>1324.8498251735602</v>
      </c>
      <c r="AF125" s="168">
        <f ca="1">IF($C125-AF$1&lt;År1,0,AE124*(1-VLOOKUP($A125,[1]Hugst!$R$5:$W$9,MATCH(ROUNDUP((AF$1)/10,0)*10,[1]Hugst!$R$4:$W$4,0))))</f>
        <v>1325.5841663510112</v>
      </c>
      <c r="AG125" s="168">
        <f ca="1">IF($C125-AG$1&lt;År1,0,AF124*(1-VLOOKUP($A125,[1]Hugst!$R$5:$W$9,MATCH(ROUNDUP((AG$1)/10,0)*10,[1]Hugst!$R$4:$W$4,0))))</f>
        <v>1326.3271870938609</v>
      </c>
      <c r="AH125" s="168">
        <f ca="1">IF($C125-AH$1&lt;År1,0,AG124*(1-VLOOKUP($A125,[1]Hugst!$R$5:$W$9,MATCH(ROUNDUP((AH$1)/10,0)*10,[1]Hugst!$R$4:$W$4,0))))</f>
        <v>1327.0789049678488</v>
      </c>
      <c r="AI125" s="168">
        <f ca="1">IF($C125-AI$1&lt;År1,0,AH124*(1-VLOOKUP($A125,[1]Hugst!$R$5:$W$9,MATCH(ROUNDUP((AI$1)/10,0)*10,[1]Hugst!$R$4:$W$4,0))))</f>
        <v>1327.8393376151378</v>
      </c>
      <c r="AJ125" s="168">
        <f ca="1">IF($C125-AJ$1&lt;År1,0,AI124*(1-VLOOKUP($A125,[1]Hugst!$R$5:$W$9,MATCH(ROUNDUP((AJ$1)/10,0)*10,[1]Hugst!$R$4:$W$4,0))))</f>
        <v>1329.736401649187</v>
      </c>
      <c r="AL125" s="168">
        <f ca="1">SUM(F125:AJ125)</f>
        <v>41216.753533623509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736009.99999999977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7" t="s">
        <v>320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321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324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218331.04510476126</v>
      </c>
      <c r="J5" s="10">
        <f>SUMIFS('Resultat-Produktion &amp; forbrug'!$N$3:$N$1000,'Resultat-Produktion &amp; forbrug'!$A$3:$A$1000,Adfærd!$G5,'Resultat-Produktion &amp; forbrug'!$D$3:$D$1000,Adfærd!J$4)</f>
        <v>219549.23701107962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322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323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C3" sqref="C3:D7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327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f t="shared" ref="D3:D5" si="0">C3</f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0.90998641975055194</v>
      </c>
      <c r="AC3" s="230">
        <f>SUM(E12:E14)/SUM(E12:E15)</f>
        <v>0.90379392387975288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f t="shared" si="0"/>
        <v>0.9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f t="shared" si="0"/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1">C12/C$29</f>
        <v>0.22267199142680771</v>
      </c>
      <c r="AB5" s="346">
        <f t="shared" si="1"/>
        <v>0.45559062484688517</v>
      </c>
      <c r="AC5" s="346">
        <f t="shared" si="1"/>
        <v>0.44545785374047597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f t="shared" ref="C6" si="2">B6</f>
        <v>0.37924884410556858</v>
      </c>
      <c r="D6" s="178">
        <f>C6</f>
        <v>0.37924884410556858</v>
      </c>
      <c r="E6" s="155"/>
      <c r="F6" s="171"/>
      <c r="G6" s="172"/>
      <c r="H6" s="125"/>
      <c r="Z6" s="347" t="s">
        <v>136</v>
      </c>
      <c r="AA6" s="346">
        <f t="shared" si="1"/>
        <v>0.33257225498473725</v>
      </c>
      <c r="AB6" s="346">
        <f t="shared" si="1"/>
        <v>0.36708526842458561</v>
      </c>
      <c r="AC6" s="346">
        <f t="shared" si="1"/>
        <v>0.36773685027684555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f>C7</f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328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15533219.712531522</v>
      </c>
      <c r="E12" s="130">
        <f>SUMIFS('Resultater - Danmark'!J$3:J$504,'Resultater - Danmark'!$F$3:$F$504,$A12)*D3</f>
        <v>14871140.288295148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1725913.3013923876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1652348.9209216833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3">C12/C$29</f>
        <v>0.22267199142680771</v>
      </c>
      <c r="K12" s="131">
        <f t="shared" ref="K12:K28" si="4">D12/D$29</f>
        <v>0.45559062484688517</v>
      </c>
      <c r="L12" s="131">
        <f t="shared" ref="L12:L28" si="5">E12/E$29</f>
        <v>0.44545785374047597</v>
      </c>
      <c r="M12" s="123" t="s">
        <v>212</v>
      </c>
      <c r="N12" s="123">
        <f>S12+2/3*T12</f>
        <v>2914869.3333333335</v>
      </c>
      <c r="O12" s="149">
        <f t="shared" ref="O12:O16" si="6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12515657.295601794</v>
      </c>
      <c r="E13" s="133">
        <f>SUMIFS('Resultater - Danmark'!J$3:J$504,'Resultater - Danmark'!$F$3:$F$504,$A13)*D4</f>
        <v>12276506.618354082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1390628.5884001981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1364056.2909282297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3"/>
        <v>0.33257225498473725</v>
      </c>
      <c r="K13" s="134">
        <f t="shared" si="4"/>
        <v>0.36708526842458561</v>
      </c>
      <c r="L13" s="134">
        <f t="shared" si="5"/>
        <v>0.36773685027684555</v>
      </c>
      <c r="M13" s="123" t="s">
        <v>213</v>
      </c>
      <c r="N13" s="123">
        <f>S13+1/3*T13</f>
        <v>4353509.666666667</v>
      </c>
      <c r="O13" s="149">
        <f t="shared" si="6"/>
        <v>0</v>
      </c>
      <c r="P13" s="138">
        <f t="shared" ref="P13:P28" si="7">C13*I13</f>
        <v>61384486.300000004</v>
      </c>
      <c r="Q13" s="123">
        <f t="shared" ref="Q13:Q28" si="8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8138.6352546285043</v>
      </c>
      <c r="E14" s="133">
        <f>SUMIFS('Resultater - Danmark'!J$3:J$504,'Resultater - Danmark'!$F$3:$F$504,$A14)*D5</f>
        <v>8404.7671078658786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904.2928060698332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933.86301198509682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3"/>
        <v>3.3929399119623192E-4</v>
      </c>
      <c r="K14" s="134">
        <f t="shared" si="4"/>
        <v>2.3870684826956569E-4</v>
      </c>
      <c r="L14" s="134">
        <f t="shared" si="5"/>
        <v>2.5176075569708023E-4</v>
      </c>
      <c r="M14" s="126" t="s">
        <v>145</v>
      </c>
      <c r="N14" s="127">
        <v>11417</v>
      </c>
      <c r="O14" s="149">
        <f t="shared" si="6"/>
        <v>6975.5</v>
      </c>
      <c r="P14" s="138">
        <f t="shared" si="7"/>
        <v>58183.65</v>
      </c>
      <c r="Q14" s="123">
        <f t="shared" si="8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2775329.8009308982</v>
      </c>
      <c r="E15" s="133">
        <f>SUMIFS('Resultater - Danmark'!J$3:J$504,'Resultater - Danmark'!$F$3:$F$504,$A15)*D6</f>
        <v>2890677.9581297943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3"/>
        <v>0.20387691989197443</v>
      </c>
      <c r="K15" s="134">
        <f t="shared" si="4"/>
        <v>8.1400653667585435E-2</v>
      </c>
      <c r="L15" s="134">
        <f t="shared" si="5"/>
        <v>8.6588867707536155E-2</v>
      </c>
      <c r="M15" s="136" t="s">
        <v>294</v>
      </c>
      <c r="N15" s="137">
        <f>SUM(S15:Z15)</f>
        <v>2668834</v>
      </c>
      <c r="O15" s="149">
        <f t="shared" si="6"/>
        <v>0</v>
      </c>
      <c r="P15" s="138">
        <f>C15*I15</f>
        <v>37096792.600000001</v>
      </c>
      <c r="Q15" s="123">
        <f t="shared" si="8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1505490.464025514</v>
      </c>
      <c r="E16" s="133">
        <f>SUMIFS('Resultater - Danmark'!J$3:J$504,'Resultater - Danmark'!$F$3:$F$504,$A16)*D7</f>
        <v>1577517.9173522871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3"/>
        <v>5.7835206554718369E-2</v>
      </c>
      <c r="K16" s="134">
        <f t="shared" si="4"/>
        <v>4.4156160403310794E-2</v>
      </c>
      <c r="L16" s="134">
        <f t="shared" si="5"/>
        <v>4.7253790366969639E-2</v>
      </c>
      <c r="M16" s="243" t="s">
        <v>156</v>
      </c>
      <c r="N16" s="244">
        <v>757087</v>
      </c>
      <c r="O16" s="149">
        <f t="shared" si="6"/>
        <v>0</v>
      </c>
      <c r="P16" s="138">
        <f t="shared" si="7"/>
        <v>45425220</v>
      </c>
      <c r="Q16" s="123">
        <f t="shared" si="8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3"/>
        <v>0</v>
      </c>
      <c r="K17" s="134">
        <f t="shared" si="4"/>
        <v>0</v>
      </c>
      <c r="L17" s="134">
        <f t="shared" si="5"/>
        <v>0</v>
      </c>
      <c r="M17" s="123" t="s">
        <v>149</v>
      </c>
      <c r="N17" s="138"/>
      <c r="O17" s="149"/>
      <c r="P17" s="138">
        <f t="shared" si="7"/>
        <v>0</v>
      </c>
      <c r="Q17" s="123">
        <f t="shared" si="8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9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3"/>
        <v>5.5699827755684647E-2</v>
      </c>
      <c r="K18" s="134">
        <f t="shared" si="4"/>
        <v>1.0676003594886088E-2</v>
      </c>
      <c r="L18" s="134">
        <f t="shared" si="5"/>
        <v>1.1076492157917487E-2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3"/>
        <v>7.6059758980185313E-2</v>
      </c>
      <c r="K19" s="134">
        <f t="shared" si="4"/>
        <v>2.1292701761761186E-2</v>
      </c>
      <c r="L19" s="134">
        <f t="shared" si="5"/>
        <v>2.1658075753557944E-2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2083427.3984942678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1854256.1997123621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3"/>
        <v>5.8007317184497744E-3</v>
      </c>
      <c r="K20" s="134">
        <f t="shared" si="4"/>
        <v>2.2271505294690318E-3</v>
      </c>
      <c r="L20" s="134">
        <f t="shared" si="5"/>
        <v>2.2745664428001373E-3</v>
      </c>
      <c r="M20" s="123" t="s">
        <v>146</v>
      </c>
      <c r="N20" s="138">
        <v>75934</v>
      </c>
      <c r="O20" s="149">
        <f t="shared" ref="O20:O28" si="10">N20-C20</f>
        <v>0</v>
      </c>
      <c r="P20" s="138">
        <f t="shared" si="7"/>
        <v>12195000.4</v>
      </c>
      <c r="Q20" s="123">
        <f t="shared" si="8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11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17371.896185037098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56573.790426944033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3"/>
        <v>2.8921919411661239E-4</v>
      </c>
      <c r="K21" s="134">
        <f t="shared" si="4"/>
        <v>1.1104369458437267E-4</v>
      </c>
      <c r="L21" s="134">
        <f t="shared" si="5"/>
        <v>1.1340780878712197E-4</v>
      </c>
      <c r="M21" s="123" t="s">
        <v>157</v>
      </c>
      <c r="N21" s="138">
        <v>3786</v>
      </c>
      <c r="O21" s="149">
        <f t="shared" si="10"/>
        <v>0</v>
      </c>
      <c r="P21" s="138">
        <f t="shared" si="7"/>
        <v>361184.4</v>
      </c>
      <c r="Q21" s="123">
        <f t="shared" si="8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11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22471048.582360644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23131696.69548459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3"/>
        <v>6.5450166123425784E-3</v>
      </c>
      <c r="K22" s="134">
        <f t="shared" si="4"/>
        <v>2.512913529029397E-3</v>
      </c>
      <c r="L22" s="134">
        <f t="shared" si="5"/>
        <v>2.5664133210391575E-3</v>
      </c>
      <c r="M22" s="162" t="s">
        <v>295</v>
      </c>
      <c r="N22" s="163">
        <f>SUM(S22:Z22)</f>
        <v>85677</v>
      </c>
      <c r="O22" s="149">
        <f t="shared" si="10"/>
        <v>0</v>
      </c>
      <c r="P22" s="138">
        <f t="shared" si="7"/>
        <v>4390946.25</v>
      </c>
      <c r="Q22" s="123">
        <f t="shared" si="8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11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945982.65677317698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1067115.4749669973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3"/>
        <v>2.5211266180012976E-2</v>
      </c>
      <c r="K23" s="134">
        <f t="shared" si="4"/>
        <v>9.6796900023513391E-3</v>
      </c>
      <c r="L23" s="134">
        <f t="shared" si="5"/>
        <v>9.8857700746906273E-3</v>
      </c>
      <c r="M23" s="123" t="s">
        <v>147</v>
      </c>
      <c r="N23" s="138">
        <v>330026</v>
      </c>
      <c r="O23" s="149">
        <f t="shared" si="10"/>
        <v>0</v>
      </c>
      <c r="P23" s="138">
        <f t="shared" si="7"/>
        <v>33002600</v>
      </c>
      <c r="Q23" s="123">
        <f t="shared" si="8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11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4395047.4696619669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4413356.1037832759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3"/>
        <v>2.1882418952642265E-3</v>
      </c>
      <c r="K24" s="134">
        <f t="shared" si="4"/>
        <v>8.4016023015566694E-4</v>
      </c>
      <c r="L24" s="134">
        <f t="shared" si="5"/>
        <v>8.5804719564371609E-4</v>
      </c>
      <c r="M24" s="123" t="s">
        <v>148</v>
      </c>
      <c r="N24" s="138">
        <v>28645</v>
      </c>
      <c r="O24" s="149">
        <f t="shared" si="10"/>
        <v>0</v>
      </c>
      <c r="P24" s="138">
        <f t="shared" si="7"/>
        <v>2165562</v>
      </c>
      <c r="Q24" s="123">
        <f t="shared" si="8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11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3"/>
        <v>5.9585570895657067E-6</v>
      </c>
      <c r="K25" s="134">
        <f t="shared" si="4"/>
        <v>2.2877464811360454E-6</v>
      </c>
      <c r="L25" s="134">
        <f t="shared" si="5"/>
        <v>2.3364524789739869E-6</v>
      </c>
      <c r="M25" s="123" t="s">
        <v>163</v>
      </c>
      <c r="N25" s="138">
        <v>78</v>
      </c>
      <c r="O25" s="149">
        <f t="shared" si="10"/>
        <v>0</v>
      </c>
      <c r="P25" s="138">
        <f t="shared" si="7"/>
        <v>3689.3999999999996</v>
      </c>
      <c r="Q25" s="123">
        <f t="shared" si="8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11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3"/>
        <v>1.090431225742036E-2</v>
      </c>
      <c r="K26" s="134">
        <f t="shared" si="4"/>
        <v>4.1866347206451458E-3</v>
      </c>
      <c r="L26" s="134">
        <f t="shared" si="5"/>
        <v>4.2757679455603182E-3</v>
      </c>
      <c r="M26" s="123" t="s">
        <v>161</v>
      </c>
      <c r="N26" s="123">
        <v>142742</v>
      </c>
      <c r="O26" s="149">
        <f t="shared" si="10"/>
        <v>0</v>
      </c>
      <c r="P26" s="138">
        <f t="shared" si="7"/>
        <v>60431253.120000005</v>
      </c>
      <c r="Q26" s="123">
        <f t="shared" si="8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11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3"/>
        <v>0</v>
      </c>
      <c r="K27" s="134">
        <f t="shared" si="4"/>
        <v>0</v>
      </c>
      <c r="L27" s="134">
        <f t="shared" si="5"/>
        <v>0</v>
      </c>
      <c r="M27" s="123" t="s">
        <v>149</v>
      </c>
      <c r="O27" s="149">
        <f t="shared" si="10"/>
        <v>0</v>
      </c>
      <c r="P27" s="138">
        <f t="shared" si="7"/>
        <v>0</v>
      </c>
      <c r="Q27" s="123">
        <f t="shared" si="8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11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3"/>
        <v>0</v>
      </c>
      <c r="K28" s="140">
        <f t="shared" si="4"/>
        <v>0</v>
      </c>
      <c r="L28" s="140">
        <f t="shared" si="5"/>
        <v>0</v>
      </c>
      <c r="M28" s="123" t="s">
        <v>149</v>
      </c>
      <c r="O28" s="149">
        <f t="shared" si="10"/>
        <v>0</v>
      </c>
      <c r="P28" s="138">
        <f t="shared" si="7"/>
        <v>0</v>
      </c>
      <c r="Q28" s="123">
        <f t="shared" si="8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34094686.908344358</v>
      </c>
      <c r="E29" s="142">
        <f>SUM(E12:E28)</f>
        <v>33383944.549239181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0.99999999999999978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9.022786716436948E-2</v>
      </c>
      <c r="E30" s="146">
        <f>SUMPRODUCT(E12:E28,$H$12:$H$28)/E29</f>
        <v>9.1479399204206266E-2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1.3143807456120777E-2</v>
      </c>
      <c r="E31" s="146">
        <f>SUM(E21:E24)/E29</f>
        <v>1.3423638400160623E-2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713456580.64466953</v>
      </c>
      <c r="E32" s="123">
        <f>SUMPRODUCT(E12:E28,$I$12:$I$28)</f>
        <v>708315568.79658866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25.613091245143639</v>
      </c>
      <c r="E33" s="123">
        <f>E32*[1]Energiindhold!$C$10</f>
        <v>25.428528919797536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2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13567349.858292963</v>
      </c>
      <c r="E39" s="130">
        <f>SUMIFS('Resultater - Vestdanmark'!J$3:J$504,'Resultater - Vestdanmark'!$F$3:$F$504,$A39)*D3</f>
        <v>12989062.590821605</v>
      </c>
      <c r="F39" s="131">
        <f>VLOOKUP(A39,[1]Biogasudbytte!$A$2:$C$18,3,FALSE)</f>
        <v>0.05</v>
      </c>
      <c r="G39" s="132">
        <f t="shared" ref="G39:G55" si="13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1965869.8542385614</v>
      </c>
      <c r="M39" s="130">
        <f>SUMIFS('Resultater - Østdanmark'!J$3:J$504,'Resultater - Østdanmark'!$F$3:$F$504,$A39)*D3</f>
        <v>1882077.6974735428</v>
      </c>
      <c r="N39" s="131">
        <f>VLOOKUP(I39,[1]Biogasudbytte!$A$2:$C$18,3,FALSE)</f>
        <v>0.05</v>
      </c>
      <c r="O39" s="132">
        <f t="shared" ref="O39:O55" si="14">I12</f>
        <v>12</v>
      </c>
    </row>
    <row r="40" spans="1:15" hidden="1" x14ac:dyDescent="0.2">
      <c r="A40" s="124" t="str">
        <f t="shared" si="12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11685147.040202204</v>
      </c>
      <c r="E40" s="133">
        <f>SUMIFS('Resultater - Vestdanmark'!J$3:J$504,'Resultater - Vestdanmark'!$F$3:$F$504,$A40)*D4</f>
        <v>11461865.852294842</v>
      </c>
      <c r="F40" s="134">
        <f>VLOOKUP(A40,[1]Biogasudbytte!$A$2:$C$18,3,FALSE)</f>
        <v>7.5999999999999998E-2</v>
      </c>
      <c r="G40" s="135">
        <f t="shared" si="13"/>
        <v>14.1</v>
      </c>
      <c r="I40" s="124" t="str">
        <f t="shared" ref="I40:I55" si="15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830510.25539958803</v>
      </c>
      <c r="M40" s="133">
        <f>SUMIFS('Resultater - Østdanmark'!J$3:J$504,'Resultater - Østdanmark'!$F$3:$F$504,$A40)*D4</f>
        <v>814640.76605924184</v>
      </c>
      <c r="N40" s="134">
        <f>VLOOKUP(I40,[1]Biogasudbytte!$A$2:$C$18,3,FALSE)</f>
        <v>7.5999999999999998E-2</v>
      </c>
      <c r="O40" s="135">
        <f t="shared" si="14"/>
        <v>14.1</v>
      </c>
    </row>
    <row r="41" spans="1:15" hidden="1" x14ac:dyDescent="0.2">
      <c r="A41" s="124" t="str">
        <f t="shared" si="12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7508.4535219909349</v>
      </c>
      <c r="E41" s="133">
        <f>SUMIFS('Resultater - Vestdanmark'!J$3:J$504,'Resultater - Vestdanmark'!$F$3:$F$504,$A41)*D5</f>
        <v>7753.9785502341792</v>
      </c>
      <c r="F41" s="134">
        <f>VLOOKUP(A41,[1]Biogasudbytte!$A$2:$C$18,3,FALSE)</f>
        <v>6.3E-2</v>
      </c>
      <c r="G41" s="135">
        <f t="shared" si="13"/>
        <v>13.1</v>
      </c>
      <c r="I41" s="124" t="str">
        <f t="shared" si="15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630.18173263756921</v>
      </c>
      <c r="M41" s="133">
        <f>SUMIFS('Resultater - Østdanmark'!J$3:J$504,'Resultater - Østdanmark'!$F$3:$F$504,$A41)*D5</f>
        <v>650.78855763169781</v>
      </c>
      <c r="N41" s="134">
        <f>VLOOKUP(I41,[1]Biogasudbytte!$A$2:$C$18,3,FALSE)</f>
        <v>6.3E-2</v>
      </c>
      <c r="O41" s="135">
        <f t="shared" si="14"/>
        <v>13.1</v>
      </c>
    </row>
    <row r="42" spans="1:15" hidden="1" x14ac:dyDescent="0.2">
      <c r="A42" s="124" t="str">
        <f t="shared" si="12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1507101.1523820646</v>
      </c>
      <c r="E42" s="133">
        <f>SUMIFS('Resultater - Vestdanmark'!J$3:J$504,'Resultater - Vestdanmark'!$F$3:$F$504,$A42)*D6</f>
        <v>1563200.2483061554</v>
      </c>
      <c r="F42" s="134">
        <f>VLOOKUP(A42,[1]Biogasudbytte!$A$2:$C$18,3,FALSE)</f>
        <v>0.06</v>
      </c>
      <c r="G42" s="135">
        <f t="shared" si="13"/>
        <v>13.9</v>
      </c>
      <c r="I42" s="124" t="str">
        <f t="shared" si="15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1268228.6485488336</v>
      </c>
      <c r="M42" s="133">
        <f>SUMIFS('Resultater - Østdanmark'!J$3:J$504,'Resultater - Østdanmark'!$F$3:$F$504,$A42)*D6</f>
        <v>1327477.7098236387</v>
      </c>
      <c r="N42" s="134">
        <f>VLOOKUP(I42,[1]Biogasudbytte!$A$2:$C$18,3,FALSE)</f>
        <v>0.06</v>
      </c>
      <c r="O42" s="135">
        <f t="shared" si="14"/>
        <v>13.9</v>
      </c>
    </row>
    <row r="43" spans="1:15" hidden="1" x14ac:dyDescent="0.2">
      <c r="A43" s="124" t="str">
        <f t="shared" si="12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1326462.9092294232</v>
      </c>
      <c r="E43" s="133">
        <f>SUMIFS('Resultater - Vestdanmark'!J$3:J$504,'Resultater - Vestdanmark'!$F$3:$F$504,$A43)*D7</f>
        <v>1388988.8638442878</v>
      </c>
      <c r="F43" s="134">
        <f>VLOOKUP(A43,[1]Biogasudbytte!$A$2:$C$18,3,FALSE)</f>
        <v>0.3</v>
      </c>
      <c r="G43" s="135">
        <f t="shared" si="13"/>
        <v>60</v>
      </c>
      <c r="I43" s="124" t="str">
        <f t="shared" si="15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179027.55479609076</v>
      </c>
      <c r="M43" s="133">
        <f>SUMIFS('Resultater - Østdanmark'!J$3:J$504,'Resultater - Østdanmark'!$F$3:$F$504,$A43)*D7</f>
        <v>188529.05350799995</v>
      </c>
      <c r="N43" s="134">
        <f>VLOOKUP(I43,[1]Biogasudbytte!$A$2:$C$18,3,FALSE)</f>
        <v>0.3</v>
      </c>
      <c r="O43" s="135">
        <f t="shared" si="14"/>
        <v>60</v>
      </c>
    </row>
    <row r="44" spans="1:15" hidden="1" x14ac:dyDescent="0.2">
      <c r="A44" s="125" t="str">
        <f t="shared" si="12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3"/>
        <v>15.822453396634783</v>
      </c>
      <c r="I44" s="125" t="str">
        <f t="shared" si="15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4"/>
        <v>15.822453396634783</v>
      </c>
    </row>
    <row r="45" spans="1:15" hidden="1" x14ac:dyDescent="0.2">
      <c r="A45" s="124" t="str">
        <f t="shared" si="12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3"/>
        <v>94.9</v>
      </c>
      <c r="I45" s="124" t="str">
        <f t="shared" si="15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4"/>
        <v>94.9</v>
      </c>
    </row>
    <row r="46" spans="1:15" hidden="1" x14ac:dyDescent="0.2">
      <c r="A46" s="124" t="str">
        <f t="shared" si="12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523057.13098607323</v>
      </c>
      <c r="E46" s="133">
        <f>SUMIFS('Resultater - Vestdanmark'!J$3:J$504,'Resultater - Vestdanmark'!$F$3:$F$504,$A46)/SUMIFS('Resultater - Danmark'!J$3:J$504,'Resultater - Danmark'!$F$3:$F$504,$A46)*E19</f>
        <v>519697.15308066551</v>
      </c>
      <c r="F46" s="134">
        <f>VLOOKUP(A46,[1]Biogasudbytte!$A$2:$C$18,3,FALSE)</f>
        <v>0.42</v>
      </c>
      <c r="G46" s="135">
        <f t="shared" si="13"/>
        <v>102.595</v>
      </c>
      <c r="I46" s="124" t="str">
        <f t="shared" si="15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202910.8690139266</v>
      </c>
      <c r="M46" s="133">
        <f>SUMIFS('Resultater - Østdanmark'!J$3:J$504,'Resultater - Østdanmark'!$F$3:$F$504,$A46)/SUMIFS('Resultater - Danmark'!J$3:J$504,'Resultater - Danmark'!$F$3:$F$504,$A46)*E19</f>
        <v>203334.8469193347</v>
      </c>
      <c r="N46" s="134">
        <f>VLOOKUP(I46,[1]Biogasudbytte!$A$2:$C$18,3,FALSE)</f>
        <v>0.42</v>
      </c>
      <c r="O46" s="135">
        <f t="shared" si="14"/>
        <v>102.595</v>
      </c>
    </row>
    <row r="47" spans="1:15" hidden="1" x14ac:dyDescent="0.2">
      <c r="A47" s="124" t="str">
        <f t="shared" si="12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56395.5240148628</v>
      </c>
      <c r="E47" s="133">
        <f>SUMIFS('Resultater - Vestdanmark'!J$3:J$504,'Resultater - Vestdanmark'!$F$3:$F$504,$A47)/SUMIFS('Resultater - Danmark'!J$3:J$504,'Resultater - Danmark'!$F$3:$F$504,$A47)*E20</f>
        <v>55765.563352610865</v>
      </c>
      <c r="F47" s="134">
        <f>VLOOKUP(A47,[1]Biogasudbytte!$A$2:$C$18,3,FALSE)</f>
        <v>0.85</v>
      </c>
      <c r="G47" s="135">
        <f t="shared" si="13"/>
        <v>160.6</v>
      </c>
      <c r="I47" s="124" t="str">
        <f t="shared" si="15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19538.475985137196</v>
      </c>
      <c r="M47" s="133">
        <f>SUMIFS('Resultater - Østdanmark'!J$3:J$504,'Resultater - Østdanmark'!$F$3:$F$504,$A47)/SUMIFS('Resultater - Danmark'!J$3:J$504,'Resultater - Danmark'!$F$3:$F$504,$A47)*E20</f>
        <v>20168.436647389117</v>
      </c>
      <c r="N47" s="134">
        <f>VLOOKUP(I47,[1]Biogasudbytte!$A$2:$C$18,3,FALSE)</f>
        <v>0.85</v>
      </c>
      <c r="O47" s="135">
        <f t="shared" si="14"/>
        <v>160.6</v>
      </c>
    </row>
    <row r="48" spans="1:15" hidden="1" x14ac:dyDescent="0.2">
      <c r="A48" s="124" t="str">
        <f t="shared" si="12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2922.545553110308</v>
      </c>
      <c r="E48" s="133">
        <f>SUMIFS('Resultater - Vestdanmark'!J$3:J$504,'Resultater - Vestdanmark'!$F$3:$F$504,$A48)/SUMIFS('Resultater - Danmark'!J$3:J$504,'Resultater - Danmark'!$F$3:$F$504,$A48)*E21</f>
        <v>2904.8671673179329</v>
      </c>
      <c r="F48" s="134">
        <f>VLOOKUP(A48,[1]Biogasudbytte!$A$2:$C$18,3,FALSE)</f>
        <v>0.31</v>
      </c>
      <c r="G48" s="135">
        <f t="shared" si="13"/>
        <v>95.4</v>
      </c>
      <c r="I48" s="124" t="str">
        <f t="shared" si="15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863.45444688969167</v>
      </c>
      <c r="M48" s="133">
        <f>SUMIFS('Resultater - Østdanmark'!J$3:J$504,'Resultater - Østdanmark'!$F$3:$F$504,$A48)/SUMIFS('Resultater - Danmark'!J$3:J$504,'Resultater - Danmark'!$F$3:$F$504,$A48)*E21</f>
        <v>881.1328326820676</v>
      </c>
      <c r="N48" s="134">
        <f>VLOOKUP(I48,[1]Biogasudbytte!$A$2:$C$18,3,FALSE)</f>
        <v>0.31</v>
      </c>
      <c r="O48" s="135">
        <f t="shared" si="14"/>
        <v>95.4</v>
      </c>
    </row>
    <row r="49" spans="1:15" hidden="1" x14ac:dyDescent="0.2">
      <c r="A49" s="124" t="str">
        <f t="shared" si="12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67038.95730919046</v>
      </c>
      <c r="E49" s="133">
        <f>SUMIFS('Resultater - Vestdanmark'!J$3:J$504,'Resultater - Vestdanmark'!$F$3:$F$504,$A49)/SUMIFS('Resultater - Danmark'!J$3:J$504,'Resultater - Danmark'!$F$3:$F$504,$A49)*E22</f>
        <v>66710.304652357008</v>
      </c>
      <c r="F49" s="134">
        <f>VLOOKUP(A49,[1]Biogasudbytte!$A$2:$C$18,3,FALSE)</f>
        <v>0.28000000000000003</v>
      </c>
      <c r="G49" s="135">
        <f t="shared" si="13"/>
        <v>51.25</v>
      </c>
      <c r="I49" s="124" t="str">
        <f t="shared" si="15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18638.04269080954</v>
      </c>
      <c r="M49" s="133">
        <f>SUMIFS('Resultater - Østdanmark'!J$3:J$504,'Resultater - Østdanmark'!$F$3:$F$504,$A49)/SUMIFS('Resultater - Danmark'!J$3:J$504,'Resultater - Danmark'!$F$3:$F$504,$A49)*E22</f>
        <v>18966.695347643046</v>
      </c>
      <c r="N49" s="134">
        <f>VLOOKUP(I49,[1]Biogasudbytte!$A$2:$C$18,3,FALSE)</f>
        <v>0.28000000000000003</v>
      </c>
      <c r="O49" s="135">
        <f t="shared" si="14"/>
        <v>51.25</v>
      </c>
    </row>
    <row r="50" spans="1:15" hidden="1" x14ac:dyDescent="0.2">
      <c r="A50" s="124" t="str">
        <f t="shared" si="12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256198.86995640022</v>
      </c>
      <c r="E50" s="133">
        <f>SUMIFS('Resultater - Vestdanmark'!J$3:J$504,'Resultater - Vestdanmark'!$F$3:$F$504,$A50)/SUMIFS('Resultater - Danmark'!J$3:J$504,'Resultater - Danmark'!$F$3:$F$504,$A50)*E23</f>
        <v>254724.42475046791</v>
      </c>
      <c r="F50" s="134">
        <f>VLOOKUP(A50,[1]Biogasudbytte!$A$2:$C$18,3,FALSE)</f>
        <v>0.3</v>
      </c>
      <c r="G50" s="135">
        <f t="shared" si="13"/>
        <v>100</v>
      </c>
      <c r="I50" s="124" t="str">
        <f t="shared" si="15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73827.130043599784</v>
      </c>
      <c r="M50" s="133">
        <f>SUMIFS('Resultater - Østdanmark'!J$3:J$504,'Resultater - Østdanmark'!$F$3:$F$504,$A50)/SUMIFS('Resultater - Danmark'!J$3:J$504,'Resultater - Danmark'!$F$3:$F$504,$A50)*E23</f>
        <v>75301.575249532107</v>
      </c>
      <c r="N50" s="134">
        <f>VLOOKUP(I50,[1]Biogasudbytte!$A$2:$C$18,3,FALSE)</f>
        <v>0.3</v>
      </c>
      <c r="O50" s="135">
        <f t="shared" si="14"/>
        <v>100</v>
      </c>
    </row>
    <row r="51" spans="1:15" hidden="1" x14ac:dyDescent="0.2">
      <c r="A51" s="124" t="str">
        <f t="shared" si="12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22018.622466809651</v>
      </c>
      <c r="E51" s="133">
        <f>SUMIFS('Resultater - Vestdanmark'!J$3:J$504,'Resultater - Vestdanmark'!$F$3:$F$504,$A51)/SUMIFS('Resultater - Danmark'!J$3:J$504,'Resultater - Danmark'!$F$3:$F$504,$A51)*E24</f>
        <v>21875.621442119991</v>
      </c>
      <c r="F51" s="134">
        <f>VLOOKUP(A51,[1]Biogasudbytte!$A$2:$C$18,3,FALSE)</f>
        <v>0.2</v>
      </c>
      <c r="G51" s="135">
        <f t="shared" si="13"/>
        <v>75.599999999999994</v>
      </c>
      <c r="I51" s="124" t="str">
        <f t="shared" si="15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6626.3775331903453</v>
      </c>
      <c r="M51" s="133">
        <f>SUMIFS('Resultater - Østdanmark'!J$3:J$504,'Resultater - Østdanmark'!$F$3:$F$504,$A51)/SUMIFS('Resultater - Danmark'!J$3:J$504,'Resultater - Danmark'!$F$3:$F$504,$A51)*E24</f>
        <v>6769.3785578800062</v>
      </c>
      <c r="N51" s="134">
        <f>VLOOKUP(I51,[1]Biogasudbytte!$A$2:$C$18,3,FALSE)</f>
        <v>0.2</v>
      </c>
      <c r="O51" s="135">
        <f t="shared" si="14"/>
        <v>75.599999999999994</v>
      </c>
    </row>
    <row r="52" spans="1:15" hidden="1" x14ac:dyDescent="0.2">
      <c r="A52" s="124" t="str">
        <f t="shared" si="12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3"/>
        <v>47.3</v>
      </c>
      <c r="I52" s="124" t="str">
        <f t="shared" si="15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4"/>
        <v>47.3</v>
      </c>
    </row>
    <row r="53" spans="1:15" hidden="1" x14ac:dyDescent="0.2">
      <c r="A53" s="125" t="str">
        <f t="shared" si="12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3"/>
        <v>423.36</v>
      </c>
      <c r="I53" s="125" t="str">
        <f t="shared" si="15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4"/>
        <v>423.36</v>
      </c>
    </row>
    <row r="54" spans="1:15" hidden="1" x14ac:dyDescent="0.2">
      <c r="A54" s="124" t="str">
        <f t="shared" si="12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3"/>
        <v>25</v>
      </c>
      <c r="I54" s="124" t="str">
        <f t="shared" si="15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4"/>
        <v>25</v>
      </c>
    </row>
    <row r="55" spans="1:15" ht="12.75" hidden="1" thickBot="1" x14ac:dyDescent="0.25">
      <c r="A55" s="139" t="str">
        <f t="shared" si="12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3"/>
        <v>25</v>
      </c>
      <c r="I55" s="139" t="str">
        <f t="shared" si="15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4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29330518.7089555</v>
      </c>
      <c r="E56" s="142">
        <f ca="1">SUM(E39:E55)</f>
        <v>28644268.95872378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4764168.1993888598</v>
      </c>
      <c r="M56" s="142">
        <f ca="1">SUM(M39:M55)</f>
        <v>4739675.5905154031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8.800549863545945E-2</v>
      </c>
      <c r="E57" s="146">
        <f ca="1">SUMPRODUCT(E39:E55,$F$39:$F$55)/E56</f>
        <v>8.9220633074897651E-2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0.10390984038348275</v>
      </c>
      <c r="M57" s="146">
        <f ca="1">SUMPRODUCT(M39:M55,$N$39:$N$55)/M56</f>
        <v>0.10513027114410127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1.1870877523185466E-2</v>
      </c>
      <c r="E58" s="146">
        <f ca="1">SUM(E48:E51)/E56</f>
        <v>1.2086718586225988E-2</v>
      </c>
      <c r="I58" s="145" t="s">
        <v>160</v>
      </c>
      <c r="K58" s="146">
        <f ca="1">SUM(K48:K51)/K56</f>
        <v>1.898804560837036E-2</v>
      </c>
      <c r="L58" s="146">
        <f ca="1">SUM(L48:L51)/L56</f>
        <v>2.0980578462219582E-2</v>
      </c>
      <c r="M58" s="146">
        <f ca="1">SUM(M48:M51)/M56</f>
        <v>2.1503324445176709E-2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588783117.15581906</v>
      </c>
      <c r="E59" s="123">
        <f ca="1">SUMPRODUCT(E39:E55,$I$12:$I$28)</f>
        <v>582835224.4318006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124673463.48885044</v>
      </c>
      <c r="M59" s="123">
        <f ca="1">SUMPRODUCT(M39:M55,$I$12:$I$28)</f>
        <v>125480344.36478817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21.137313905893908</v>
      </c>
      <c r="E60" s="123">
        <f ca="1">E59*[1]Energiindhold!$C$10</f>
        <v>20.923784557101644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4.4757773392497313</v>
      </c>
      <c r="M60" s="123">
        <f ca="1">M59*[1]Energiindhold!$C$10</f>
        <v>4.5047443626958961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626883.0692116532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565604.28432456835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48240.728267248036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43525.122829055959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70593.939138620815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63693.272932644599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390893.45805628493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352683.02088476752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8107.6700316972328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7315.1328071193957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34101.613418011875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30768.128218654325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52119.510438661928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47024.748073158291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105524.55030616655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95209.363094857908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3161.7072804056943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2852.6455273812289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27983.408918054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25247.987625446389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62909.407824974456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56759.916382609546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11815.471108305517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10660.490621600164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4543.567209346289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4099.4265213680974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110217.685427045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99443.737034197344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11922.834521505016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11371.489572533685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1022.0754868257757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974.81188049857212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1094.4210545362032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1043.8119884304829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10099.70379845663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9632.665472516439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47.236694555604771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45.052338738004543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745.74497398137646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711.25965726547463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19.564857598470493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18.660124299119257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2525.5291048375989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2408.741631781525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43.024559384581636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41.034984384138554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760.92811477857106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725.74068750557353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1878.1949843406051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1791.3420370878605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215.79157245738358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205.81277141889186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354.40933333477273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338.02046242911848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39110.220617481486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37301.655502222224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6568.2132942811186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6264.4808876091583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378.19261338172629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360.7039376184095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489.74230890359979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467.09526571730612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11295.003626335274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10772.691319915146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13.128323987624659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12.5212338610293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694.88603847076718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662.7525800443733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7.5145411853341644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7.1670479513302716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934.50676064688525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891.29257518344548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26.780123981156589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25.541736745033738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473.63063203897667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451.72863749382168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1506.9343192300419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1437.2494952194038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134.31689126300301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128.10570553985832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317.05822466486404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302.39657265724026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30276.156716444439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28876.103226666663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97837.242015691561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119976.66637187812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7528.8997873739718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9232.6018122239911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11017.551195044869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13510.694258439762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61006.493453871066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74811.549884647669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1265.3589066810709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1551.6948378738111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5322.2171230423164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6526.5726524418269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8134.2588545888566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9974.9465609729705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16469.14946974854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20195.925504969862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493.44564491880783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605.1066270202607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4367.3528369217229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5355.6337387310523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9818.2312790422566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12039.982262977783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1844.0330631459478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2261.3161924606407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709.11164538930529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869.57532271444495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17201.604083989681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21094.126037557013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1860.7892027782393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2412.1341517495694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159.51467135431182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206.77827768151528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170.80559810680631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221.41466421252667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1576.2543500481449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2043.2926759883358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7.3722008844007449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9.5565567020009645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116.3879439161686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150.87326063207038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3.0534748853104241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3.9582081846616606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394.15772156424953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510.94519462032349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6.7148156264954011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8.7043906269384816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118.75756704636659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153.9449943193641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293.12869697801352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379.98164423075826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33.678453504909584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43.657254543401301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55.312439306583023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71.701310212237246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6103.9072640000013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7912.4723792592595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1025.0968725178625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1328.8292791898216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59.024280701194286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76.512956464511106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76.433770753741015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99.080813940034645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1762.8040341679332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2285.1163405880611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2.0489291772593399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2.6560193038547002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108.45042218907928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140.58388061547313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1.1727896647631355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1.5202828987670274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145.84787593910929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189.06206140254903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4.179556921914612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5.4179441580374599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73.919231589898089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95.821226135053067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235.18628103590248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304.87110504654026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20.962751815613185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27.173937538757826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49.483075525730229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64.144727533353986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4725.1805279999999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6125.2340177777769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187305.27967177058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173739.65540685106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14413.761582410933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13369.841869022375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21092.637786692238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19564.999059840939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116794.36258371505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108335.50631523239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2422.4763394602992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2247.0279812006529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10189.160550390856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9451.2084550534455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15572.696023432285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14444.840239463545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31529.493103379747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29245.962935659205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944.68090698540937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876.26219365888448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8361.1130863002563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7755.5577129332478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18796.590313821274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17435.243307982681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3530.3236426180865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3274.6392104801239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1357.5643826596311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1259.2424967903694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32931.746616876299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30546.657943588849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2375.5987604442375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2265.7444825046196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64.239987833704873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61.269352558157827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259.47534600330442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247.47648607251574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762.96623833418812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727.68456257306946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14.449754284656063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13.781557554729771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24.565904760198027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23.429909164350718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68.631969490483968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65.45823679728241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73.172270559585186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69.788581747581247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15.784762928163095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15.054831694490812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112.71086310178345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107.49880006817496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818.27552117261337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780.43619071376429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24.7346336830864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23.590835593695122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52.496130811402679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50.06856406867886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5939.9481825185194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5665.2684977777781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1427.1048367650103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1361.1115495157612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25.920929852399002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24.722274136681126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126.61767705687262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120.76252436060103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930.46087280069128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887.43378041684423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4.3793061312021848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4.1767948650194251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24.96152253063563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23.807232471415485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28.745329849000054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27.416066040953808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29.525119108453932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28.159795681473401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10.713941541908843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10.218499158467973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76.502738996228061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72.965040083107695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715.92621229665679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682.81979785519286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16.788685427026323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16.012330031556893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51.212529273544646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48.844319827369169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4598.2558835555546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4385.6197733333329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29232.61590253067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36853.866298422952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2249.5466053473715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2836.0270631259582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3291.9145678652631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4150.1513157238351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18228.021906128943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22980.258915352326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378.0743419966941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476.64229904256274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1590.2158084425039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2004.8017934961854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2430.4207666628422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3064.0570204922674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4920.7879409899033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6203.6891075640742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147.43574848905234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185.87379865491488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1304.9136030642019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1645.1183027434163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2933.5718986888692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3698.3849441175385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550.97536618894992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694.6204385866929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211.87421001046266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267.11204477371473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5139.6367552350293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6479.5941092461198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370.75818804621053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480.61246598582835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10.025894054971282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12.996529330518326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40.49615226641167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52.49501219720031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119.07565569377503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154.35733145489354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2.2551639635012357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2.9233606934275271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3.8339851359846633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4.9699807318319706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10.711347839555303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13.885080532756874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11.419949740513296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14.803638552517233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2.4635179136439516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3.1934491473162328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17.590712738428632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22.802775772037112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127.70774029861599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165.54707075746515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3.860318551695566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5.0041166410868438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8.1930377566929042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10.620604499416729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927.04393600000026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1201.7236207407409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222.72734446621553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288.72063171546455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4.0454630405478218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5.2441187562656939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19.761140349916538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25.616293046188098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145.21643679548362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188.24352917933061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0.68347552336681505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0.88598678954957488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3.8957289498679888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5.0500190090881336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4.486265352156078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5.8155291602023231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4.6079665660592841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5.9732899930398125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1.6721180441129408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2.1675604275538123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11.939733831781261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15.47743274490163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111.73414873994066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144.84056318140455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2.6201994597093101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3.3965548551787355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7.9927068808422277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10.3609163270177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717.64687200000003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930.28298222222213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69790.927092835627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69582.668854213465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7026.2179038229688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68857.677082357332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68078.851399946827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6804.8191219880782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13580.575614963827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13341.351734677091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1373.0001554990661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13298.387163922296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13247.278233374929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1329.736401649187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13567349.858292963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11685147.040202204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7508.4535219909349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56395.5240148628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2922.545553110308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67038.95730919046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256198.86995640022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22018.622466809651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12989062.590821605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11461865.852294842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7753.9785502341792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55765.563352610865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2904.8671673179329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66710.304652357008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254724.42475046791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21875.621442119991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1965869.8542385614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830510.25539958803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630.18173263756921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19538.475985137196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863.45444688969167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18638.04269080954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73827.130043599784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6626.3775331903453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1882077.6974735428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814640.76605924184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650.78855763169781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20168.436647389117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881.1328326820676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18966.695347643046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75301.575249532107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6769.3785578800062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5718311.2555674212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1792000.0223123315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5718311.2555674212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1792000.0223123315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701872.07302810857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219952.13522212644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701872.07302810845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219952.13522212638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1418895.3547152993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118975.23871053761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154113.19774513159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2216108.0610893057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613643.91300757031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664532.04377896735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35370.36927383874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42488.00877346145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647463.53775021608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178867.25625835601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1226107.8204227071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118611.40079884419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154949.74904422625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2264707.1819447498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706150.80367053335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628148.3792896556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36218.254030130476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43629.687083109289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636114.09576760326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191083.2231889611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1507483.3175881065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1298349.6711335778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834.27261355454812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24536460.551041305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513284.74461432674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1443229.1767579557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1273540.6502549821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861.55317224824194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23799312.978394996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435280.77140187437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218429.98380428454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92278.917266620876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70.020192515285444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3985467.3639692026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319547.2882527773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209119.74416372692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90515.640673249072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72.309839736855295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3937996.2168795727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301568.11342159985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371797.62097043003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370660.6274963881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110532.40398074606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113182.04384415773</v>
      </c>
      <c r="G397" s="168">
        <v>1</v>
      </c>
    </row>
    <row r="398" spans="1:7" x14ac:dyDescent="0.25">
      <c r="A398" t="s">
        <v>313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313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313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313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313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313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309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310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309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310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309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310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309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310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309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310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309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310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829481.4175577889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2248376.7722730883</v>
      </c>
      <c r="F14">
        <f>E14-D14</f>
        <v>1418895.3547152993</v>
      </c>
      <c r="G14">
        <f t="shared" si="3"/>
        <v>1418895.3547152993</v>
      </c>
      <c r="H14">
        <f t="shared" si="1"/>
        <v>664532.04377896735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118975.23871053761</v>
      </c>
      <c r="F15">
        <f t="shared" si="2"/>
        <v>118975.23871053761</v>
      </c>
      <c r="G15">
        <f t="shared" si="3"/>
        <v>118975.23871053761</v>
      </c>
      <c r="H15">
        <f t="shared" si="1"/>
        <v>35370.36927383874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154113.19774513159</v>
      </c>
      <c r="F16">
        <f t="shared" si="2"/>
        <v>154113.19774513159</v>
      </c>
      <c r="G16">
        <f t="shared" si="3"/>
        <v>154113.19774513159</v>
      </c>
      <c r="H16">
        <f t="shared" si="1"/>
        <v>42488.00877346145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2216108.0610893057</v>
      </c>
      <c r="F17">
        <f t="shared" ca="1" si="2"/>
        <v>2216108.0610893057</v>
      </c>
      <c r="G17">
        <f t="shared" ca="1" si="3"/>
        <v>2216108.0610893057</v>
      </c>
      <c r="H17">
        <f t="shared" ca="1" si="1"/>
        <v>647463.53775021608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114427.92401954976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778959.96779851709</v>
      </c>
      <c r="F20">
        <f t="shared" si="2"/>
        <v>664532.04377896735</v>
      </c>
      <c r="G20">
        <f t="shared" si="3"/>
        <v>664532.04377896735</v>
      </c>
      <c r="H20">
        <f t="shared" si="1"/>
        <v>1418895.3547152993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35370.36927383874</v>
      </c>
      <c r="F21">
        <f t="shared" si="2"/>
        <v>35370.36927383874</v>
      </c>
      <c r="G21">
        <f t="shared" si="3"/>
        <v>35370.36927383874</v>
      </c>
      <c r="H21">
        <f t="shared" si="1"/>
        <v>118975.23871053761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42488.00877346145</v>
      </c>
      <c r="F22">
        <f t="shared" si="2"/>
        <v>42488.00877346145</v>
      </c>
      <c r="G22">
        <f t="shared" si="3"/>
        <v>42488.00877346145</v>
      </c>
      <c r="H22">
        <f t="shared" si="1"/>
        <v>154113.19774513159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647463.53775021608</v>
      </c>
      <c r="F23">
        <f t="shared" ca="1" si="2"/>
        <v>647463.53775021608</v>
      </c>
      <c r="G23">
        <f t="shared" ca="1" si="3"/>
        <v>647463.53775021608</v>
      </c>
      <c r="H23">
        <f t="shared" ca="1" si="1"/>
        <v>2216108.0610893057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828851.45689553698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2054959.2773182441</v>
      </c>
      <c r="F26">
        <f t="shared" si="2"/>
        <v>1226107.8204227071</v>
      </c>
      <c r="G26">
        <f t="shared" si="3"/>
        <v>1226107.8204227071</v>
      </c>
      <c r="H26">
        <f t="shared" si="1"/>
        <v>628148.3792896556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118611.40079884419</v>
      </c>
      <c r="F27">
        <f t="shared" si="2"/>
        <v>118611.40079884419</v>
      </c>
      <c r="G27">
        <f t="shared" si="3"/>
        <v>118611.40079884419</v>
      </c>
      <c r="H27">
        <f t="shared" si="1"/>
        <v>36218.254030130476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154949.74904422625</v>
      </c>
      <c r="F28">
        <f t="shared" si="2"/>
        <v>154949.74904422625</v>
      </c>
      <c r="G28">
        <f t="shared" si="3"/>
        <v>154949.74904422625</v>
      </c>
      <c r="H28">
        <f t="shared" si="1"/>
        <v>43629.687083109289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2264707.1819447498</v>
      </c>
      <c r="F29">
        <f t="shared" ca="1" si="2"/>
        <v>2264707.1819447498</v>
      </c>
      <c r="G29">
        <f t="shared" ca="1" si="3"/>
        <v>2264707.1819447498</v>
      </c>
      <c r="H29">
        <f t="shared" ca="1" si="1"/>
        <v>636114.09576760326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115057.88468180166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743206.26397145726</v>
      </c>
      <c r="F32">
        <f t="shared" si="2"/>
        <v>628148.3792896556</v>
      </c>
      <c r="G32">
        <f t="shared" si="3"/>
        <v>628148.3792896556</v>
      </c>
      <c r="H32">
        <f t="shared" si="1"/>
        <v>1226107.8204227071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36218.254030130476</v>
      </c>
      <c r="F33">
        <f t="shared" si="2"/>
        <v>36218.254030130476</v>
      </c>
      <c r="G33">
        <f t="shared" si="3"/>
        <v>36218.254030130476</v>
      </c>
      <c r="H33">
        <f t="shared" si="1"/>
        <v>118611.40079884419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43629.687083109289</v>
      </c>
      <c r="F34">
        <f t="shared" si="2"/>
        <v>43629.687083109289</v>
      </c>
      <c r="G34">
        <f t="shared" si="3"/>
        <v>43629.687083109289</v>
      </c>
      <c r="H34">
        <f t="shared" si="1"/>
        <v>154949.74904422625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636114.09576760326</v>
      </c>
      <c r="F35">
        <f t="shared" ca="1" si="2"/>
        <v>636114.09576760326</v>
      </c>
      <c r="G35">
        <f t="shared" ca="1" si="3"/>
        <v>636114.09576760326</v>
      </c>
      <c r="H35">
        <f t="shared" ca="1" si="1"/>
        <v>2264707.1819447498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4946902.7535971384</v>
      </c>
      <c r="O3" s="168">
        <f>SUMIF($F$3:$F$494,"Roer",J3:J494)</f>
        <v>4928756.7934970316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-872386.5886604453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-869783.36067766836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16043.948800305228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157232.3916991241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4010.9872000763066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39308.097924781017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-112419.4864611675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-1101722.8333177173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-101177.53781505076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-991550.54998594569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164398.76300619225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56907.264117528095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-34039.425699973413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-1036743.6513191902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7553.3878726777893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3776.6939363388956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-85060.239024850976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-47633.733853916543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4710850.737866194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4559618.9380825069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2066411.7099110435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1864416.7847345923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-100301291.07386452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-90496685.491930932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1425340.503538534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1286011.275494416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107516.11564253301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110005.51582677633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47161.876427550407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44980.98040777928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-1549968.4877956521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-1478293.6444293789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190666.32566201297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181849.38574700657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69101.597329520286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70701.557745645696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30311.372157793514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28909.69020830017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-656821.3294281119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-626448.08876091579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268979.46336785512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256541.10668032424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492597.05114450568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648018.57029111986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216077.38631381959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264973.17334561324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-10488152.344082136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-12861498.635065334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222451.98610138975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272790.27055942157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11242.581109672958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15634.117249320638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4931.5511247074382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6392.7514579540866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-162074.73956198466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-210096.88461738752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29757.172213146529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38574.112128152905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7225.7103797168902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10048.191085669041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3169.5533082918196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4108.6802144523581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-68681.49045869679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-89031.56170571805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41979.453820416704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54417.810507947572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179179.17906804945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173427.01428040033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-1621534.0063394466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-1463026.5614238791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18434.363684500666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16632.376260955476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1252.7148420108567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1281.7198757201709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-9211.1554383429302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-8785.2060539108861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755.39478226349593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720.46323163859427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406.18959918492834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415.59440754324561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-2494.3815576486854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-2379.034433595567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537.62711149853294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512.76574218068174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15939.69691246983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20968.902635721126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-144250.91536164208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-176893.21151761446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2877.0394189683116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3528.0798129299492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111.44093305518545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154.97158497343881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-819.42012830114277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-1062.2112774274071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117.89398335904272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152.82553398394424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36.134438910150564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50.249142002956063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-221.89902989718649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-287.646890607464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83.907121447747912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108.76849076559915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20047.051464249664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18095.052643128165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-17152873.605504971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-15482683.397408701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3714.3230574311124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3352.6561937379829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1783.3764279468344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2187.8563650327687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-1525911.7039810494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-1871997.1744139611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579.69203786497133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711.16949564139031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1552605.6813314327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1502762.5925545448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-5115242.0127017815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-4615219.2327981489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77536.646350700204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69957.319828824795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40743.452313594935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41686.815613971165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-89489.396877765175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-85351.158871856955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11925.725699998569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11374.24705491193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44292.262573502201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45317.794103841567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-62539.743462369042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-59647.732203993597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28456.760667687595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27140.841099239613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138119.08344329911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181697.65891795859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-455049.56402011798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-558021.96178377606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12101.095095195988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14839.431478841625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3624.5186769146017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5040.3149787801503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-7960.9353638659313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-10319.731027233613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1861.240427167407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2412.7190722540458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3940.2191965676234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5479.3332871008424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-5563.506658299767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-7211.9530755737715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4441.2285435119375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5757.1481119599184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20792654.992743064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20125151.220747489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-60588485.998724163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-54665868.237138964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888772.25386948918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801893.39809345303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644675.88990952331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659602.54782984662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-1312961.4937993619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-1252246.5114271371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161511.37634705039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154042.64218071281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841135.4863720854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860610.918703645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-1185975.3807652039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-1131132.5885910904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462549.53638532199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441159.9624484285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2531175.2262842143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3329797.7474327669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-7375685.0585730122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-9044716.3810539041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138710.12054610526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170098.59959558098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78479.041858350072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109134.23973184737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-159832.19109488191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-207189.87734521725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25206.977811389374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32675.711977726962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102394.87481500649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142391.98836733034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-144373.65039835373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-187151.02829416221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72189.812037015581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93579.385973909069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199616.27431161102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193208.02023817942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79642.656105363611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71857.463888489583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109684.67214463851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98962.826620537366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5075.1199181353377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5192.6279250397938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2024.8651154693102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1931.2297344071455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16344.718805816716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15588.893658726925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2190.903090270318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2241.6306907233675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874.12382572670776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833.70191471044382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15487.628315249043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14771.437410497643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17757.771454657191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23360.606083343508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7084.9738581592255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8688.2206337901025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17118.417039914682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20992.114737689746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451.48032104105681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627.83592184572046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180.13106431833918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233.50323152377297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2550.9098714280426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3306.735018517832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194.90172577607049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271.03352896927987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77.761651317537755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100.8021405968082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2417.1443035359785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3133.3352082873789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4539817.8372492082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4394076.6833852949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-7036133.90921936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-6348340.989876369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118503.8373204853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106919.90482636278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2045.0128275086083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2092.3625227534208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-2054.3100478394017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-1959.3130514075219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312.87522305811569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298.40700465080397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916.3652335702858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937.5825159065314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-563.59058890006236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-537.5285963497704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307.73319393368655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293.50275721999003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403860.09546396142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531283.8171729492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-625931.21886061237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-767572.13786686992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18494.818541347417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22679.979811652709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181.92339546449412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252.98565047836814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-182.75047188582886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-236.89875985200035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48.830237124677019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63.298455531988722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81.519427425703455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113.36224965051699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-50.136758168624034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-64.992093922290408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48.027723908725648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62.258160622422132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28775.583237010742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27851.804606586629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-442639.01925679721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-399370.37383337202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6214.9501927312467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5607.4292456058729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469.89427420284619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480.7740840414441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-6023.4383138414287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-5744.8978137793974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458.71470245413775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437.50246187822387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341.22676950210916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349.12744539419157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-3749.2173573619225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-3575.8431443047234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763.27890883429325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727.98277432172472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2559.8625781363889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3367.5363751600189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-39376.962464520861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-48287.508836216803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969.96332487713107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1189.4546884618519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41.801577340935289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58.129957434101883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-535.84228699433299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-694.61037202969078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71.591311943709371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92.803552519623253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30.355375622181846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42.212682034024979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-333.52864236878605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-432.35194381138928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119.1244539799186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154.42058849248707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893825.10042160854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865130.7549306656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-3975976.0171068395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-3587318.2417821744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63625.719240021783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57406.207254320063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29165.995490997342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29841.297366581533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-95116.014347321383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-90717.585938196687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12168.529847165804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11605.823264637906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21179.69715121467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21670.086351711365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-51112.639040872898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-48749.048796208255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19395.976886339136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18499.053099687615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79514.267603980086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104602.17309616228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-353700.98788019799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-433739.38741548109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9930.0255461305678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12177.074266067893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2594.5934717135783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3608.0841361412213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-8461.4766520536195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-10968.580845254692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1899.1347160316575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2461.841298559556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1884.1360644924491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2620.1104407069192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-4546.9567331736062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-5894.2031726324512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3027.1177799488823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3924.0415666004023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5035074.3709846521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4873434.0640549446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-16883928.048986647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-15233498.095177265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239930.57566256702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216476.99260065652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144605.89690701207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147954.06424222206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-328318.78362888785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-313136.41213159828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40387.489560752023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38519.859985688352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62425.61979132241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63871.006359478401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-93450.676064688523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-89129.257518344544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38269.635246360129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36499.941130921507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652231.31013737607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858019.754913916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-2187103.0495826057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-2682018.9070599973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37445.812386643418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45919.36206680593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18731.896818995028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26048.882219615454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-42529.618156782519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-55130.986499532897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6303.2498158399112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8170.8793909035894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8086.4632342400892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11245.168089350591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-12105.37370294607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-15692.15109641157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5972.7176396053383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7742.411755043956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332977.4921290467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322287.96103918162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239007.8736955752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215644.48617112165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-12353939.349258643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-11146322.763212806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160509.04179809356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144819.03591366817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6194.5982760436364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6338.0263937498921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4446.419945350749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4240.8051501900209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-158691.05290774946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-151352.73832242002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17501.647013484097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16692.322296097551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3234.0231316910995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3308.9028623413965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2321.3490715109128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2214.00344970694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-56320.365523913977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-53715.955557490204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20055.777353046869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19128.342562154525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28582.172012233208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37600.262121237858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20515.993782539263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25158.523386630855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-1060439.3025230689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-1300404.3223748272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25050.544095656223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30719.189436232638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531.73285779912158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739.43641260415404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381.67246351710196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494.76060085550245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-13621.746449017804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-17657.819470949002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2731.4709211795998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3540.7956385661473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277.60256361625915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386.03866727316301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199.26031047362466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258.30040246580973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-4834.4360001741197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-6266.8614817071921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3130.0924192616503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4057.5272101539908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963624.84023213643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932689.72319835308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215141.99653839538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194111.5352393949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-9436411.1737461686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-8513987.4573914316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143036.76623349017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129054.70217808505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34523.459767647248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35322.806977995126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7707.8192173162861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7351.3882708507936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-253556.32288598167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-241831.17500686116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30035.520152119094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28646.594364737866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32315.787891499618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33064.019241286616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7214.9272584273403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6881.2890037023753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-180832.11830760504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-172469.93942632846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61711.513672983427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58857.802058047768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85723.620180188314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112770.6665321645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19138.932524427197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23469.8492607632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-839458.77435811283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-1029418.4834846002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22323.657157827947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27375.239855957436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3071.191016324226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4270.8484800666838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685.6840332629921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888.84967274832309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-22556.253232458137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-29239.587523556846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4687.6245324116508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6076.5503197928811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2874.7975471108616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3997.7405082646555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641.83659252714892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832.01039772037825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-16086.741622855729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-20853.183585183353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9631.2767004078178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12484.988315343468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633309.25140517578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612978.21074200934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-1299701.821913607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-1172653.9683760181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23225.605006783346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20955.266369511017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13879.713940458912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14201.081227903538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-21579.157245738359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-20581.277141889186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2300.7037926197172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2194.3128657933721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10079.139520375746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10312.509295958595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-12088.520213670272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-11529.513498587248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3828.2589831688911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3651.2296660281318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56338.898145234998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74114.638207897486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-115620.87305925092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-141784.52526728215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3624.8054056829501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4445.056502623549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1234.732933778397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1717.0398211919728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-1919.6718497798461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-2488.463508973874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359.06937803891549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465.4603048652607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896.63559085885959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1246.8761239659027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-1075.3891681409564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-1394.0229957382764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597.4739453500581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774.50326249081581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118797.659717542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114983.91462373931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-545228.06512155465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-491931.18256417167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8931.2644717036328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8058.2196229737838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11119.808936630527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11377.274101272766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-42529.120000172727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-40562.45549149422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3778.6039929996236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3603.8708603753635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11605.877648220194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11874.597121418456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-38046.986959783688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-36287.588718868828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9036.6966160954962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8618.8146916517744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10568.184873138562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13902.600586324843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-48503.236544628475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-59478.952073668028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1393.8967672601048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1709.3193139641362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989.21306089447273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1375.6158686084343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-3783.3708485702782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-4904.3696185170274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589.72432260687765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764.4574552311376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1032.4535087058309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1435.7467428624129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-3384.6423659599473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-4387.4993632814121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1410.3514949975631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1828.2334194412852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1629334.8175457553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1577028.5037568186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-5510884.2713522501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-4972186.8517098669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216654.2834412267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195475.99376982701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693794.03779410583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709857.96453838935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-1955511.0308740742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-1865082.7751111111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416981.21886851609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397698.85036592575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626596.30824054917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641104.35622813064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-1513807.8358222218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-1443805.1613333332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862921.76535419177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823017.86869041412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254289.24898112941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334521.19776659791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-860080.20419948408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-1054706.3018778507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33813.096259613412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41464.604739054215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108279.99433780843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150575.93187177958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-305195.36320000008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-395623.618962963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65077.993696242404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84360.362198832736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97792.487413264913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135991.83313930043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-236259.0264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-306261.70088888885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134675.6512402496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174579.54790402725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613643.91300757031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706150.80367053335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664780.90575820126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764996.70397641126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-492531.2161151293</v>
      </c>
      <c r="J425" s="339">
        <f t="shared" ca="1" si="0"/>
        <v>-1398061.7035200731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5145870223.27917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5145870223.27917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146913194.13793728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146913194.13793728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272903091.78984386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272903091.78984386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1498693742.6388357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1498693742.6388357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215890730.41001758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215890730.41001758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2035285226.1060579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2035285226.1060579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146017381.97855961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146017381.97855961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108393271.28469765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108393271.28469765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3588623510.4669318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3588623510.4669318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9057121.1567869652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8955949.4744293038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278810.84576672339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277124.32776213082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3435746.5620960109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3418903.1134332968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162808198.29951555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155868751.08985925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-172679.80266881373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-165319.5936172425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164760573.26685107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161612308.51735726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-343851.28205095965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-337280.93060774158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98360.741138081241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101577.11900806775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79587774.553765386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83339331.830657274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25619886.995640021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25472442.475046791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1664607.8584908096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1653796.9810242711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53663046.353516184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53318329.420310877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20948706.0181107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21728483.45145556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2">
        <f ca="1">SUMIFS('Forbrug af biomasse'!$E$1:$E$425,'Forbrug af biomasse'!$A$1:$A$425,"Biogas",'Forbrug af biomasse'!$B$1:$B$425,$A$1,'Forbrug af biomasse'!$D$1:$D$425,I$2)*'[1]Processer - data'!I474</f>
        <v>26963545.84914279</v>
      </c>
      <c r="J474" s="283">
        <f ca="1">SUMIFS('Forbrug af biomasse'!$E$1:$E$425,'Forbrug af biomasse'!$A$1:$A$425,"Biogas",'Forbrug af biomasse'!$B$1:$B$425,$A$1,'Forbrug af biomasse'!$D$1:$D$425,J$2)*'[1]Processer - data'!J474</f>
        <v>26332676.453754772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7989661.5832169643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7649114.6368171647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10386797.369068623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10188325.202039856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5839.9082948818368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6030.8722057376935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171755223.85728914</v>
      </c>
      <c r="J479" s="283">
        <f ca="1">J474*'[1]Processer - data'!J$479*Biogasanlæg!AC$3</f>
        <v>166595190.84876499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82125559.138292283</v>
      </c>
      <c r="J480" s="283">
        <f ca="1">-SUMIFS('Resultater - Vestdanmark'!J$3:J$504,'Resultater - Vestdanmark'!$F$3:$F$504,"Gødning",'Resultater - Vestdanmark'!$A$3:$A$504,"&lt;&gt;Gødning")-SUM(J475:J479)</f>
        <v>69644923.424299896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14.665427601834695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12.672812982787237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4.1641333548688158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4.1513990279595463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2.8356828385104209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2.8510753824137627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32.119314874961454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32.823689581596938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21.118770439952467</v>
      </c>
      <c r="J489" s="283">
        <f ca="1">SUM(J455:J473)*'[1]Processer - data'!$H$489</f>
        <v>20.905741198281969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185898.81048521501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185330.31374819405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118975.23871053761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118611.40079884419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1488741.8735992862</v>
      </c>
      <c r="O3" s="168">
        <f>SUMIF($F$3:$F$494,"Roer",J3:J494)</f>
        <v>1525196.4678207021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-169757.19518704785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-166766.89668346365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3135.1638248583922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30366.072573484667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783.79095621459794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7591.518143371165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-21968.002487985057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-212774.19462275674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-19771.202239186554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-191496.77516048111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31989.907437941809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11073.429497749088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-6623.6391166874646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-201737.12281110961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1476.0149579318631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738.00747896593168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-16621.705020614838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-9308.1548115443074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1407546.7312550477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1400602.2320623295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617419.48738326959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572702.75118470658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-29968844.747483291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-27798344.86509617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425874.95938999369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395030.8759074221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21422.351420502626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21918.358974853181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9396.9009617161537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8962.3621889200313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-308827.83885775087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-294546.78272560053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37989.849316801556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36233.093279030385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15014.010562508658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15361.64105898983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6585.8862794597881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6281.3366249182945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-142710.48367650103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-136111.15495157611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58442.361105560914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55739.824175823996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147182.19866129372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199055.2869203735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64561.378767418209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81393.209183523446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-3133736.4247512878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-3950734.4671909404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66466.034124449885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83794.428222786504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2240.0597525831936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3115.0637452139827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982.60079998523281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1273.7417777586347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-32293.03817882494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-41861.345787365652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5929.0516274777001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7685.807665248868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1569.9621449467152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2183.2150474746154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688.66290633195138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892.71117487475169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-14922.732079236441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-19344.282324936124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9121.0621378621108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11823.599067599031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53536.628910563311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53272.491977845813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-484495.26789205981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-449405.5962401306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5507.9708083976793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5109.0548644381497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383.20678078967813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392.07945094707867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-2817.7020855079322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-2687.4037231723055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231.07605420548325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220.39045632314875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135.49548318718502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138.63271037210097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-832.06816492841517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-793.59102435369073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179.34000622664701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171.04682674795814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4762.5937510610947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6441.1285755031749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-43100.474987623122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-54337.222090852149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859.62550188865509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1083.7389106383955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34.089898013602003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47.405969978146771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-250.66147454316234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-324.93154107446964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36.063892852878894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46.749490735213371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12.053615527461146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16.761954981354023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-74.020399180626072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-95.952369308218962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27.989480740574972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36.282660219263846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5991.7684841260734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5559.0233534286335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-5126741.3397399308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-4756471.300602844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1110.1564674020519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1029.9773338368504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533.0249535878628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672.13646000546203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-456072.53883582389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-575100.62089107116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173.26141398760348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218.48004051084709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463900.2959953571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461611.5227990534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-1528374.0825586284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-1417681.2682580168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23167.036952828745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21489.15943018598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1342.1475223545235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1373.2232570893948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-2947.9085712237634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-2811.5890997220863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392.85044078584303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374.68394641424334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1591.0555817100583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1627.8944689278508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-2246.5370277572065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-2142.6509224273937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1022.2166416216924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974.94650790508229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41268.355811378882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55813.029574794629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-135963.45162183407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-171410.55334392382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3615.6647267420594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4558.306545797026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119.39682294240531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166.03517562989953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-262.24458330135093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-339.94668205730676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61.311918504148913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79.478412875748589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141.53956880068088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196.82724033400379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-199.85089512822782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-259.06597516622122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159.53670129355893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206.80683501016898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6212600.482945024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6181948.9968661051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-18103126.200475831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-16792003.478861019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265554.68436064752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246321.83050762943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48701.026137437606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49828.637032928469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-99185.610983444451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-94598.993134499033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12201.122896150406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11636.909120605875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69291.13833736215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70895.487336696911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-97698.391644072588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-93180.546943768641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38103.949283837668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36341.916947012804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756285.35358856793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1022831.5612996648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-2203767.8484509895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-2778313.3028660961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41444.95073836697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52250.085259194122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5928.5757829736185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8244.37449090271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-12074.271487348789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-15651.833409526205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1904.2214924627801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2468.4352680073071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8435.0946438430456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11729.980632071674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-11893.226173550109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-15417.145039787178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5946.8591367839135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7708.8914736087763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59642.992327089858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59348.728056590327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23796.287869725849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22072.836717114191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32772.488524206055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30398.934151767458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318.9839165482129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326.36958720679513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127.26781148681931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121.38259477066582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1027.3062516075927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979.80076020377339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150.16222767677442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153.6390448498185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59.91154128148672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57.141065384076924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1061.5059970364737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1012.4190145145557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5305.8130168434282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7175.8007559331936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2116.906764827057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2668.8066212510789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5114.7814459743568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6448.2587594658244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28.376661709115591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39.461050089548863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11.321685657700284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14.676259185907773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160.33103348789021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207.8365248917095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13.358362334945426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18.576357240932602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5.3297030076420846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6.9088742691656648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165.66856601147279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214.75554853339062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1356444.1144250459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1349751.7433311262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-2102313.9631633586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-1950053.4323275785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35407.551235041217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32843.151891695597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7173.742884598938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7339.8418619653639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-7206.3567965008169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-6873.1148637146534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1097.5414799304065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1046.7881166966306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3505.3664956342204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3586.5288399760229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-2155.8997386750038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-2056.2049530715358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1177.1699624688069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1122.7343572679372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120668.6411618581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163197.25623912708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-187020.87799470569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-235779.18772687993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5526.0340077809997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6966.7291891475506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638.1728496761715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887.45360694672104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-641.07416819738489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-831.02206988549881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171.29260091399411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222.04596414777009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311.83578247289398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433.64394156073729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-191.78784380467229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-248.61387159864927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183.72016755293521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238.15577275380488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8597.8054451281678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8555.3859277885185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-132255.3269779573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-122676.70711224382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1856.9539379322755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1722.4636585157232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172.39385657139869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176.38541909899325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-2209.8668099428332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-2107.6764372287134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168.29231800328981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160.51001428059428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136.51481462716177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139.67564314718285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-1499.9518158672381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-1430.5898821855162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305.36548729859186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291.24453990906159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764.85679653481213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1034.4239349053389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-11765.372729426377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-14832.729132662207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289.81362037093322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365.37107907909274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15.336077760889165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21.326600672878271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-196.58872950878734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-254.83724195583537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26.265275064097253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34.047578786792727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12.144294780994331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16.888055035068469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-133.43501992021268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-172.97132211879421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47.658197439664619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61.779144829194884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267064.41541427677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265746.78341239324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-1187974.8176784948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-1101935.4917125991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19010.615730229867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17633.767888604747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4320.1512221290986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4420.1788801602333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-14088.85788772293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-13437.350008521869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1802.4376746192152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1719.0879555616791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3421.0305110611816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3500.2401619460097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-8255.920583342946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-7874.1439089687055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3132.9167856490421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2988.0420209947515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23757.926897258494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32131.201994407547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-105681.69042816205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-133234.01854343241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2966.9747093422338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3740.4962187949463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384.31865496281398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534.43981005573721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-1253.3382826130401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-1624.6977737576442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281.30530181918385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364.65502087671979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304.33329228457569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423.21085594438114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-734.44287732744476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-952.05558172076144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488.95233070823218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633.82709536252298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1504420.9351696959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1496998.4818061199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-5044718.8965407591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-4679354.0697054733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71688.430878826213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66496.381198496878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4189.6732818178216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4286.6798875470813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-9512.3951727460735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-9072.5156271855631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1170.1485869638404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1116.0376696475937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1972.2959077171406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2017.9619343096335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-2952.5119108453932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-2815.9795681473402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1209.10365389301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1153.1913461985355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194879.03559047912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263562.45997859264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-653480.63856345904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-823849.91348450899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11188.367825019121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14105.292981499339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542.72010546553395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754.7154589893496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-1232.2125770013845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-1597.3125998166092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182.62434594233352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236.73526325858043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255.48642365283885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355.28360116178692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-382.46122498292056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-495.78306942230444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188.70403846885125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244.61634616332569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99489.753912269953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98998.895242795144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71412.738395699431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66240.655801430446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-3691211.6126711415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-3423874.8354721642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47958.211731013136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44484.828162218677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1468.6719744340637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1502.6772234323155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1054.1978784251489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1005.4488435846795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-37623.925170479139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-35884.09048051478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4149.4504291823841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3957.5683284109436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836.12236279859962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855.4817225704976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600.16016939777091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572.40709798053285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-14561.032861540352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-13887.69030146912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5185.2084123540226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4945.4299886613499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8540.0164485387813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11549.871111659433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6129.9373709603278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7728.0765101668849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-316846.77715703164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-399452.06413841917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7484.8076111985829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9436.1756707736567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126.06808566673899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175.31234273377018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90.490395922621161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117.30236508487927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-3229.5681432463307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-4186.4772227267249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647.60209010360904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839.48419087504874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71.77119703791449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99.806200966558066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51.516638818247969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66.780828097728829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-1249.892127132221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-1620.2305351713974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809.2521799627666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1049.0306036554377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287919.75579325529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286499.22852600703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64281.89531652796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59626.265531670731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-2819488.547073191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-2615286.496197402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42737.7015244672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39642.414505098794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15040.87822062371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15389.130803874499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3358.0750879111019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3202.7883786435368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-110467.19535830281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-105358.88574635818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13085.61204298731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12480.497035219112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15352.838758337211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15708.314394759325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3427.7244059057543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3269.2169189274537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-85911.145475598809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-81938.375742623146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29318.391435644193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27962.627669834055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25613.208333284379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34640.361267235399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5718.4876816263886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7209.3575597383706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-250820.39733789826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-316211.91272204951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6670.0459026625103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8408.9970162330774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1338.0295711872773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1860.6858153775529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298.73280695347904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387.24623123599127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-9827.1106159784995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-12738.847094786941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2042.2631512176731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2647.3781589858722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1365.7814363630619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1899.2780131845366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304.92877807450617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395.27804565213756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-7642.6157738119409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-9907.094521608069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4575.7027096092097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5931.4664754193454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189225.34724432943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188291.75460260711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-388335.6006879895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-360210.31315281364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6939.5372996951264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6436.9398515878147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1590.9316384961176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1627.7676559649631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-2473.4633683086399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-2359.0835593695124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263.71310462077844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251.51827897357481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1259.8229544440553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1288.9925675403299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-1510.9816884323691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-1441.1097028401202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478.50598087296146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456.37853667074347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16833.399387804795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22766.184874678853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-34546.155460047157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-43552.701499385643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1083.0491739408578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1365.4114836701424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141.52854286968352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196.81190749394554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-220.03815744664723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-285.23464854195004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41.157536559312248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53.35236220651587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112.07326745025438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155.85091952987628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-134.4162322830876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-174.24326407066911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74.680124182485301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96.807568384703174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35495.341907588409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35320.216373388408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-162907.72591915572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-151109.09961484434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2668.5566604929131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2475.2858832391571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1647.0981140436197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1685.2345954823613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-6299.5356973683211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-6008.2276882414635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559.69770218671192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533.81572751911835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1874.6283886277022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1918.0330468796183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-6145.5035128253576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-5861.3183792843001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1459.6438571404719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1392.1458753073866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3157.6492020681239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4270.5352524187792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-14492.195964715644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-18270.463862522087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416.47994123299804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525.06064189921517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146.52508656145261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203.76018290832187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-560.40378255779456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-726.44934776010416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87.351664503128461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113.23363917072209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166.76607457214067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231.90763203180828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-546.70115064960828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-708.68667676801056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227.80568868666325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295.30367051974855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486826.05842768832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484424.17499840376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-1646587.3308438149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-1527332.8971794425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64733.748836252111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60045.393465217603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105371.44942606725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107811.19256641068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-296997.40912592597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-283263.4248888889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63329.912080713199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60401.361233050156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95165.650910254044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97369.091645569322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-229912.79417777775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-219280.98866666664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131058.08381659226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124997.59439154754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75978.633396228819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102756.64318147959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-256981.83776175146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-323979.70546230598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10102.955020686746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12736.901644137068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16445.255112738825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22869.040847420449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-46352.196800000012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-60086.181037037044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9883.8591108627552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12812.409958525792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14852.442627611907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20654.049742999552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-35882.3436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-46514.14911111111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20454.151809525963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26514.641234570692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178867.25625835601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191083.2231889611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193772.86094655233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207006.82512137451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-139441.16039766971</v>
      </c>
      <c r="J425" s="339">
        <f t="shared" ca="1" si="0"/>
        <v>-310775.20677175629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631610005.0745101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631610005.07450998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18032293.716852445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33496438.058321703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33496438.058321696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183951386.51398864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26498675.522935599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249813239.78468749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17922340.706383832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13304314.266702108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440471759.93726152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3137879.2432130338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3239050.9255706919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82373.554233276591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84060.072237869259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955199.68790398887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972043.13656670612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23590438.250862736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22584932.369682513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-25020.805245542317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-23954.33218731765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11710194.60113419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11486434.80143531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-24438.889394640995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-23971.908171692034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8255.3806975521566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8525.3301049752408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10741653.287765445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7382713.0043599783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7530157.5249532107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500954.14150919009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511765.01897572842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20817640.606483798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17628378.214828786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2">
        <f ca="1">SUMIFS('Forbrug af biomasse'!$E$1:$E$425,'Forbrug af biomasse'!$A$1:$A$425,"Biogas",'Forbrug af biomasse'!$B$1:$B$425,$A$1,'Forbrug af biomasse'!$D$1:$D$425,I$2)*'[1]Processer - data'!I474</f>
        <v>4379699.8256981792</v>
      </c>
      <c r="J474" s="283">
        <f ca="1">SUMIFS('Forbrug af biomasse'!$E$1:$E$425,'Forbrug af biomasse'!$A$1:$A$425,"Biogas",'Forbrug af biomasse'!$B$1:$B$425,$A$1,'Forbrug af biomasse'!$D$1:$D$425,J$2)*'[1]Processer - data'!J474</f>
        <v>4357183.7703608098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1157678.914162708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1108334.6440677526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738231.33813296701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724125.12538599258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490.14134760699812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506.16887815798708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27898271.547784418</v>
      </c>
      <c r="J479" s="283">
        <f ca="1">J474*'[1]Processer - data'!J$479*Biogasanlæg!AC$3</f>
        <v>27565973.518157009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51127566.120444365</v>
      </c>
      <c r="J480" s="283">
        <f ca="1">-SUMIFS('Resultater - Østdanmark'!J$3:J$504,'Resultater - Østdanmark'!$F$3:$F$504,"Gødning",'Resultater - Østdanmark'!$A$3:$A$504,"&lt;&gt;Gødning")-SUM(J475:J479)</f>
        <v>48250898.147455975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6.8684745106485661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6.492420000579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1.2379629245843558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1.2676388910545666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0.78177936143169058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0.80278624232921081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9.3840573951224986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9.2195634757621487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4.4740017362121494</v>
      </c>
      <c r="J489" s="283">
        <f ca="1">SUM(J455:J473)*'[1]Processer - data'!$H$489</f>
        <v>4.5030238106670062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55266.201990373032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56591.021922078864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35370.36927383874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36218.254030130476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11403646.944298668</v>
      </c>
      <c r="O3" s="98">
        <f ca="1">SUMIF($F$3:$F$509,$L$3,J$3:J$509)</f>
        <v>8802064.998286102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5577.432976685739</v>
      </c>
      <c r="O7" s="98">
        <f>SUMIFS(J$3:J$509,$F$3:$F$509,$L$3,$C$3:$C$509,$L7)+SUMIFS(J$3:J$509,$F$3:$F$509,$L$3,$C$3:$C$509,"",$A$3:$A$509,"Grøntsager I drivhus")</f>
        <v>5312.2830637270708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1210892.8720854355</v>
      </c>
      <c r="O8" s="98">
        <f>SUMIFS(J$3:J$509,$F$3:$F$509,$L$3,$C$3:$C$509,$L8)</f>
        <v>1205315.4391087503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2392207.9699579147</v>
      </c>
      <c r="O9" s="98">
        <f>SUMIFS(J$3:J$509,$F$3:$F$509,$L$3,$C$3:$C$509,$L9)</f>
        <v>2386630.5369812287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-1042143.7838474931</v>
      </c>
      <c r="J33" s="277">
        <f ca="1">'Resultater - Vestdanmark'!J33+'Resultater - Østdanmark'!J33</f>
        <v>-1036550.257361132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19179.11262516362</v>
      </c>
      <c r="J35" s="277">
        <f ca="1">'Resultater - Vestdanmark'!J35+'Resultater - Østdanmark'!J35</f>
        <v>187598.46427260878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4794.7781562909049</v>
      </c>
      <c r="J36" s="277">
        <f ca="1">'Resultater - Vestdanmark'!J36+'Resultater - Østdanmark'!J36</f>
        <v>46899.61606815218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-134387.48894915255</v>
      </c>
      <c r="J37" s="277">
        <f ca="1">'Resultater - Vestdanmark'!J37+'Resultater - Østdanmark'!J37</f>
        <v>-1314497.027940474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-120948.74005423731</v>
      </c>
      <c r="J38" s="277">
        <f ca="1">'Resultater - Vestdanmark'!J38+'Resultater - Østdanmark'!J38</f>
        <v>-1183047.3251464269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196388.67044413407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67980.693615277181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-40663.064816660881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-1238480.7741302997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9029.4028306096516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4514.7014153048276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-101681.94404546582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-56941.88866546085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6118397.4691212419</v>
      </c>
      <c r="J141" s="277">
        <f>'Resultater - Vestdanmark'!J141+'Resultater - Østdanmark'!J141</f>
        <v>5960221.1701448364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2683831.197294313</v>
      </c>
      <c r="J142" s="277">
        <f>'Resultater - Vestdanmark'!J142+'Resultater - Østdanmark'!J142</f>
        <v>2437119.5359192989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-130270135.8213478</v>
      </c>
      <c r="J143" s="277">
        <f>'Resultater - Vestdanmark'!J143+'Resultater - Østdanmark'!J143</f>
        <v>-118295030.3570271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1851215.4629285277</v>
      </c>
      <c r="J144" s="277">
        <f>'Resultater - Vestdanmark'!J144+'Resultater - Østdanmark'!J144</f>
        <v>1681042.1514018381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128938.46706303564</v>
      </c>
      <c r="J145" s="277">
        <f>'Resultater - Vestdanmark'!J145+'Resultater - Østdanmark'!J145</f>
        <v>131923.87480162951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56558.777389266557</v>
      </c>
      <c r="J146" s="277">
        <f>'Resultater - Vestdanmark'!J146+'Resultater - Østdanmark'!J146</f>
        <v>53943.342596699309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-1858796.326653403</v>
      </c>
      <c r="J147" s="277">
        <f>'Resultater - Vestdanmark'!J147+'Resultater - Østdanmark'!J147</f>
        <v>-1772840.4271549794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228656.17497881452</v>
      </c>
      <c r="J148" s="277">
        <f>'Resultater - Vestdanmark'!J148+'Resultater - Østdanmark'!J148</f>
        <v>218082.47902603695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84115.607892028944</v>
      </c>
      <c r="J149" s="277">
        <f>'Resultater - Vestdanmark'!J149+'Resultater - Østdanmark'!J149</f>
        <v>86063.198804635525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36897.258437253302</v>
      </c>
      <c r="J150" s="277">
        <f>'Resultater - Vestdanmark'!J150+'Resultater - Østdanmark'!J150</f>
        <v>35191.026833218464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-799531.81310461299</v>
      </c>
      <c r="J151" s="277">
        <f>'Resultater - Vestdanmark'!J151+'Resultater - Østdanmark'!J151</f>
        <v>-762559.24371249194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327421.82447341603</v>
      </c>
      <c r="J152" s="277">
        <f>'Resultater - Vestdanmark'!J152+'Resultater - Østdanmark'!J152</f>
        <v>312280.93085614825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639779.24980579945</v>
      </c>
      <c r="J153" s="277">
        <f>'Resultater - Vestdanmark'!J153+'Resultater - Østdanmark'!J153</f>
        <v>847073.85721149342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280638.76508123777</v>
      </c>
      <c r="J154" s="277">
        <f>'Resultater - Vestdanmark'!J154+'Resultater - Østdanmark'!J154</f>
        <v>346366.38252913667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-13621888.768833423</v>
      </c>
      <c r="J155" s="277">
        <f>'Resultater - Vestdanmark'!J155+'Resultater - Østdanmark'!J155</f>
        <v>-16812233.102256276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288918.02022583963</v>
      </c>
      <c r="J156" s="277">
        <f>'Resultater - Vestdanmark'!J156+'Resultater - Østdanmark'!J156</f>
        <v>356584.69878220808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13482.64086225615</v>
      </c>
      <c r="J157" s="277">
        <f>'Resultater - Vestdanmark'!J157+'Resultater - Østdanmark'!J157</f>
        <v>18749.180994534621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5914.1519246926709</v>
      </c>
      <c r="J158" s="277">
        <f>'Resultater - Vestdanmark'!J158+'Resultater - Østdanmark'!J158</f>
        <v>7666.4932357127218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-194367.7777408096</v>
      </c>
      <c r="J159" s="277">
        <f>'Resultater - Vestdanmark'!J159+'Resultater - Østdanmark'!J159</f>
        <v>-251958.23040475318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35686.223840624225</v>
      </c>
      <c r="J160" s="277">
        <f>'Resultater - Vestdanmark'!J160+'Resultater - Østdanmark'!J160</f>
        <v>46259.919793401772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8795.6725246636051</v>
      </c>
      <c r="J161" s="277">
        <f>'Resultater - Vestdanmark'!J161+'Resultater - Østdanmark'!J161</f>
        <v>12231.406133143657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3858.2162146237711</v>
      </c>
      <c r="J162" s="277">
        <f>'Resultater - Vestdanmark'!J162+'Resultater - Østdanmark'!J162</f>
        <v>5001.3913893271101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-83604.222537933238</v>
      </c>
      <c r="J163" s="277">
        <f>'Resultater - Vestdanmark'!J163+'Resultater - Østdanmark'!J163</f>
        <v>-108375.84403065417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51100.515958278818</v>
      </c>
      <c r="J164" s="277">
        <f>'Resultater - Vestdanmark'!J164+'Resultater - Østdanmark'!J164</f>
        <v>66241.409575546597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232715.80797861275</v>
      </c>
      <c r="J165" s="277">
        <f>'Resultater - Vestdanmark'!J165+'Resultater - Østdanmark'!J165</f>
        <v>226699.50625824614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-2106029.2742315065</v>
      </c>
      <c r="J166" s="277">
        <f>'Resultater - Vestdanmark'!J166+'Resultater - Østdanmark'!J166</f>
        <v>-1912432.1576640098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23942.334492898346</v>
      </c>
      <c r="J167" s="277">
        <f>'Resultater - Vestdanmark'!J167+'Resultater - Østdanmark'!J167</f>
        <v>21741.431125393625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1635.9216228005348</v>
      </c>
      <c r="J168" s="277">
        <f>'Resultater - Vestdanmark'!J168+'Resultater - Østdanmark'!J168</f>
        <v>1673.7993266672495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-12028.857523850862</v>
      </c>
      <c r="J169" s="277">
        <f>'Resultater - Vestdanmark'!J169+'Resultater - Østdanmark'!J169</f>
        <v>-11472.609777083191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986.4708364689792</v>
      </c>
      <c r="J170" s="277">
        <f>'Resultater - Vestdanmark'!J170+'Resultater - Østdanmark'!J170</f>
        <v>940.85368796174305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541.68508237211336</v>
      </c>
      <c r="J171" s="277">
        <f>'Resultater - Vestdanmark'!J171+'Resultater - Østdanmark'!J171</f>
        <v>554.22711791534653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-3326.4497225771006</v>
      </c>
      <c r="J172" s="277">
        <f>'Resultater - Vestdanmark'!J172+'Resultater - Østdanmark'!J172</f>
        <v>-3172.6254579492579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716.96711772517995</v>
      </c>
      <c r="J173" s="277">
        <f>'Resultater - Vestdanmark'!J173+'Resultater - Østdanmark'!J173</f>
        <v>683.81256892863985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20702.290663530926</v>
      </c>
      <c r="J174" s="277">
        <f>'Resultater - Vestdanmark'!J174+'Resultater - Østdanmark'!J174</f>
        <v>27410.031211224301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-187351.39034926519</v>
      </c>
      <c r="J175" s="277">
        <f>'Resultater - Vestdanmark'!J175+'Resultater - Østdanmark'!J175</f>
        <v>-231230.43360846661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3736.6649208569665</v>
      </c>
      <c r="J176" s="277">
        <f>'Resultater - Vestdanmark'!J176+'Resultater - Østdanmark'!J176</f>
        <v>4611.8187235683445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145.53083106878745</v>
      </c>
      <c r="J177" s="277">
        <f>'Resultater - Vestdanmark'!J177+'Resultater - Østdanmark'!J177</f>
        <v>202.37755495158558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-1070.0816028443051</v>
      </c>
      <c r="J178" s="277">
        <f>'Resultater - Vestdanmark'!J178+'Resultater - Østdanmark'!J178</f>
        <v>-1387.1428185018767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153.95787621192162</v>
      </c>
      <c r="J179" s="277">
        <f>'Resultater - Vestdanmark'!J179+'Resultater - Østdanmark'!J179</f>
        <v>199.57502471915762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48.188054437611711</v>
      </c>
      <c r="J180" s="277">
        <f>'Resultater - Vestdanmark'!J180+'Resultater - Østdanmark'!J180</f>
        <v>67.011096984310086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-295.91942907781254</v>
      </c>
      <c r="J181" s="277">
        <f>'Resultater - Vestdanmark'!J181+'Resultater - Østdanmark'!J181</f>
        <v>-383.59925991568298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111.89660218832289</v>
      </c>
      <c r="J182" s="277">
        <f>'Resultater - Vestdanmark'!J182+'Resultater - Østdanmark'!J182</f>
        <v>145.051150984863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26038.819948375738</v>
      </c>
      <c r="J183" s="277">
        <f>'Resultater - Vestdanmark'!J183+'Resultater - Østdanmark'!J183</f>
        <v>23654.0759965568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-22279614.945244901</v>
      </c>
      <c r="J184" s="277">
        <f>'Resultater - Vestdanmark'!J184+'Resultater - Østdanmark'!J184</f>
        <v>-20239154.698011547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4824.4795248331648</v>
      </c>
      <c r="J185" s="277">
        <f>'Resultater - Vestdanmark'!J185+'Resultater - Østdanmark'!J185</f>
        <v>4382.6335275748334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2316.4013815346971</v>
      </c>
      <c r="J186" s="277">
        <f>'Resultater - Vestdanmark'!J186+'Resultater - Østdanmark'!J186</f>
        <v>2859.9928250382309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-1981984.2428168734</v>
      </c>
      <c r="J187" s="277">
        <f>'Resultater - Vestdanmark'!J187+'Resultater - Østdanmark'!J187</f>
        <v>-2447097.7953050323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752.95345185257474</v>
      </c>
      <c r="J188" s="277">
        <f>'Resultater - Vestdanmark'!J188+'Resultater - Østdanmark'!J188</f>
        <v>929.64953615223737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2016505.9773267899</v>
      </c>
      <c r="J189" s="277">
        <f>'Resultater - Vestdanmark'!J189+'Resultater - Østdanmark'!J189</f>
        <v>1964374.1153535983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-6643616.0952604096</v>
      </c>
      <c r="J190" s="277">
        <f>'Resultater - Vestdanmark'!J190+'Resultater - Østdanmark'!J190</f>
        <v>-6032900.5010561654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100703.68330352895</v>
      </c>
      <c r="J191" s="277">
        <f>'Resultater - Vestdanmark'!J191+'Resultater - Østdanmark'!J191</f>
        <v>91446.479259010783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42085.599835949455</v>
      </c>
      <c r="J192" s="277">
        <f>'Resultater - Vestdanmark'!J192+'Resultater - Østdanmark'!J192</f>
        <v>43060.038871060562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-92437.305448988933</v>
      </c>
      <c r="J193" s="277">
        <f>'Resultater - Vestdanmark'!J193+'Resultater - Østdanmark'!J193</f>
        <v>-88162.74797157904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12318.576140784413</v>
      </c>
      <c r="J194" s="277">
        <f>'Resultater - Vestdanmark'!J194+'Resultater - Østdanmark'!J194</f>
        <v>11748.931001326173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45883.318155212262</v>
      </c>
      <c r="J195" s="277">
        <f>'Resultater - Vestdanmark'!J195+'Resultater - Østdanmark'!J195</f>
        <v>46945.688572769417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-64786.28049012625</v>
      </c>
      <c r="J196" s="277">
        <f>'Resultater - Vestdanmark'!J196+'Resultater - Østdanmark'!J196</f>
        <v>-61790.383126420988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29478.977309309288</v>
      </c>
      <c r="J197" s="277">
        <f>'Resultater - Vestdanmark'!J197+'Resultater - Østdanmark'!J197</f>
        <v>28115.787607144695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179387.439254678</v>
      </c>
      <c r="J198" s="277">
        <f>'Resultater - Vestdanmark'!J198+'Resultater - Østdanmark'!J198</f>
        <v>237510.68849275322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-591013.01564195205</v>
      </c>
      <c r="J199" s="277">
        <f>'Resultater - Vestdanmark'!J199+'Resultater - Østdanmark'!J199</f>
        <v>-729432.51512769982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15716.759821938047</v>
      </c>
      <c r="J200" s="277">
        <f>'Resultater - Vestdanmark'!J200+'Resultater - Østdanmark'!J200</f>
        <v>19397.738024638653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3743.915499857007</v>
      </c>
      <c r="J201" s="277">
        <f>'Resultater - Vestdanmark'!J201+'Resultater - Østdanmark'!J201</f>
        <v>5206.35015441005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-8223.1799471672821</v>
      </c>
      <c r="J202" s="277">
        <f>'Resultater - Vestdanmark'!J202+'Resultater - Østdanmark'!J202</f>
        <v>-10659.67770929092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1922.5523456715559</v>
      </c>
      <c r="J203" s="277">
        <f>'Resultater - Vestdanmark'!J203+'Resultater - Østdanmark'!J203</f>
        <v>2492.1974851297946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4081.7587653683045</v>
      </c>
      <c r="J204" s="277">
        <f>'Resultater - Vestdanmark'!J204+'Resultater - Østdanmark'!J204</f>
        <v>5676.1605274348458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-5763.3575534279944</v>
      </c>
      <c r="J205" s="277">
        <f>'Resultater - Vestdanmark'!J205+'Resultater - Østdanmark'!J205</f>
        <v>-7471.019050739993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4600.765244805496</v>
      </c>
      <c r="J206" s="277">
        <f>'Resultater - Vestdanmark'!J206+'Resultater - Østdanmark'!J206</f>
        <v>5963.9549469700878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27005255.475688089</v>
      </c>
      <c r="J207" s="277">
        <f>'Resultater - Vestdanmark'!J207+'Resultater - Østdanmark'!J207</f>
        <v>26307100.217613593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-78691612.199199989</v>
      </c>
      <c r="J208" s="277">
        <f>'Resultater - Vestdanmark'!J208+'Resultater - Østdanmark'!J208</f>
        <v>-71457871.715999991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1154326.9382301366</v>
      </c>
      <c r="J209" s="277">
        <f>'Resultater - Vestdanmark'!J209+'Resultater - Østdanmark'!J209</f>
        <v>1048215.2286010825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693376.91604696086</v>
      </c>
      <c r="J210" s="277">
        <f>'Resultater - Vestdanmark'!J210+'Resultater - Østdanmark'!J210</f>
        <v>709431.18486277503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-1412147.1047828062</v>
      </c>
      <c r="J211" s="277">
        <f>'Resultater - Vestdanmark'!J211+'Resultater - Østdanmark'!J211</f>
        <v>-1346845.5045616361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173712.49924320079</v>
      </c>
      <c r="J212" s="277">
        <f>'Resultater - Vestdanmark'!J212+'Resultater - Østdanmark'!J212</f>
        <v>165679.55130131869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910426.62470944761</v>
      </c>
      <c r="J213" s="277">
        <f>'Resultater - Vestdanmark'!J213+'Resultater - Østdanmark'!J213</f>
        <v>931506.40604034194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-1283673.7724092763</v>
      </c>
      <c r="J214" s="277">
        <f>'Resultater - Vestdanmark'!J214+'Resultater - Østdanmark'!J214</f>
        <v>-1224313.135534859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500653.48566915968</v>
      </c>
      <c r="J215" s="277">
        <f>'Resultater - Vestdanmark'!J215+'Resultater - Østdanmark'!J215</f>
        <v>477501.87939544133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3287460.5798727823</v>
      </c>
      <c r="J216" s="277">
        <f>'Resultater - Vestdanmark'!J216+'Resultater - Østdanmark'!J216</f>
        <v>4352629.3087324314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-9579452.9070240017</v>
      </c>
      <c r="J217" s="277">
        <f>'Resultater - Vestdanmark'!J217+'Resultater - Østdanmark'!J217</f>
        <v>-11823029.68392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180155.07128447224</v>
      </c>
      <c r="J218" s="277">
        <f>'Resultater - Vestdanmark'!J218+'Resultater - Østdanmark'!J218</f>
        <v>222348.68485477509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84407.617641323697</v>
      </c>
      <c r="J219" s="277">
        <f>'Resultater - Vestdanmark'!J219+'Resultater - Østdanmark'!J219</f>
        <v>117378.61422275008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-171906.46258223071</v>
      </c>
      <c r="J220" s="277">
        <f>'Resultater - Vestdanmark'!J220+'Resultater - Østdanmark'!J220</f>
        <v>-222841.71075474346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27111.199303852154</v>
      </c>
      <c r="J221" s="277">
        <f>'Resultater - Vestdanmark'!J221+'Resultater - Østdanmark'!J221</f>
        <v>35144.147245734268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110829.96945884953</v>
      </c>
      <c r="J222" s="277">
        <f>'Resultater - Vestdanmark'!J222+'Resultater - Østdanmark'!J222</f>
        <v>154121.96899940202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-156266.87657190382</v>
      </c>
      <c r="J223" s="277">
        <f>'Resultater - Vestdanmark'!J223+'Resultater - Østdanmark'!J223</f>
        <v>-202568.17333394938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78136.671173799492</v>
      </c>
      <c r="J224" s="277">
        <f>'Resultater - Vestdanmark'!J224+'Resultater - Østdanmark'!J224</f>
        <v>101288.27744751784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259259.26663870088</v>
      </c>
      <c r="J225" s="277">
        <f>'Resultater - Vestdanmark'!J225+'Resultater - Østdanmark'!J225</f>
        <v>252556.74829476976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103438.94397508947</v>
      </c>
      <c r="J226" s="277">
        <f>'Resultater - Vestdanmark'!J226+'Resultater - Østdanmark'!J226</f>
        <v>93930.30060560377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142457.16066884456</v>
      </c>
      <c r="J228" s="277">
        <f>'Resultater - Vestdanmark'!J228+'Resultater - Østdanmark'!J228</f>
        <v>129361.76077230483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5394.1038346835503</v>
      </c>
      <c r="J229" s="277">
        <f>'Resultater - Vestdanmark'!J229+'Resultater - Østdanmark'!J229</f>
        <v>5518.9975122465894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2152.1329269561297</v>
      </c>
      <c r="J230" s="277">
        <f>'Resultater - Vestdanmark'!J230+'Resultater - Østdanmark'!J230</f>
        <v>2052.6123291778113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17372.025057424307</v>
      </c>
      <c r="J232" s="277">
        <f>'Resultater - Vestdanmark'!J232+'Resultater - Østdanmark'!J232</f>
        <v>16568.6944189307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2341.0653179470924</v>
      </c>
      <c r="J233" s="277">
        <f>'Resultater - Vestdanmark'!J233+'Resultater - Østdanmark'!J233</f>
        <v>2395.2697355731862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934.0353670081945</v>
      </c>
      <c r="J234" s="277">
        <f>'Resultater - Vestdanmark'!J234+'Resultater - Østdanmark'!J234</f>
        <v>890.84298009452073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16549.134312285518</v>
      </c>
      <c r="J236" s="277">
        <f>'Resultater - Vestdanmark'!J236+'Resultater - Østdanmark'!J236</f>
        <v>15783.856425012198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23063.584471500621</v>
      </c>
      <c r="J237" s="277">
        <f>'Resultater - Vestdanmark'!J237+'Resultater - Østdanmark'!J237</f>
        <v>30536.4068392767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9201.8806229862821</v>
      </c>
      <c r="J238" s="277">
        <f>'Resultater - Vestdanmark'!J238+'Resultater - Østdanmark'!J238</f>
        <v>11357.027255041181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22233.198485889039</v>
      </c>
      <c r="J240" s="277">
        <f>'Resultater - Vestdanmark'!J240+'Resultater - Østdanmark'!J240</f>
        <v>27440.373497155571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479.85698275017239</v>
      </c>
      <c r="J241" s="277">
        <f>'Resultater - Vestdanmark'!J241+'Resultater - Østdanmark'!J241</f>
        <v>667.29697193526931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191.45274997603946</v>
      </c>
      <c r="J242" s="277">
        <f>'Resultater - Vestdanmark'!J242+'Resultater - Østdanmark'!J242</f>
        <v>248.17949070968075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2711.2409049159328</v>
      </c>
      <c r="J244" s="277">
        <f>'Resultater - Vestdanmark'!J244+'Resultater - Østdanmark'!J244</f>
        <v>3514.5715434095414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208.26008811101593</v>
      </c>
      <c r="J245" s="277">
        <f>'Resultater - Vestdanmark'!J245+'Resultater - Østdanmark'!J245</f>
        <v>289.60988621021249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83.091354325179836</v>
      </c>
      <c r="J246" s="277">
        <f>'Resultater - Vestdanmark'!J246+'Resultater - Østdanmark'!J246</f>
        <v>107.71101486597387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2582.8128695474511</v>
      </c>
      <c r="J248" s="277">
        <f>'Resultater - Vestdanmark'!J248+'Resultater - Østdanmark'!J248</f>
        <v>3348.0907568207695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5896261.9516742546</v>
      </c>
      <c r="J249" s="277">
        <f>'Resultater - Vestdanmark'!J249+'Resultater - Østdanmark'!J249</f>
        <v>5743828.4267164208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-9138447.8723827191</v>
      </c>
      <c r="J250" s="277">
        <f>'Resultater - Vestdanmark'!J250+'Resultater - Østdanmark'!J250</f>
        <v>-8298394.4222039478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153911.3885555265</v>
      </c>
      <c r="J251" s="277">
        <f>'Resultater - Vestdanmark'!J251+'Resultater - Østdanmark'!J251</f>
        <v>139763.05671805836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9218.7557121075461</v>
      </c>
      <c r="J252" s="277">
        <f>'Resultater - Vestdanmark'!J252+'Resultater - Østdanmark'!J252</f>
        <v>9432.2043847187851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-9260.6668443402195</v>
      </c>
      <c r="J253" s="277">
        <f>'Resultater - Vestdanmark'!J253+'Resultater - Østdanmark'!J253</f>
        <v>-8832.4279151221745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1410.416702988522</v>
      </c>
      <c r="J254" s="277">
        <f>'Resultater - Vestdanmark'!J254+'Resultater - Østdanmark'!J254</f>
        <v>1345.1951213474345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4421.7317292045063</v>
      </c>
      <c r="J255" s="277">
        <f>'Resultater - Vestdanmark'!J255+'Resultater - Østdanmark'!J255</f>
        <v>4524.1113558825546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-2719.4903275750662</v>
      </c>
      <c r="J256" s="277">
        <f>'Resultater - Vestdanmark'!J256+'Resultater - Østdanmark'!J256</f>
        <v>-2593.7335494213062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1484.9031564024936</v>
      </c>
      <c r="J257" s="277">
        <f>'Resultater - Vestdanmark'!J257+'Resultater - Østdanmark'!J257</f>
        <v>1416.2371144879271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524528.73662581947</v>
      </c>
      <c r="J258" s="277">
        <f>'Resultater - Vestdanmark'!J258+'Resultater - Østdanmark'!J258</f>
        <v>694481.07341207634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-812952.09685531806</v>
      </c>
      <c r="J259" s="277">
        <f>'Resultater - Vestdanmark'!J259+'Resultater - Østdanmark'!J259</f>
        <v>-1003351.3255937499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24020.852549128416</v>
      </c>
      <c r="J260" s="277">
        <f>'Resultater - Vestdanmark'!J260+'Resultater - Østdanmark'!J260</f>
        <v>29646.70900080026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820.09624514066559</v>
      </c>
      <c r="J261" s="277">
        <f>'Resultater - Vestdanmark'!J261+'Resultater - Østdanmark'!J261</f>
        <v>1140.4392574250892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-823.82464008321381</v>
      </c>
      <c r="J262" s="277">
        <f>'Resultater - Vestdanmark'!J262+'Resultater - Østdanmark'!J262</f>
        <v>-1067.9208297374992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220.12283803867112</v>
      </c>
      <c r="J263" s="277">
        <f>'Resultater - Vestdanmark'!J263+'Resultater - Østdanmark'!J263</f>
        <v>285.3444196797588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393.35520989859742</v>
      </c>
      <c r="J264" s="277">
        <f>'Resultater - Vestdanmark'!J264+'Resultater - Østdanmark'!J264</f>
        <v>547.0061912112543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-241.92460197329632</v>
      </c>
      <c r="J265" s="277">
        <f>'Resultater - Vestdanmark'!J265+'Resultater - Østdanmark'!J265</f>
        <v>-313.60596552093966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231.74789146166086</v>
      </c>
      <c r="J266" s="277">
        <f>'Resultater - Vestdanmark'!J266+'Resultater - Østdanmark'!J266</f>
        <v>300.41393337622702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37373.38868213891</v>
      </c>
      <c r="J267" s="277">
        <f>'Resultater - Vestdanmark'!J267+'Resultater - Østdanmark'!J267</f>
        <v>36407.19053437515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-574894.34623475454</v>
      </c>
      <c r="J268" s="277">
        <f>'Resultater - Vestdanmark'!J268+'Resultater - Østdanmark'!J268</f>
        <v>-522047.08094561583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8071.9041306635227</v>
      </c>
      <c r="J269" s="277">
        <f>'Resultater - Vestdanmark'!J269+'Resultater - Østdanmark'!J269</f>
        <v>7329.8929041215961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642.28813077424491</v>
      </c>
      <c r="J270" s="277">
        <f>'Resultater - Vestdanmark'!J270+'Resultater - Østdanmark'!J270</f>
        <v>657.15950314043732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-8233.3051237842628</v>
      </c>
      <c r="J271" s="277">
        <f>'Resultater - Vestdanmark'!J271+'Resultater - Østdanmark'!J271</f>
        <v>-7852.5742510081109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627.00702045742753</v>
      </c>
      <c r="J272" s="277">
        <f>'Resultater - Vestdanmark'!J272+'Resultater - Østdanmark'!J272</f>
        <v>598.01247615881812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477.7415841292709</v>
      </c>
      <c r="J273" s="277">
        <f>'Resultater - Vestdanmark'!J273+'Resultater - Østdanmark'!J273</f>
        <v>488.80308854137445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-5249.1691732291602</v>
      </c>
      <c r="J274" s="277">
        <f>'Resultater - Vestdanmark'!J274+'Resultater - Østdanmark'!J274</f>
        <v>-5006.4330264902401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1068.644396132885</v>
      </c>
      <c r="J275" s="277">
        <f>'Resultater - Vestdanmark'!J275+'Resultater - Østdanmark'!J275</f>
        <v>1019.2273142307863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3324.719374671201</v>
      </c>
      <c r="J276" s="277">
        <f>'Resultater - Vestdanmark'!J276+'Resultater - Østdanmark'!J276</f>
        <v>4401.9603100653576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-51142.335193947234</v>
      </c>
      <c r="J277" s="277">
        <f>'Resultater - Vestdanmark'!J277+'Resultater - Østdanmark'!J277</f>
        <v>-63120.23796887901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1259.7769452480643</v>
      </c>
      <c r="J278" s="277">
        <f>'Resultater - Vestdanmark'!J278+'Resultater - Østdanmark'!J278</f>
        <v>1554.8257675409445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57.13765510182445</v>
      </c>
      <c r="J279" s="277">
        <f>'Resultater - Vestdanmark'!J279+'Resultater - Østdanmark'!J279</f>
        <v>79.456558106980154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-732.4310165031203</v>
      </c>
      <c r="J280" s="277">
        <f>'Resultater - Vestdanmark'!J280+'Resultater - Østdanmark'!J280</f>
        <v>-949.44761398552612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97.856587007806624</v>
      </c>
      <c r="J281" s="277">
        <f>'Resultater - Vestdanmark'!J281+'Resultater - Østdanmark'!J281</f>
        <v>126.85113130641598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42.499670403176175</v>
      </c>
      <c r="J282" s="277">
        <f>'Resultater - Vestdanmark'!J282+'Resultater - Østdanmark'!J282</f>
        <v>59.100737069093448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-466.96366228899876</v>
      </c>
      <c r="J283" s="277">
        <f>'Resultater - Vestdanmark'!J283+'Resultater - Østdanmark'!J283</f>
        <v>-605.32326593018342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166.7826514195832</v>
      </c>
      <c r="J284" s="277">
        <f>'Resultater - Vestdanmark'!J284+'Resultater - Østdanmark'!J284</f>
        <v>216.19973332168195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1160889.5158358854</v>
      </c>
      <c r="J285" s="277">
        <f>'Resultater - Vestdanmark'!J285+'Resultater - Østdanmark'!J285</f>
        <v>1130877.5383430589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-5163950.8347853348</v>
      </c>
      <c r="J286" s="277">
        <f>'Resultater - Vestdanmark'!J286+'Resultater - Østdanmark'!J286</f>
        <v>-4689253.7334947735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82636.334970251657</v>
      </c>
      <c r="J287" s="277">
        <f>'Resultater - Vestdanmark'!J287+'Resultater - Østdanmark'!J287</f>
        <v>75039.975142924814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33486.146713126444</v>
      </c>
      <c r="J288" s="277">
        <f>'Resultater - Vestdanmark'!J288+'Resultater - Østdanmark'!J288</f>
        <v>34261.476246741768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-109204.87223504431</v>
      </c>
      <c r="J289" s="277">
        <f>'Resultater - Vestdanmark'!J289+'Resultater - Østdanmark'!J289</f>
        <v>-104154.93594671856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13970.96752178502</v>
      </c>
      <c r="J290" s="277">
        <f>'Resultater - Vestdanmark'!J290+'Resultater - Østdanmark'!J290</f>
        <v>13324.911220199585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24600.727662275851</v>
      </c>
      <c r="J291" s="277">
        <f>'Resultater - Vestdanmark'!J291+'Resultater - Østdanmark'!J291</f>
        <v>25170.326513657375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-59368.559624215843</v>
      </c>
      <c r="J292" s="277">
        <f>'Resultater - Vestdanmark'!J292+'Resultater - Østdanmark'!J292</f>
        <v>-56623.19270517696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22528.893671988179</v>
      </c>
      <c r="J293" s="277">
        <f>'Resultater - Vestdanmark'!J293+'Resultater - Østdanmark'!J293</f>
        <v>21487.095120682367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103272.19450123858</v>
      </c>
      <c r="J294" s="277">
        <f>'Resultater - Vestdanmark'!J294+'Resultater - Østdanmark'!J294</f>
        <v>136733.37509056984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-459382.67830836005</v>
      </c>
      <c r="J295" s="277">
        <f>'Resultater - Vestdanmark'!J295+'Resultater - Østdanmark'!J295</f>
        <v>-566973.4059589135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12897.000255472802</v>
      </c>
      <c r="J296" s="277">
        <f>'Resultater - Vestdanmark'!J296+'Resultater - Østdanmark'!J296</f>
        <v>15917.570484862839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2978.9121266763923</v>
      </c>
      <c r="J297" s="277">
        <f>'Resultater - Vestdanmark'!J297+'Resultater - Østdanmark'!J297</f>
        <v>4142.5239461969586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-9714.8149346666596</v>
      </c>
      <c r="J298" s="277">
        <f>'Resultater - Vestdanmark'!J298+'Resultater - Østdanmark'!J298</f>
        <v>-12593.278619012335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2180.4400178508413</v>
      </c>
      <c r="J299" s="277">
        <f>'Resultater - Vestdanmark'!J299+'Resultater - Østdanmark'!J299</f>
        <v>2826.4963194362758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2188.4693567770246</v>
      </c>
      <c r="J300" s="277">
        <f>'Resultater - Vestdanmark'!J300+'Resultater - Østdanmark'!J300</f>
        <v>3043.3212966513001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-5281.399610501051</v>
      </c>
      <c r="J301" s="277">
        <f>'Resultater - Vestdanmark'!J301+'Resultater - Østdanmark'!J301</f>
        <v>-6846.2587543532127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3516.0701106571146</v>
      </c>
      <c r="J302" s="277">
        <f>'Resultater - Vestdanmark'!J302+'Resultater - Østdanmark'!J302</f>
        <v>4557.8686619629252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6539495.306154348</v>
      </c>
      <c r="J303" s="277">
        <f>'Resultater - Vestdanmark'!J303+'Resultater - Østdanmark'!J303</f>
        <v>6370432.5458610645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-21928646.945527405</v>
      </c>
      <c r="J304" s="277">
        <f>'Resultater - Vestdanmark'!J304+'Resultater - Østdanmark'!J304</f>
        <v>-19912852.164882738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311619.00654139323</v>
      </c>
      <c r="J305" s="277">
        <f>'Resultater - Vestdanmark'!J305+'Resultater - Østdanmark'!J305</f>
        <v>282973.37379915337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148795.57018882988</v>
      </c>
      <c r="J306" s="277">
        <f>'Resultater - Vestdanmark'!J306+'Resultater - Østdanmark'!J306</f>
        <v>152240.74412976913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-337831.17880163394</v>
      </c>
      <c r="J307" s="277">
        <f>'Resultater - Vestdanmark'!J307+'Resultater - Østdanmark'!J307</f>
        <v>-322208.92775878386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41557.638147715865</v>
      </c>
      <c r="J308" s="277">
        <f>'Resultater - Vestdanmark'!J308+'Resultater - Østdanmark'!J308</f>
        <v>39635.897655335946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64397.91569903955</v>
      </c>
      <c r="J309" s="277">
        <f>'Resultater - Vestdanmark'!J309+'Resultater - Østdanmark'!J309</f>
        <v>65888.968293788028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-96403.187975533918</v>
      </c>
      <c r="J310" s="277">
        <f>'Resultater - Vestdanmark'!J310+'Resultater - Østdanmark'!J310</f>
        <v>-91945.237086491878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39478.738900253142</v>
      </c>
      <c r="J311" s="277">
        <f>'Resultater - Vestdanmark'!J311+'Resultater - Østdanmark'!J311</f>
        <v>37653.132477120045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847110.34572785522</v>
      </c>
      <c r="J312" s="277">
        <f>'Resultater - Vestdanmark'!J312+'Resultater - Østdanmark'!J312</f>
        <v>1121582.2148925087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-2840583.688146065</v>
      </c>
      <c r="J313" s="277">
        <f>'Resultater - Vestdanmark'!J313+'Resultater - Østdanmark'!J313</f>
        <v>-3505868.8205445064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48634.18021166254</v>
      </c>
      <c r="J314" s="277">
        <f>'Resultater - Vestdanmark'!J314+'Resultater - Østdanmark'!J314</f>
        <v>60024.655048305271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19274.616924460563</v>
      </c>
      <c r="J315" s="277">
        <f>'Resultater - Vestdanmark'!J315+'Resultater - Østdanmark'!J315</f>
        <v>26803.597678604805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-43761.830733783907</v>
      </c>
      <c r="J316" s="277">
        <f>'Resultater - Vestdanmark'!J316+'Resultater - Østdanmark'!J316</f>
        <v>-56728.299099349504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6485.8741617822443</v>
      </c>
      <c r="J317" s="277">
        <f>'Resultater - Vestdanmark'!J317+'Resultater - Østdanmark'!J317</f>
        <v>8407.6146541621692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8341.9496578929284</v>
      </c>
      <c r="J318" s="277">
        <f>'Resultater - Vestdanmark'!J318+'Resultater - Østdanmark'!J318</f>
        <v>11600.451690512378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-12487.834927928991</v>
      </c>
      <c r="J319" s="277">
        <f>'Resultater - Vestdanmark'!J319+'Resultater - Østdanmark'!J319</f>
        <v>-16187.934165833874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6161.4216780741899</v>
      </c>
      <c r="J320" s="277">
        <f>'Resultater - Vestdanmark'!J320+'Resultater - Østdanmark'!J320</f>
        <v>7987.0281012072819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432467.24604131666</v>
      </c>
      <c r="J321" s="277">
        <f>'Resultater - Vestdanmark'!J321+'Resultater - Østdanmark'!J321</f>
        <v>421286.8562819768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310420.61209127464</v>
      </c>
      <c r="J322" s="277">
        <f>'Resultater - Vestdanmark'!J322+'Resultater - Østdanmark'!J322</f>
        <v>281885.14197255211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-16045150.961929783</v>
      </c>
      <c r="J323" s="277">
        <f>'Resultater - Vestdanmark'!J323+'Resultater - Østdanmark'!J323</f>
        <v>-14570197.59868497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208467.2535291067</v>
      </c>
      <c r="J324" s="277">
        <f>'Resultater - Vestdanmark'!J324+'Resultater - Østdanmark'!J324</f>
        <v>189303.86407588684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7663.2702504776998</v>
      </c>
      <c r="J325" s="277">
        <f>'Resultater - Vestdanmark'!J325+'Resultater - Østdanmark'!J325</f>
        <v>7840.7036171822074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5500.6178237758977</v>
      </c>
      <c r="J326" s="277">
        <f>'Resultater - Vestdanmark'!J326+'Resultater - Østdanmark'!J326</f>
        <v>5246.2539937747006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-196314.9780782286</v>
      </c>
      <c r="J327" s="277">
        <f>'Resultater - Vestdanmark'!J327+'Resultater - Østdanmark'!J327</f>
        <v>-187236.82880293479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21651.09744266648</v>
      </c>
      <c r="J328" s="277">
        <f>'Resultater - Vestdanmark'!J328+'Resultater - Østdanmark'!J328</f>
        <v>20649.890624508495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4070.1454944896991</v>
      </c>
      <c r="J329" s="277">
        <f>'Resultater - Vestdanmark'!J329+'Resultater - Østdanmark'!J329</f>
        <v>4164.3845849118943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2921.5092409086838</v>
      </c>
      <c r="J330" s="277">
        <f>'Resultater - Vestdanmark'!J330+'Resultater - Østdanmark'!J330</f>
        <v>2786.4105476874729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-70881.398385454333</v>
      </c>
      <c r="J331" s="277">
        <f>'Resultater - Vestdanmark'!J331+'Resultater - Østdanmark'!J331</f>
        <v>-67603.645858959324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25240.985765400892</v>
      </c>
      <c r="J332" s="277">
        <f>'Resultater - Vestdanmark'!J332+'Resultater - Østdanmark'!J332</f>
        <v>24073.772550815876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37122.188460771991</v>
      </c>
      <c r="J333" s="277">
        <f>'Resultater - Vestdanmark'!J333+'Resultater - Østdanmark'!J333</f>
        <v>49150.133232897293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26645.93115349959</v>
      </c>
      <c r="J334" s="277">
        <f>'Resultater - Vestdanmark'!J334+'Resultater - Østdanmark'!J334</f>
        <v>32886.599896797743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-1377286.0796801005</v>
      </c>
      <c r="J335" s="277">
        <f>'Resultater - Vestdanmark'!J335+'Resultater - Østdanmark'!J335</f>
        <v>-1699856.3865132465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32535.351706854806</v>
      </c>
      <c r="J336" s="277">
        <f>'Resultater - Vestdanmark'!J336+'Resultater - Østdanmark'!J336</f>
        <v>40155.365107006292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657.80094346586054</v>
      </c>
      <c r="J337" s="277">
        <f>'Resultater - Vestdanmark'!J337+'Resultater - Østdanmark'!J337</f>
        <v>914.74875533792419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472.16285943972309</v>
      </c>
      <c r="J338" s="277">
        <f>'Resultater - Vestdanmark'!J338+'Resultater - Østdanmark'!J338</f>
        <v>612.06296594038167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-16851.314592264134</v>
      </c>
      <c r="J339" s="277">
        <f>'Resultater - Vestdanmark'!J339+'Resultater - Østdanmark'!J339</f>
        <v>-21844.296693675726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3379.0730112832089</v>
      </c>
      <c r="J340" s="277">
        <f>'Resultater - Vestdanmark'!J340+'Resultater - Østdanmark'!J340</f>
        <v>4380.2798294411959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349.37376065417362</v>
      </c>
      <c r="J341" s="277">
        <f>'Resultater - Vestdanmark'!J341+'Resultater - Østdanmark'!J341</f>
        <v>485.84486823972111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250.77694929187263</v>
      </c>
      <c r="J342" s="277">
        <f>'Resultater - Vestdanmark'!J342+'Resultater - Østdanmark'!J342</f>
        <v>325.08123056353855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-6084.3281273063403</v>
      </c>
      <c r="J343" s="277">
        <f>'Resultater - Vestdanmark'!J343+'Resultater - Østdanmark'!J343</f>
        <v>-7887.0920168785897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3939.3445992244169</v>
      </c>
      <c r="J344" s="277">
        <f>'Resultater - Vestdanmark'!J344+'Resultater - Østdanmark'!J344</f>
        <v>5106.5578138094288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1251544.5960253917</v>
      </c>
      <c r="J345" s="277">
        <f>'Resultater - Vestdanmark'!J345+'Resultater - Østdanmark'!J345</f>
        <v>1219188.9517243602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279423.89185492333</v>
      </c>
      <c r="J346" s="277">
        <f>'Resultater - Vestdanmark'!J346+'Resultater - Østdanmark'!J346</f>
        <v>253737.80077106564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-12255899.72081936</v>
      </c>
      <c r="J347" s="277">
        <f>'Resultater - Vestdanmark'!J347+'Resultater - Østdanmark'!J347</f>
        <v>-11129273.953588834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185774.46775795738</v>
      </c>
      <c r="J348" s="277">
        <f>'Resultater - Vestdanmark'!J348+'Resultater - Østdanmark'!J348</f>
        <v>168697.11668318385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49564.337988270956</v>
      </c>
      <c r="J349" s="277">
        <f>'Resultater - Vestdanmark'!J349+'Resultater - Østdanmark'!J349</f>
        <v>50711.937781869623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11065.894305227388</v>
      </c>
      <c r="J350" s="277">
        <f>'Resultater - Vestdanmark'!J350+'Resultater - Østdanmark'!J350</f>
        <v>10554.176649494329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-364023.5182442845</v>
      </c>
      <c r="J351" s="277">
        <f>'Resultater - Vestdanmark'!J351+'Resultater - Østdanmark'!J351</f>
        <v>-347190.06075321935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43121.132195106402</v>
      </c>
      <c r="J352" s="277">
        <f>'Resultater - Vestdanmark'!J352+'Resultater - Østdanmark'!J352</f>
        <v>41127.091399956975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47668.626649836828</v>
      </c>
      <c r="J353" s="277">
        <f>'Resultater - Vestdanmark'!J353+'Resultater - Østdanmark'!J353</f>
        <v>48772.333636045943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10642.651664333094</v>
      </c>
      <c r="J354" s="277">
        <f>'Resultater - Vestdanmark'!J354+'Resultater - Østdanmark'!J354</f>
        <v>10150.505922629829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-266743.26378320385</v>
      </c>
      <c r="J355" s="277">
        <f>'Resultater - Vestdanmark'!J355+'Resultater - Østdanmark'!J355</f>
        <v>-254408.31516895161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91029.905108627616</v>
      </c>
      <c r="J356" s="277">
        <f>'Resultater - Vestdanmark'!J356+'Resultater - Østdanmark'!J356</f>
        <v>86820.429727881827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111336.82851347269</v>
      </c>
      <c r="J357" s="277">
        <f>'Resultater - Vestdanmark'!J357+'Resultater - Østdanmark'!J357</f>
        <v>147411.02779939989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24857.420206053586</v>
      </c>
      <c r="J358" s="277">
        <f>'Resultater - Vestdanmark'!J358+'Resultater - Østdanmark'!J358</f>
        <v>30679.206820501571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-1090279.171696011</v>
      </c>
      <c r="J359" s="277">
        <f>'Resultater - Vestdanmark'!J359+'Resultater - Østdanmark'!J359</f>
        <v>-1345630.3962066497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28993.703060490458</v>
      </c>
      <c r="J360" s="277">
        <f>'Resultater - Vestdanmark'!J360+'Resultater - Østdanmark'!J360</f>
        <v>35784.236872190515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4409.2205875115033</v>
      </c>
      <c r="J361" s="277">
        <f>'Resultater - Vestdanmark'!J361+'Resultater - Østdanmark'!J361</f>
        <v>6131.5342954442367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984.4168402164712</v>
      </c>
      <c r="J362" s="277">
        <f>'Resultater - Vestdanmark'!J362+'Resultater - Østdanmark'!J362</f>
        <v>1276.0959039843144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-32383.363848436638</v>
      </c>
      <c r="J363" s="277">
        <f>'Resultater - Vestdanmark'!J363+'Resultater - Østdanmark'!J363</f>
        <v>-41978.434618343788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6729.8876836293239</v>
      </c>
      <c r="J364" s="277">
        <f>'Resultater - Vestdanmark'!J364+'Resultater - Østdanmark'!J364</f>
        <v>8723.9284787787528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4240.5789834739235</v>
      </c>
      <c r="J365" s="277">
        <f>'Resultater - Vestdanmark'!J365+'Resultater - Østdanmark'!J365</f>
        <v>5897.0185214491921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946.76537060165515</v>
      </c>
      <c r="J366" s="277">
        <f>'Resultater - Vestdanmark'!J366+'Resultater - Østdanmark'!J366</f>
        <v>1227.2884433725158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-23729.35739666767</v>
      </c>
      <c r="J367" s="277">
        <f>'Resultater - Vestdanmark'!J367+'Resultater - Østdanmark'!J367</f>
        <v>-30760.278106791422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14206.979410017027</v>
      </c>
      <c r="J368" s="277">
        <f>'Resultater - Vestdanmark'!J368+'Resultater - Østdanmark'!J368</f>
        <v>18416.454790762815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822534.59864950518</v>
      </c>
      <c r="J369" s="277">
        <f>'Resultater - Vestdanmark'!J369+'Resultater - Østdanmark'!J369</f>
        <v>801269.96534461644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-1688037.4226015965</v>
      </c>
      <c r="J370" s="277">
        <f>'Resultater - Vestdanmark'!J370+'Resultater - Østdanmark'!J370</f>
        <v>-1532864.2815288317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30165.142306478472</v>
      </c>
      <c r="J371" s="277">
        <f>'Resultater - Vestdanmark'!J371+'Resultater - Østdanmark'!J371</f>
        <v>27392.20622109883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15470.645578955031</v>
      </c>
      <c r="J372" s="277">
        <f>'Resultater - Vestdanmark'!J372+'Resultater - Østdanmark'!J372</f>
        <v>15828.848883868501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-24052.620614046999</v>
      </c>
      <c r="J373" s="277">
        <f>'Resultater - Vestdanmark'!J373+'Resultater - Østdanmark'!J373</f>
        <v>-22940.360701258698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2564.4168972404955</v>
      </c>
      <c r="J374" s="277">
        <f>'Resultater - Vestdanmark'!J374+'Resultater - Østdanmark'!J374</f>
        <v>2445.8311447669471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11338.9624748198</v>
      </c>
      <c r="J375" s="277">
        <f>'Resultater - Vestdanmark'!J375+'Resultater - Østdanmark'!J375</f>
        <v>11601.501863498925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-13599.501902102642</v>
      </c>
      <c r="J376" s="277">
        <f>'Resultater - Vestdanmark'!J376+'Resultater - Østdanmark'!J376</f>
        <v>-12970.623201427368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4306.7649640418522</v>
      </c>
      <c r="J377" s="277">
        <f>'Resultater - Vestdanmark'!J377+'Resultater - Østdanmark'!J377</f>
        <v>4107.6082026988752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73172.297533039789</v>
      </c>
      <c r="J378" s="277">
        <f>'Resultater - Vestdanmark'!J378+'Resultater - Østdanmark'!J378</f>
        <v>96880.823082576331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-150167.02851929807</v>
      </c>
      <c r="J379" s="277">
        <f>'Resultater - Vestdanmark'!J379+'Resultater - Østdanmark'!J379</f>
        <v>-185337.22676666779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4707.8545796238077</v>
      </c>
      <c r="J380" s="277">
        <f>'Resultater - Vestdanmark'!J380+'Resultater - Østdanmark'!J380</f>
        <v>5810.4679862936919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1376.2614766480806</v>
      </c>
      <c r="J381" s="277">
        <f>'Resultater - Vestdanmark'!J381+'Resultater - Østdanmark'!J381</f>
        <v>1913.8517286859183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-2139.7100072264934</v>
      </c>
      <c r="J382" s="277">
        <f>'Resultater - Vestdanmark'!J382+'Resultater - Østdanmark'!J382</f>
        <v>-2773.6981575158243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400.22691459822772</v>
      </c>
      <c r="J383" s="277">
        <f>'Resultater - Vestdanmark'!J383+'Resultater - Østdanmark'!J383</f>
        <v>518.81266707177656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1008.708858309114</v>
      </c>
      <c r="J384" s="277">
        <f>'Resultater - Vestdanmark'!J384+'Resultater - Østdanmark'!J384</f>
        <v>1402.7270434957791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-1209.8054004240439</v>
      </c>
      <c r="J385" s="277">
        <f>'Resultater - Vestdanmark'!J385+'Resultater - Østdanmark'!J385</f>
        <v>-1568.2662598089455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672.15406953254342</v>
      </c>
      <c r="J386" s="277">
        <f>'Resultater - Vestdanmark'!J386+'Resultater - Østdanmark'!J386</f>
        <v>871.31083087551895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154293.00162513042</v>
      </c>
      <c r="J387" s="277">
        <f>'Resultater - Vestdanmark'!J387+'Resultater - Østdanmark'!J387</f>
        <v>150304.13099712774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-708135.79104071041</v>
      </c>
      <c r="J388" s="277">
        <f>'Resultater - Vestdanmark'!J388+'Resultater - Østdanmark'!J388</f>
        <v>-643040.28217901604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11599.821132196546</v>
      </c>
      <c r="J389" s="277">
        <f>'Resultater - Vestdanmark'!J389+'Resultater - Østdanmark'!J389</f>
        <v>10533.505506212941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12766.907050674146</v>
      </c>
      <c r="J390" s="277">
        <f>'Resultater - Vestdanmark'!J390+'Resultater - Østdanmark'!J390</f>
        <v>13062.508696755127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-48828.655697541049</v>
      </c>
      <c r="J391" s="277">
        <f>'Resultater - Vestdanmark'!J391+'Resultater - Østdanmark'!J391</f>
        <v>-46570.683179735686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4338.3016951863356</v>
      </c>
      <c r="J392" s="277">
        <f>'Resultater - Vestdanmark'!J392+'Resultater - Østdanmark'!J392</f>
        <v>4137.6865878944818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13480.506036847895</v>
      </c>
      <c r="J393" s="277">
        <f>'Resultater - Vestdanmark'!J393+'Resultater - Østdanmark'!J393</f>
        <v>13792.630168298074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-44192.490472609046</v>
      </c>
      <c r="J394" s="277">
        <f>'Resultater - Vestdanmark'!J394+'Resultater - Østdanmark'!J394</f>
        <v>-42148.907098153126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10496.340473235969</v>
      </c>
      <c r="J395" s="277">
        <f>'Resultater - Vestdanmark'!J395+'Resultater - Østdanmark'!J395</f>
        <v>10010.960566959162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13725.834075206685</v>
      </c>
      <c r="J396" s="277">
        <f>'Resultater - Vestdanmark'!J396+'Resultater - Østdanmark'!J396</f>
        <v>18173.135838743623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-62995.432509344115</v>
      </c>
      <c r="J397" s="277">
        <f>'Resultater - Vestdanmark'!J397+'Resultater - Østdanmark'!J397</f>
        <v>-77749.415936190111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1810.3767084931028</v>
      </c>
      <c r="J398" s="277">
        <f>'Resultater - Vestdanmark'!J398+'Resultater - Østdanmark'!J398</f>
        <v>2234.3799558633514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1135.7381474559254</v>
      </c>
      <c r="J399" s="277">
        <f>'Resultater - Vestdanmark'!J399+'Resultater - Østdanmark'!J399</f>
        <v>1579.3760515167562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-4343.7746311280725</v>
      </c>
      <c r="J400" s="277">
        <f>'Resultater - Vestdanmark'!J400+'Resultater - Østdanmark'!J400</f>
        <v>-5630.8189662771319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677.07598711000605</v>
      </c>
      <c r="J401" s="277">
        <f>'Resultater - Vestdanmark'!J401+'Resultater - Østdanmark'!J401</f>
        <v>877.69109440185969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1199.2195832779717</v>
      </c>
      <c r="J402" s="277">
        <f>'Resultater - Vestdanmark'!J402+'Resultater - Østdanmark'!J402</f>
        <v>1667.6543748942213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-3931.3435166095555</v>
      </c>
      <c r="J403" s="277">
        <f>'Resultater - Vestdanmark'!J403+'Resultater - Østdanmark'!J403</f>
        <v>-5096.1860400494224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1638.1571836842263</v>
      </c>
      <c r="J404" s="277">
        <f>'Resultater - Vestdanmark'!J404+'Resultater - Østdanmark'!J404</f>
        <v>2123.5370899610339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2116160.8759734435</v>
      </c>
      <c r="J405" s="277">
        <f>'Resultater - Vestdanmark'!J405+'Resultater - Østdanmark'!J405</f>
        <v>2061452.6787552224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-7157471.6021960648</v>
      </c>
      <c r="J406" s="277">
        <f>'Resultater - Vestdanmark'!J406+'Resultater - Østdanmark'!J406</f>
        <v>-6499519.7488893094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281388.03227747884</v>
      </c>
      <c r="J407" s="277">
        <f>'Resultater - Vestdanmark'!J407+'Resultater - Østdanmark'!J407</f>
        <v>255521.38723504462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799165.48722017312</v>
      </c>
      <c r="J408" s="277">
        <f>'Resultater - Vestdanmark'!J408+'Resultater - Østdanmark'!J408</f>
        <v>817669.15710479999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-2252508.4400000004</v>
      </c>
      <c r="J409" s="277">
        <f>'Resultater - Vestdanmark'!J409+'Resultater - Østdanmark'!J409</f>
        <v>-2148346.2000000002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480311.13094922929</v>
      </c>
      <c r="J410" s="277">
        <f>'Resultater - Vestdanmark'!J410+'Resultater - Østdanmark'!J410</f>
        <v>458100.21159897593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721761.95915080328</v>
      </c>
      <c r="J411" s="277">
        <f>'Resultater - Vestdanmark'!J411+'Resultater - Østdanmark'!J411</f>
        <v>738473.44787369994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-1743720.6299999997</v>
      </c>
      <c r="J412" s="277">
        <f>'Resultater - Vestdanmark'!J412+'Resultater - Østdanmark'!J412</f>
        <v>-1663086.15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993979.849170784</v>
      </c>
      <c r="J413" s="277">
        <f>'Resultater - Vestdanmark'!J413+'Resultater - Østdanmark'!J413</f>
        <v>948015.46308196161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330267.88237735821</v>
      </c>
      <c r="J414" s="277">
        <f>'Resultater - Vestdanmark'!J414+'Resultater - Østdanmark'!J414</f>
        <v>437277.8409480775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-1117062.0419612355</v>
      </c>
      <c r="J415" s="277">
        <f>'Resultater - Vestdanmark'!J415+'Resultater - Østdanmark'!J415</f>
        <v>-1378686.0073401567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43916.051280300162</v>
      </c>
      <c r="J416" s="277">
        <f>'Resultater - Vestdanmark'!J416+'Resultater - Østdanmark'!J416</f>
        <v>54201.506383191285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124725.24945054726</v>
      </c>
      <c r="J417" s="277">
        <f>'Resultater - Vestdanmark'!J417+'Resultater - Østdanmark'!J417</f>
        <v>173444.97271920004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-351547.56000000011</v>
      </c>
      <c r="J418" s="277">
        <f>'Resultater - Vestdanmark'!J418+'Resultater - Østdanmark'!J418</f>
        <v>-455709.80000000005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74961.852807105155</v>
      </c>
      <c r="J419" s="277">
        <f>'Resultater - Vestdanmark'!J419+'Resultater - Østdanmark'!J419</f>
        <v>97172.77215735853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112644.93004087682</v>
      </c>
      <c r="J420" s="277">
        <f>'Resultater - Vestdanmark'!J420+'Resultater - Østdanmark'!J420</f>
        <v>156645.88288229998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-272141.37</v>
      </c>
      <c r="J421" s="277">
        <f>'Resultater - Vestdanmark'!J421+'Resultater - Østdanmark'!J421</f>
        <v>-352775.85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155129.80304977557</v>
      </c>
      <c r="J422" s="277">
        <f>'Resultater - Vestdanmark'!J422+'Resultater - Østdanmark'!J422</f>
        <v>201094.18913859793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792511.16926592635</v>
      </c>
      <c r="J423" s="277">
        <f ca="1">'Resultater - Vestdanmark'!J423+'Resultater - Østdanmark'!J423</f>
        <v>897234.02685949439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858553.76670475362</v>
      </c>
      <c r="J424" s="277">
        <f ca="1">'Resultater - Vestdanmark'!J424+'Resultater - Østdanmark'!J424</f>
        <v>972003.52909778571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-631972.37651279895</v>
      </c>
      <c r="J425" s="277">
        <f ca="1">'Resultater - Vestdanmark'!J425+'Resultater - Østdanmark'!J425</f>
        <v>-1708836.9102918294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5777480228.3536797</v>
      </c>
      <c r="J440" s="274">
        <f>'Resultater - Vestdanmark'!J440+'Resultater - Østdanmark'!J440</f>
        <v>5777480228.3536797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164945487.85478973</v>
      </c>
      <c r="J441" s="277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306399529.84816557</v>
      </c>
      <c r="J444" s="277">
        <f>'Resultater - Vestdanmark'!J444+'Resultater - Østdanmark'!J444</f>
        <v>306399529.84816557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1682645129.1528244</v>
      </c>
      <c r="J445" s="277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242389405.93295318</v>
      </c>
      <c r="J446" s="277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2285098465.8907452</v>
      </c>
      <c r="J449" s="277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163939722.68494344</v>
      </c>
      <c r="J450" s="277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121697585.55139977</v>
      </c>
      <c r="J453" s="277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4029095270.4041934</v>
      </c>
      <c r="J454" s="277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12195000.399999995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361184.39999999997</v>
      </c>
      <c r="J456" s="277">
        <f>'Resultater - Vestdanmark'!J456+'Resultater - Østdanmark'!J456</f>
        <v>361184.40000000008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4390946.2500000028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186398636.55037829</v>
      </c>
      <c r="J458" s="277">
        <f>'Resultater - Vestdanmark'!J458+'Resultater - Østdanmark'!J458</f>
        <v>178453683.45954177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-197700.60791435605</v>
      </c>
      <c r="J459" s="283">
        <f>'Resultater - Vestdanmark'!J459+'Resultater - Østdanmark'!J459</f>
        <v>-189273.92580456016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176470767.86798525</v>
      </c>
      <c r="J460" s="277">
        <f>'Resultater - Vestdanmark'!J460+'Resultater - Østdanmark'!J460</f>
        <v>173098743.31879258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-368290.17144560063</v>
      </c>
      <c r="J461" s="283">
        <f>'Resultater - Vestdanmark'!J461+'Resultater - Østdanmark'!J461</f>
        <v>-361252.83877943363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106616.1218356334</v>
      </c>
      <c r="J462" s="277">
        <f>'Resultater - Vestdanmark'!J462+'Resultater - Østdanmark'!J462</f>
        <v>110102.449113043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90329427.84153083</v>
      </c>
      <c r="J463" s="277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</v>
      </c>
      <c r="J464" s="277">
        <f>'Resultater - Vestdanmark'!J464+'Resultater - Østdanmark'!J464</f>
        <v>33002600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2165561.9999999995</v>
      </c>
      <c r="J465" s="277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38577084.232939482</v>
      </c>
      <c r="J473" s="277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31343245.674840968</v>
      </c>
      <c r="J474" s="283">
        <f ca="1">'Resultater - Vestdanmark'!J474+'Resultater - Østdanmark'!J474</f>
        <v>30689860.22411558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9147340.4973796718</v>
      </c>
      <c r="J475" s="283">
        <f>'Resultater - Vestdanmark'!J475+'Resultater - Østdanmark'!J475</f>
        <v>8757449.2808849178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11125028.707201589</v>
      </c>
      <c r="J476" s="283">
        <f>'Resultater - Vestdanmark'!J476+'Resultater - Østdanmark'!J476</f>
        <v>10912450.327425849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6330.0496424888352</v>
      </c>
      <c r="J477" s="283">
        <f>'Resultater - Vestdanmark'!J477+'Resultater - Østdanmark'!J477</f>
        <v>6537.0410838956805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7979099.4593352228</v>
      </c>
      <c r="J478" s="283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199653495.40507355</v>
      </c>
      <c r="J479" s="283">
        <f ca="1">'Resultater - Vestdanmark'!J479+'Resultater - Østdanmark'!J479</f>
        <v>194161164.36692199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133253125.25873664</v>
      </c>
      <c r="J480" s="283">
        <f ca="1">'Resultater - Vestdanmark'!J480+'Resultater - Østdanmark'!J480</f>
        <v>117895821.57175587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21.533902112483261</v>
      </c>
      <c r="J481" s="287">
        <f>'Resultater - Vestdanmark'!J481+'Resultater - Østdanmark'!J481</f>
        <v>19.165232983366238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5.4020962794531719</v>
      </c>
      <c r="J482" s="287">
        <f>'Resultater - Vestdanmark'!J482+'Resultater - Østdanmark'!J482</f>
        <v>5.4190379190141131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3.6174621999421115</v>
      </c>
      <c r="J483" s="287">
        <f>'Resultater - Vestdanmark'!J483+'Resultater - Østdanmark'!J483</f>
        <v>3.6538616247429734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41.50337227008395</v>
      </c>
      <c r="J484" s="287">
        <f ca="1">'Resultater - Vestdanmark'!J484+'Resultater - Østdanmark'!J484</f>
        <v>42.043253057359088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25.592772176164615</v>
      </c>
      <c r="J489" s="290">
        <f ca="1">'Resultater - Vestdanmark'!J489+'Resultater - Østdanmark'!J489</f>
        <v>25.408765008948976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241165.01247558804</v>
      </c>
      <c r="J493" s="293">
        <f>'Resultater - Vestdanmark'!J493+'Resultater - Østdanmark'!J493</f>
        <v>241921.33567027291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154345.60798437634</v>
      </c>
      <c r="J494" s="293">
        <f>'Resultater - Vestdanmark'!J494+'Resultater - Østdanmark'!J494</f>
        <v>154829.65482897466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314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309</v>
      </c>
      <c r="B35" s="189" t="s">
        <v>315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310</v>
      </c>
      <c r="B36" s="189" t="s">
        <v>315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225286.45082149099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160787.975346299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588783117.15581906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588783117.15581906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588783117.15581906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26963545.84914279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24536460.551041305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2427085.2981014848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824301.95073542721</v>
      </c>
      <c r="O57" s="190">
        <f t="shared" si="1"/>
        <v>824301.95073542721</v>
      </c>
      <c r="P57" s="200">
        <f t="shared" si="10"/>
        <v>1326462.9092294232</v>
      </c>
      <c r="Q57" s="187">
        <f>IFERROR(VLOOKUP(A57,[1]Energiindhold!$A$2:$C$11,3,FALSE),IFERROR(VLOOKUP(A57,[1]Biogasudbytte!$A$2:$B$18,2,FALSE)*[1]Energiindhold!$C$10,0))*O57</f>
        <v>1.7755464018841103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7">
        <f>IFERROR(VLOOKUP(A57,[1]Biogasudbytte!$A$2:$B$18,2,FALSE)*[1]Energiindhold!$C$10,0)*J57*IFERROR(VLOOKUP(A57,Biogasanlæg!$F$3:$G$8,2,FALSE),1)</f>
        <v>2.8572011064801774</v>
      </c>
      <c r="T57" s="188">
        <f t="shared" si="11"/>
        <v>1.7755464018841103</v>
      </c>
      <c r="U57" s="186">
        <f>O57*IFERROR(VLOOKUP(A57,[1]Tørstofindhold!A$2:B$24,2,FALSE),0)</f>
        <v>247290.58522062816</v>
      </c>
      <c r="V57" s="187">
        <f>IF(D57=År1,P57,SUM(O57,P57))*IFERROR(VLOOKUP(A57,[1]Tørstofindhold!A$2:B$24,2,FALSE),0)</f>
        <v>645229.45798945508</v>
      </c>
      <c r="W57" s="187">
        <f>J57*IFERROR(VLOOKUP(A57,[1]Tørstofindhold!A$2:B$24,2,FALSE),0)</f>
        <v>397938.87276882696</v>
      </c>
      <c r="X57" s="188">
        <f t="shared" si="12"/>
        <v>247290.58522062813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7508.4535219909349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834.27261355454812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7508.4535219909349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3.5311506068571169E-3</v>
      </c>
      <c r="S59" s="187">
        <f>IFERROR(VLOOKUP(A59,[1]Biogasudbytte!$A$2:$B$18,2,FALSE)*[1]Energiindhold!$C$10,0)*J59*IFERROR(VLOOKUP(A59,Biogasanlæg!$F$3:$G$8,2,FALSE),1)</f>
        <v>3.5311506068571169E-3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473.03257188542892</v>
      </c>
      <c r="W59" s="187">
        <f>J59*IFERROR(VLOOKUP(A59,[1]Tørstofindhold!A$2:B$24,2,FALSE),0)</f>
        <v>473.03257188542892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146334.12296443019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1122133.6966349066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1122133.6966349066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32218.723811815202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-225704.57056610042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28400602.406294856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67038.95730919046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16095873.539727367</v>
      </c>
      <c r="O64" s="190">
        <f t="shared" si="1"/>
        <v>16095873.539727367</v>
      </c>
      <c r="P64" s="200">
        <f t="shared" si="10"/>
        <v>67038.95730919046</v>
      </c>
      <c r="Q64" s="187">
        <f>IFERROR(VLOOKUP(A64,[1]Energiindhold!$A$2:$C$11,3,FALSE),IFERROR(VLOOKUP(A64,[1]Biogasudbytte!$A$2:$B$18,2,FALSE)*[1]Energiindhold!$C$10,0))*O64</f>
        <v>29.614395328905893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29.73773863048514</v>
      </c>
      <c r="S64" s="187">
        <f>IFERROR(VLOOKUP(A64,[1]Biogasudbytte!$A$2:$B$18,2,FALSE)*[1]Energiindhold!$C$10,0)*J64*IFERROR(VLOOKUP(A64,Biogasanlæg!$F$3:$G$8,2,FALSE),1)</f>
        <v>0.12334330157924681</v>
      </c>
      <c r="T64" s="188">
        <f t="shared" si="11"/>
        <v>29.614395328905893</v>
      </c>
      <c r="U64" s="186">
        <f>O64*IFERROR(VLOOKUP(A64,[1]Tørstofindhold!A$2:B$24,2,FALSE),0)</f>
        <v>4506844.5911236629</v>
      </c>
      <c r="V64" s="187">
        <f>IF(D64=År1,P64,SUM(O64,P64))*IFERROR(VLOOKUP(A64,[1]Tørstofindhold!A$2:B$24,2,FALSE),0)</f>
        <v>4525615.4991702363</v>
      </c>
      <c r="W64" s="187">
        <f>J64*IFERROR(VLOOKUP(A64,[1]Tørstofindhold!A$2:B$24,2,FALSE),0)</f>
        <v>18770.908046573331</v>
      </c>
      <c r="X64" s="188">
        <f t="shared" si="12"/>
        <v>4506844.5911236629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218755.7836858769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-51384.929899413692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2975351.7262968849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56395.5240148628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1418895.3547152993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1475290.878730162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14.990578251363347</v>
      </c>
      <c r="S67" s="187">
        <f>IFERROR(VLOOKUP(A67,[1]Biogasudbytte!$A$2:$B$18,2,FALSE)*[1]Energiindhold!$C$10,0)*J67*IFERROR(VLOOKUP(A67,Biogasanlæg!$F$3:$G$8,2,FALSE),1)</f>
        <v>0.32515064952865208</v>
      </c>
      <c r="T67" s="188">
        <f t="shared" si="11"/>
        <v>14.665427601834695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1253997.2469206378</v>
      </c>
      <c r="W67" s="187">
        <f>J67*IFERROR(VLOOKUP(A67,[1]Tørstofindhold!A$2:B$24,2,FALSE),0)</f>
        <v>47936.19541263338</v>
      </c>
      <c r="X67" s="188">
        <f t="shared" si="12"/>
        <v>1206061.0515080043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-4828427.5390456226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0.29027753113768995</v>
      </c>
      <c r="O70" s="190">
        <f t="shared" si="20"/>
        <v>0.29027753113768995</v>
      </c>
      <c r="P70" s="200">
        <f t="shared" si="10"/>
        <v>523057.13098607323</v>
      </c>
      <c r="Q70" s="187">
        <f>IFERROR(VLOOKUP(A70,[1]Energiindhold!$A$2:$C$11,3,FALSE),IFERROR(VLOOKUP(A70,[1]Biogasudbytte!$A$2:$B$18,2,FALSE)*[1]Energiindhold!$C$10,0))*O70</f>
        <v>1.2578102784986585E-6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7">
        <f>IFERROR(VLOOKUP(A70,[1]Biogasudbytte!$A$2:$B$18,2,FALSE)*[1]Energiindhold!$C$10,0)*J70*IFERROR(VLOOKUP(A70,Biogasanlæg!$F$3:$G$8,2,FALSE),1)</f>
        <v>1.9265033640912312</v>
      </c>
      <c r="T70" s="188">
        <f t="shared" si="11"/>
        <v>1.2578102785987255E-6</v>
      </c>
      <c r="U70" s="186">
        <f>O70*IFERROR(VLOOKUP(A70,[1]Tørstofindhold!A$2:B$24,2,FALSE),0)</f>
        <v>0.12191656307782978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219683.99501415074</v>
      </c>
      <c r="X70" s="188">
        <f t="shared" si="12"/>
        <v>0.12191656307550147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715738.37153588282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715738.37153588282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1783325.2175353111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1659793.53443852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5398533.7934721429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5718311.2555674212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2922.545553110308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-618633.05067147128</v>
      </c>
      <c r="O73" s="190">
        <f t="shared" si="20"/>
        <v>0</v>
      </c>
      <c r="P73" s="200">
        <f t="shared" si="10"/>
        <v>2922.545553110308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1.0009309363025371E-2</v>
      </c>
      <c r="S73" s="187">
        <f>IFERROR(VLOOKUP(A73,[1]Biogasudbytte!$A$2:$B$18,2,FALSE)*[1]Energiindhold!$C$10,0)*J73*IFERROR(VLOOKUP(A73,Biogasanlæg!$F$3:$G$8,2,FALSE),1)</f>
        <v>1.0009309363025371E-2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905.98912146419548</v>
      </c>
      <c r="W73" s="187">
        <f>J73*IFERROR(VLOOKUP(A73,[1]Tørstofindhold!A$2:B$24,2,FALSE),0)</f>
        <v>905.98912146419548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513284.74461432674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-513284.74461432674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11685147.040202204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1298349.6711335778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11685147.040202204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5.9149045802799547</v>
      </c>
      <c r="S75" s="187">
        <f>IFERROR(VLOOKUP(A75,[1]Biogasudbytte!$A$2:$B$18,2,FALSE)*[1]Energiindhold!$C$10,0)*J75*IFERROR(VLOOKUP(A75,Biogasanlæg!$F$3:$G$8,2,FALSE),1)</f>
        <v>5.9149045802799547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888071.17505536752</v>
      </c>
      <c r="W75" s="187">
        <f>J75*IFERROR(VLOOKUP(A75,[1]Tørstofindhold!A$2:B$24,2,FALSE),0)</f>
        <v>888071.17505536752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105279.69169965154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5921155.5578735983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256198.86995640022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7902.9014472356066</v>
      </c>
      <c r="O77" s="190">
        <f t="shared" si="20"/>
        <v>7902.9014472356066</v>
      </c>
      <c r="P77" s="200">
        <f t="shared" si="10"/>
        <v>256198.86995640022</v>
      </c>
      <c r="Q77" s="187">
        <f>IFERROR(VLOOKUP(A77,[1]Energiindhold!$A$2:$C$11,3,FALSE),IFERROR(VLOOKUP(A77,[1]Biogasudbytte!$A$2:$B$18,2,FALSE)*[1]Energiindhold!$C$10,0))*O77</f>
        <v>2.837141619557583E-2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0.94812535933905273</v>
      </c>
      <c r="S77" s="187">
        <f>IFERROR(VLOOKUP(A77,[1]Biogasudbytte!$A$2:$B$18,2,FALSE)*[1]Energiindhold!$C$10,0)*J77*IFERROR(VLOOKUP(A77,Biogasanlæg!$F$3:$G$8,2,FALSE),1)</f>
        <v>0.91975394314347692</v>
      </c>
      <c r="T77" s="188">
        <f t="shared" si="11"/>
        <v>2.8371416195575816E-2</v>
      </c>
      <c r="U77" s="186">
        <f>O77*IFERROR(VLOOKUP(A77,[1]Tørstofindhold!A$2:B$24,2,FALSE),0)</f>
        <v>2370.8704341706821</v>
      </c>
      <c r="V77" s="187">
        <f>IF(D77=År1,P77,SUM(O77,P77))*IFERROR(VLOOKUP(A77,[1]Tørstofindhold!A$2:B$24,2,FALSE),0)</f>
        <v>79230.531421090753</v>
      </c>
      <c r="W77" s="187">
        <f>J77*IFERROR(VLOOKUP(A77,[1]Tørstofindhold!A$2:B$24,2,FALSE),0)</f>
        <v>76859.660986920062</v>
      </c>
      <c r="X77" s="188">
        <f t="shared" si="12"/>
        <v>2370.8704341706907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46139.885502582598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1028163.7902040067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1028163.7902040067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154113.19774513159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154113.19774513159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154113.19774513159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2.8356828385104209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2.8356828385104209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63956.977064229613</v>
      </c>
      <c r="W82" s="187">
        <f>J82*IFERROR(VLOOKUP(A82,[1]Tørstofindhold!A$2:B$24,2,FALSE),0)</f>
        <v>0</v>
      </c>
      <c r="X82" s="188">
        <f t="shared" ref="X82:X149" si="26">V82-W82</f>
        <v>63956.977064229613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371797.62097043003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371797.62097043003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185898.81048521501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-28200.295606047235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118975.23871053761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118975.23871053761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118975.23871053761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4.1641333548688158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4.1641333548688158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4946902.7535971384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1792000.0223123315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22018.622466809651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3132884.1088179974</v>
      </c>
      <c r="O89" s="190">
        <f t="shared" si="20"/>
        <v>3132884.1088179974</v>
      </c>
      <c r="P89" s="200">
        <f t="shared" si="24"/>
        <v>22018.622466809651</v>
      </c>
      <c r="Q89" s="187">
        <f>IFERROR(VLOOKUP(A89,[1]Energiindhold!$A$2:$C$11,3,FALSE),IFERROR(VLOOKUP(A89,[1]Biogasudbytte!$A$2:$B$18,2,FALSE)*[1]Energiindhold!$C$10,0))*O89</f>
        <v>8.5027727866963971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8.5625322088162168</v>
      </c>
      <c r="S89" s="187">
        <f>IFERROR(VLOOKUP(A89,[1]Biogasudbytte!$A$2:$B$18,2,FALSE)*[1]Energiindhold!$C$10,0)*J89*IFERROR(VLOOKUP(A89,Biogasanlæg!$F$3:$G$8,2,FALSE),1)</f>
        <v>5.9759422119820063E-2</v>
      </c>
      <c r="T89" s="188">
        <f t="shared" si="25"/>
        <v>8.5027727866963971</v>
      </c>
      <c r="U89" s="186">
        <f>O89*IFERROR(VLOOKUP(A89,[1]Tørstofindhold!A$2:B$24,2,FALSE),0)</f>
        <v>626576.82176359952</v>
      </c>
      <c r="V89" s="187">
        <f>IF(D89=År1,P89,SUM(O89,P89))*IFERROR(VLOOKUP(A89,[1]Tørstofindhold!A$2:B$24,2,FALSE),0)</f>
        <v>630980.54625696142</v>
      </c>
      <c r="W89" s="187">
        <f>J89*IFERROR(VLOOKUP(A89,[1]Tørstofindhold!A$2:B$24,2,FALSE),0)</f>
        <v>4403.7244933619304</v>
      </c>
      <c r="X89" s="188">
        <f t="shared" si="26"/>
        <v>626576.82176359952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90277.592701158952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2466809.8451226354</v>
      </c>
      <c r="O92" s="190">
        <f t="shared" si="20"/>
        <v>2466809.8451226354</v>
      </c>
      <c r="P92" s="200">
        <f t="shared" si="24"/>
        <v>1507101.1523820646</v>
      </c>
      <c r="Q92" s="187">
        <f>IFERROR(VLOOKUP(A92,[1]Energiindhold!$A$2:$C$11,3,FALSE),IFERROR(VLOOKUP(A92,[1]Biogasudbytte!$A$2:$B$18,2,FALSE)*[1]Energiindhold!$C$10,0))*O92</f>
        <v>1.2309627808146464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7">
        <f>IFERROR(VLOOKUP(A92,[1]Biogasudbytte!$A$2:$B$18,2,FALSE)*[1]Energiindhold!$C$10,0)*J92*IFERROR(VLOOKUP(A92,Biogasanlæg!$F$3:$G$8,2,FALSE),1)</f>
        <v>0.75205854605017419</v>
      </c>
      <c r="T92" s="188">
        <f t="shared" si="25"/>
        <v>1.2309627808146462</v>
      </c>
      <c r="U92" s="186">
        <f>O92*IFERROR(VLOOKUP(A92,[1]Tørstofindhold!A$2:B$24,2,FALSE),0)</f>
        <v>148008.59070735812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90426.06914292388</v>
      </c>
      <c r="X92" s="188">
        <f t="shared" si="26"/>
        <v>148008.59070735809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13567349.858292963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1507483.3175881065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13567349.858292963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5.8448143189526096</v>
      </c>
      <c r="S93" s="187">
        <f>IFERROR(VLOOKUP(A93,[1]Biogasudbytte!$A$2:$B$18,2,FALSE)*[1]Energiindhold!$C$10,0)*J93*IFERROR(VLOOKUP(A93,Biogasanlæg!$F$3:$G$8,2,FALSE),1)</f>
        <v>5.8448143189526096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678367.49291464826</v>
      </c>
      <c r="W93" s="187">
        <f>J93*IFERROR(VLOOKUP(A93,[1]Tørstofindhold!A$2:B$24,2,FALSE),0)</f>
        <v>678367.49291464826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1256137.4817331168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2216108.0610893057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2216108.0610893057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2216108.0610893057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32.119314874961454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32.119314874961454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1096050.1118804191</v>
      </c>
      <c r="W97" s="187">
        <f>J97*IFERROR(VLOOKUP(A97,[1]Tørstofindhold!A$2:B$24,2,FALSE),0)</f>
        <v>0</v>
      </c>
      <c r="X97" s="188">
        <f t="shared" ca="1" si="26"/>
        <v>1096050.1118804191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613643.91300757031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613643.91300757031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224901.75438810108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160403.2789129091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582835224.4318006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582835224.4318006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582835224.4318006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26332676.453754772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23799312.978394996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2533363.4753597751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863157.36538895033</v>
      </c>
      <c r="O105" s="190">
        <f t="shared" si="20"/>
        <v>863157.36538895033</v>
      </c>
      <c r="P105" s="200">
        <f t="shared" si="24"/>
        <v>1388988.8638442878</v>
      </c>
      <c r="Q105" s="187">
        <f>IFERROR(VLOOKUP(A105,[1]Energiindhold!$A$2:$C$11,3,FALSE),IFERROR(VLOOKUP(A105,[1]Biogasudbytte!$A$2:$B$18,2,FALSE)*[1]Energiindhold!$C$10,0))*O105</f>
        <v>1.859240965047799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7">
        <f>IFERROR(VLOOKUP(A105,[1]Biogasudbytte!$A$2:$B$18,2,FALSE)*[1]Energiindhold!$C$10,0)*J105*IFERROR(VLOOKUP(A105,Biogasanlæg!$F$3:$G$8,2,FALSE),1)</f>
        <v>2.9918820127205961</v>
      </c>
      <c r="T105" s="188">
        <f t="shared" si="25"/>
        <v>1.8592409650477992</v>
      </c>
      <c r="U105" s="186">
        <f>O105*IFERROR(VLOOKUP(A105,[1]Tørstofindhold!A$2:B$24,2,FALSE),0)</f>
        <v>258947.20961668508</v>
      </c>
      <c r="V105" s="187">
        <f>IF(D105=År1,P105,SUM(O105,P105))*IFERROR(VLOOKUP(A105,[1]Tørstofindhold!A$2:B$24,2,FALSE),0)</f>
        <v>675643.8687699713</v>
      </c>
      <c r="W105" s="187">
        <f>J105*IFERROR(VLOOKUP(A105,[1]Tørstofindhold!A$2:B$24,2,FALSE),0)</f>
        <v>416696.65915328631</v>
      </c>
      <c r="X105" s="188">
        <f t="shared" si="26"/>
        <v>258947.209616685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7753.9785502341792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861.55317224824194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7753.9785502341792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3.6466185723896321E-3</v>
      </c>
      <c r="S107" s="187">
        <f>IFERROR(VLOOKUP(A107,[1]Biogasudbytte!$A$2:$B$18,2,FALSE)*[1]Energiindhold!$C$10,0)*J107*IFERROR(VLOOKUP(A107,Biogasanlæg!$F$3:$G$8,2,FALSE),1)</f>
        <v>3.6466185723896321E-3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488.50064866475327</v>
      </c>
      <c r="W107" s="187">
        <f>J107*IFERROR(VLOOKUP(A107,[1]Tørstofindhold!A$2:B$24,2,FALSE),0)</f>
        <v>488.50064866475327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136987.951622947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1122115.8049381305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1122115.8049381305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32149.585150650411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-235829.33520037105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28775768.450113945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66710.304652357008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16471368.236203289</v>
      </c>
      <c r="O112" s="190">
        <f t="shared" si="20"/>
        <v>16471368.236203289</v>
      </c>
      <c r="P112" s="200">
        <f t="shared" si="24"/>
        <v>66710.304652357008</v>
      </c>
      <c r="Q112" s="187">
        <f>IFERROR(VLOOKUP(A112,[1]Energiindhold!$A$2:$C$11,3,FALSE),IFERROR(VLOOKUP(A112,[1]Biogasudbytte!$A$2:$B$18,2,FALSE)*[1]Energiindhold!$C$10,0))*O112</f>
        <v>30.305258633584529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30.427997255356786</v>
      </c>
      <c r="S112" s="187">
        <f>IFERROR(VLOOKUP(A112,[1]Biogasudbytte!$A$2:$B$18,2,FALSE)*[1]Energiindhold!$C$10,0)*J112*IFERROR(VLOOKUP(A112,Biogasanlæg!$F$3:$G$8,2,FALSE),1)</f>
        <v>0.12273862177225536</v>
      </c>
      <c r="T112" s="188">
        <f t="shared" si="25"/>
        <v>30.305258633584529</v>
      </c>
      <c r="U112" s="186">
        <f>O112*IFERROR(VLOOKUP(A112,[1]Tørstofindhold!A$2:B$24,2,FALSE),0)</f>
        <v>4611983.1061369209</v>
      </c>
      <c r="V112" s="187">
        <f>IF(D112=År1,P112,SUM(O112,P112))*IFERROR(VLOOKUP(A112,[1]Tørstofindhold!A$2:B$24,2,FALSE),0)</f>
        <v>4630661.9914395809</v>
      </c>
      <c r="W112" s="187">
        <f>J112*IFERROR(VLOOKUP(A112,[1]Tørstofindhold!A$2:B$24,2,FALSE),0)</f>
        <v>18678.885302659965</v>
      </c>
      <c r="X112" s="188">
        <f t="shared" si="26"/>
        <v>4611983.1061369209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216581.36093452224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-64091.297748916026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2778972.7829183596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55765.563352610865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1226107.8204227071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1281873.383775318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12.994331568919248</v>
      </c>
      <c r="S115" s="187">
        <f>IFERROR(VLOOKUP(A115,[1]Biogasudbytte!$A$2:$B$18,2,FALSE)*[1]Energiindhold!$C$10,0)*J115*IFERROR(VLOOKUP(A115,Biogasanlæg!$F$3:$G$8,2,FALSE),1)</f>
        <v>0.32151858613201206</v>
      </c>
      <c r="T115" s="188">
        <f t="shared" si="25"/>
        <v>12.672812982787237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1089592.3762090204</v>
      </c>
      <c r="W115" s="187">
        <f>J115*IFERROR(VLOOKUP(A115,[1]Tørstofindhold!A$2:B$24,2,FALSE),0)</f>
        <v>47400.728849719235</v>
      </c>
      <c r="X115" s="188">
        <f t="shared" si="26"/>
        <v>1042191.6473593011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-4828427.5390456226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-8.2607434829697013E-2</v>
      </c>
      <c r="O118" s="190">
        <f t="shared" si="20"/>
        <v>0</v>
      </c>
      <c r="P118" s="200">
        <f t="shared" si="24"/>
        <v>519697.15308066551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7">
        <f>IFERROR(VLOOKUP(A118,[1]Biogasudbytte!$A$2:$B$18,2,FALSE)*[1]Energiindhold!$C$10,0)*J118*IFERROR(VLOOKUP(A118,Biogasanlæg!$F$3:$G$8,2,FALSE),1)</f>
        <v>1.9141280261891607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218272.80429387951</v>
      </c>
      <c r="W118" s="187">
        <f>J118*IFERROR(VLOOKUP(A118,[1]Tørstofindhold!A$2:B$24,2,FALSE),0)</f>
        <v>218272.80429387951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714570.3554189268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714570.3554189268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1781984.509456197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1653636.7107617604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5414026.8902810384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5718311.2555674212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2904.8671673179329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-614659.78317224141</v>
      </c>
      <c r="O121" s="190">
        <f t="shared" si="20"/>
        <v>0</v>
      </c>
      <c r="P121" s="200">
        <f t="shared" si="24"/>
        <v>2904.8671673179329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9.9487633666604965E-3</v>
      </c>
      <c r="S121" s="187">
        <f>IFERROR(VLOOKUP(A121,[1]Biogasudbytte!$A$2:$B$18,2,FALSE)*[1]Energiindhold!$C$10,0)*J121*IFERROR(VLOOKUP(A121,Biogasanlæg!$F$3:$G$8,2,FALSE),1)</f>
        <v>9.9487633666604965E-3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900.50882186855915</v>
      </c>
      <c r="W121" s="187">
        <f>J121*IFERROR(VLOOKUP(A121,[1]Tørstofindhold!A$2:B$24,2,FALSE),0)</f>
        <v>900.50882186855915</v>
      </c>
      <c r="X121" s="188">
        <f t="shared" si="26"/>
        <v>0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435280.77140187437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-435280.77140187437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11461865.852294842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1273540.6502549821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11461865.852294842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5.8018818757731268</v>
      </c>
      <c r="S123" s="187">
        <f>IFERROR(VLOOKUP(A123,[1]Biogasudbytte!$A$2:$B$18,2,FALSE)*[1]Energiindhold!$C$10,0)*J123*IFERROR(VLOOKUP(A123,Biogasanlæg!$F$3:$G$8,2,FALSE),1)</f>
        <v>5.8018818757731268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871101.804774408</v>
      </c>
      <c r="W123" s="187">
        <f>J123*IFERROR(VLOOKUP(A123,[1]Tørstofindhold!A$2:B$24,2,FALSE),0)</f>
        <v>871101.804774408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75169.296411052346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5980572.9398795273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254724.42475046791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68794.728659097105</v>
      </c>
      <c r="O125" s="190">
        <f t="shared" si="20"/>
        <v>68794.728659097105</v>
      </c>
      <c r="P125" s="200">
        <f t="shared" si="24"/>
        <v>254724.42475046791</v>
      </c>
      <c r="Q125" s="187">
        <f>IFERROR(VLOOKUP(A125,[1]Energiindhold!$A$2:$C$11,3,FALSE),IFERROR(VLOOKUP(A125,[1]Biogasudbytte!$A$2:$B$18,2,FALSE)*[1]Energiindhold!$C$10,0))*O125</f>
        <v>0.24697307588615863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1.1614337607403384</v>
      </c>
      <c r="S125" s="187">
        <f>IFERROR(VLOOKUP(A125,[1]Biogasudbytte!$A$2:$B$18,2,FALSE)*[1]Energiindhold!$C$10,0)*J125*IFERROR(VLOOKUP(A125,Biogasanlæg!$F$3:$G$8,2,FALSE),1)</f>
        <v>0.91446068485417986</v>
      </c>
      <c r="T125" s="188">
        <f t="shared" si="25"/>
        <v>0.24697307588615858</v>
      </c>
      <c r="U125" s="186">
        <f>O125*IFERROR(VLOOKUP(A125,[1]Tørstofindhold!A$2:B$24,2,FALSE),0)</f>
        <v>20638.418597729131</v>
      </c>
      <c r="V125" s="187">
        <f>IF(D125=År1,P125,SUM(O125,P125))*IFERROR(VLOOKUP(A125,[1]Tørstofindhold!A$2:B$24,2,FALSE),0)</f>
        <v>97055.746022869498</v>
      </c>
      <c r="W125" s="187">
        <f>J125*IFERROR(VLOOKUP(A125,[1]Tørstofindhold!A$2:B$24,2,FALSE),0)</f>
        <v>76417.327425140364</v>
      </c>
      <c r="X125" s="188">
        <f t="shared" si="26"/>
        <v>20638.418597729134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40419.548064407238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1027472.506321969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1027472.506321969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154949.74904422625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154949.74904422625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154949.74904422625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2.8510753824137627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2.8510753824137627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64304.145853353897</v>
      </c>
      <c r="W130" s="187">
        <f>J130*IFERROR(VLOOKUP(A130,[1]Tørstofindhold!A$2:B$24,2,FALSE),0)</f>
        <v>0</v>
      </c>
      <c r="X130" s="188">
        <f t="shared" si="26"/>
        <v>64304.145853353897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370660.6274963881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370660.6274963881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185330.31374819405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-28768.792343068199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118611.40079884419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118611.40079884419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118611.40079884419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4.1513990279595463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4.1513990279595463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4928756.7934970316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1792000.0223123315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21875.621442119991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3114881.14974258</v>
      </c>
      <c r="O137" s="190">
        <f t="shared" si="39"/>
        <v>3114881.14974258</v>
      </c>
      <c r="P137" s="200">
        <f t="shared" si="24"/>
        <v>21875.621442119991</v>
      </c>
      <c r="Q137" s="187">
        <f>IFERROR(VLOOKUP(A137,[1]Energiindhold!$A$2:$C$11,3,FALSE),IFERROR(VLOOKUP(A137,[1]Biogasudbytte!$A$2:$B$18,2,FALSE)*[1]Energiindhold!$C$10,0))*O137</f>
        <v>8.4539120356473525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8.5132833472661247</v>
      </c>
      <c r="S137" s="187">
        <f>IFERROR(VLOOKUP(A137,[1]Biogasudbytte!$A$2:$B$18,2,FALSE)*[1]Energiindhold!$C$10,0)*J137*IFERROR(VLOOKUP(A137,Biogasanlæg!$F$3:$G$8,2,FALSE),1)</f>
        <v>5.9371311618771343E-2</v>
      </c>
      <c r="T137" s="188">
        <f t="shared" si="25"/>
        <v>8.4539120356473525</v>
      </c>
      <c r="U137" s="186">
        <f>O137*IFERROR(VLOOKUP(A137,[1]Tørstofindhold!A$2:B$24,2,FALSE),0)</f>
        <v>622976.229948516</v>
      </c>
      <c r="V137" s="187">
        <f>IF(D137=År1,P137,SUM(O137,P137))*IFERROR(VLOOKUP(A137,[1]Tørstofindhold!A$2:B$24,2,FALSE),0)</f>
        <v>627351.35423694004</v>
      </c>
      <c r="W137" s="187">
        <f>J137*IFERROR(VLOOKUP(A137,[1]Tørstofindhold!A$2:B$24,2,FALSE),0)</f>
        <v>4375.1242884239982</v>
      </c>
      <c r="X137" s="188">
        <f t="shared" si="26"/>
        <v>622976.229948516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86684.513254845398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2558632.3494776348</v>
      </c>
      <c r="O140" s="190">
        <f t="shared" si="39"/>
        <v>2558632.3494776348</v>
      </c>
      <c r="P140" s="200">
        <f t="shared" si="24"/>
        <v>1563200.2483061554</v>
      </c>
      <c r="Q140" s="187">
        <f>IFERROR(VLOOKUP(A140,[1]Energiindhold!$A$2:$C$11,3,FALSE),IFERROR(VLOOKUP(A140,[1]Biogasudbytte!$A$2:$B$18,2,FALSE)*[1]Energiindhold!$C$10,0))*O140</f>
        <v>1.2767831287128346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0.78005255590725475</v>
      </c>
      <c r="T140" s="188">
        <f t="shared" si="25"/>
        <v>1.2767831287128346</v>
      </c>
      <c r="U140" s="186">
        <f>O140*IFERROR(VLOOKUP(A140,[1]Tørstofindhold!A$2:B$24,2,FALSE),0)</f>
        <v>153517.94096865808</v>
      </c>
      <c r="V140" s="187">
        <f>IF(D140=År1,P140,SUM(O140,P140))*IFERROR(VLOOKUP(A140,[1]Tørstofindhold!A$2:B$24,2,FALSE),0)</f>
        <v>247309.9558670274</v>
      </c>
      <c r="W140" s="187">
        <f>J140*IFERROR(VLOOKUP(A140,[1]Tørstofindhold!A$2:B$24,2,FALSE),0)</f>
        <v>93792.014898369322</v>
      </c>
      <c r="X140" s="188">
        <f t="shared" si="26"/>
        <v>153517.94096865808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12989062.590821605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1443229.1767579557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12989062.590821605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5.5956881641259484</v>
      </c>
      <c r="S141" s="187">
        <f>IFERROR(VLOOKUP(A141,[1]Biogasudbytte!$A$2:$B$18,2,FALSE)*[1]Energiindhold!$C$10,0)*J141*IFERROR(VLOOKUP(A141,Biogasanlæg!$F$3:$G$8,2,FALSE),1)</f>
        <v>5.5956881641259484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649453.12954108033</v>
      </c>
      <c r="W141" s="187">
        <f>J141*IFERROR(VLOOKUP(A141,[1]Tørstofindhold!A$2:B$24,2,FALSE),0)</f>
        <v>649453.12954108033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1213523.7829408473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2264707.1819447498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2264707.1819447498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2264707.1819447498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32.823689581596938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32.823689581596938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1120086.4270701741</v>
      </c>
      <c r="W145" s="187">
        <f>J145*IFERROR(VLOOKUP(A145,[1]Tørstofindhold!A$2:B$24,2,FALSE),0)</f>
        <v>0</v>
      </c>
      <c r="X145" s="188">
        <f t="shared" ca="1" si="26"/>
        <v>1120086.4270701741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706150.80367053335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706150.80367053335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309</v>
      </c>
      <c r="B179" s="189" t="s">
        <v>315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310</v>
      </c>
      <c r="B180" s="189" t="s">
        <v>315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65459.686512202337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57543.069758462239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124673463.48885044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124673463.48885044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124673463.48885044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4379699.8256981792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3985467.3639692026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394232.46172897657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111252.83762328496</v>
      </c>
      <c r="O201" s="190">
        <f t="shared" si="59"/>
        <v>111252.83762328496</v>
      </c>
      <c r="P201" s="200">
        <f t="shared" si="49"/>
        <v>179027.55479609076</v>
      </c>
      <c r="Q201" s="187">
        <f>IFERROR(VLOOKUP(A201,[1]Energiindhold!$A$2:$C$11,3,FALSE),IFERROR(VLOOKUP(A201,[1]Biogasudbytte!$A$2:$B$18,2,FALSE)*[1]Energiindhold!$C$10,0))*O201</f>
        <v>0.2396386122405558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7">
        <f>IFERROR(VLOOKUP(A201,[1]Biogasudbytte!$A$2:$B$18,2,FALSE)*[1]Energiindhold!$C$10,0)*J201*IFERROR(VLOOKUP(A201,Biogasanlæg!$F$3:$G$8,2,FALSE),1)</f>
        <v>0.38562535303077949</v>
      </c>
      <c r="T201" s="188">
        <f t="shared" si="50"/>
        <v>0.23963861224055583</v>
      </c>
      <c r="U201" s="186">
        <f>O201*IFERROR(VLOOKUP(A201,[1]Tørstofindhold!A$2:B$24,2,FALSE),0)</f>
        <v>33375.851286985482</v>
      </c>
      <c r="V201" s="187">
        <f>IF(D201=År1,P201,SUM(O201,P201))*IFERROR(VLOOKUP(A201,[1]Tørstofindhold!A$2:B$24,2,FALSE),0)</f>
        <v>87084.117725812714</v>
      </c>
      <c r="W201" s="187">
        <f>J201*IFERROR(VLOOKUP(A201,[1]Tørstofindhold!A$2:B$24,2,FALSE),0)</f>
        <v>53708.266438827224</v>
      </c>
      <c r="X201" s="188">
        <f t="shared" si="51"/>
        <v>33375.851286985489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630.18173263756921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70.020192515285444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630.18173263756921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2.9636816704212241E-4</v>
      </c>
      <c r="S203" s="187">
        <f>IFERROR(VLOOKUP(A203,[1]Biogasudbytte!$A$2:$B$18,2,FALSE)*[1]Energiindhold!$C$10,0)*J203*IFERROR(VLOOKUP(A203,Biogasanlæg!$F$3:$G$8,2,FALSE),1)</f>
        <v>2.9636816704212241E-4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39.701449156166859</v>
      </c>
      <c r="W203" s="187">
        <f>J203*IFERROR(VLOOKUP(A203,[1]Tørstofindhold!A$2:B$24,2,FALSE),0)</f>
        <v>39.701449156166859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-15316.072808753132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346630.49211305089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346630.49211305089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9699.0512854034223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-213624.89136790586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7895881.161335798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18638.04269080954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6375175.0426332736</v>
      </c>
      <c r="O208" s="190">
        <f t="shared" si="59"/>
        <v>6375175.0426332736</v>
      </c>
      <c r="P208" s="200">
        <f t="shared" si="49"/>
        <v>18638.04269080954</v>
      </c>
      <c r="Q208" s="187">
        <f>IFERROR(VLOOKUP(A208,[1]Energiindhold!$A$2:$C$11,3,FALSE),IFERROR(VLOOKUP(A208,[1]Biogasudbytte!$A$2:$B$18,2,FALSE)*[1]Energiindhold!$C$10,0))*O208</f>
        <v>11.729525181564895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11.763816850360648</v>
      </c>
      <c r="S208" s="187">
        <f>IFERROR(VLOOKUP(A208,[1]Biogasudbytte!$A$2:$B$18,2,FALSE)*[1]Energiindhold!$C$10,0)*J208*IFERROR(VLOOKUP(A208,Biogasanlæg!$F$3:$G$8,2,FALSE),1)</f>
        <v>3.4291668795753204E-2</v>
      </c>
      <c r="T208" s="188">
        <f t="shared" si="50"/>
        <v>11.729525181564895</v>
      </c>
      <c r="U208" s="186">
        <f>O208*IFERROR(VLOOKUP(A208,[1]Tørstofindhold!A$2:B$24,2,FALSE),0)</f>
        <v>1785049.0119373167</v>
      </c>
      <c r="V208" s="187">
        <f>IF(D208=År1,P208,SUM(O208,P208))*IFERROR(VLOOKUP(A208,[1]Tørstofindhold!A$2:B$24,2,FALSE),0)</f>
        <v>1790267.6638907436</v>
      </c>
      <c r="W208" s="187">
        <f>J208*IFERROR(VLOOKUP(A208,[1]Tørstofindhold!A$2:B$24,2,FALSE),0)</f>
        <v>5218.6519534266718</v>
      </c>
      <c r="X208" s="188">
        <f t="shared" si="51"/>
        <v>1785049.011937317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65388.861876856266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-168513.58332318871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882480.82740038994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19538.475985137196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664532.04377896735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684070.51976410451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6.9811243754799142</v>
      </c>
      <c r="S211" s="187">
        <f>IFERROR(VLOOKUP(A211,[1]Biogasudbytte!$A$2:$B$18,2,FALSE)*[1]Energiindhold!$C$10,0)*J211*IFERROR(VLOOKUP(A211,Biogasanlæg!$F$3:$G$8,2,FALSE),1)</f>
        <v>0.11264986483134792</v>
      </c>
      <c r="T211" s="188">
        <f t="shared" si="50"/>
        <v>6.8684745106485661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581459.94179948885</v>
      </c>
      <c r="W211" s="187">
        <f>J211*IFERROR(VLOOKUP(A211,[1]Tørstofindhold!A$2:B$24,2,FALSE),0)</f>
        <v>16607.704587366617</v>
      </c>
      <c r="X211" s="188">
        <f t="shared" si="51"/>
        <v>564852.23721212219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-592646.72642582119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0.11260809309897013</v>
      </c>
      <c r="O214" s="190">
        <f t="shared" si="59"/>
        <v>0.11260809309897013</v>
      </c>
      <c r="P214" s="200">
        <f t="shared" si="49"/>
        <v>202910.8690139266</v>
      </c>
      <c r="Q214" s="187">
        <f>IFERROR(VLOOKUP(A214,[1]Energiindhold!$A$2:$C$11,3,FALSE),IFERROR(VLOOKUP(A214,[1]Biogasudbytte!$A$2:$B$18,2,FALSE)*[1]Energiindhold!$C$10,0))*O214</f>
        <v>4.8794550644994054E-7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7">
        <f>IFERROR(VLOOKUP(A214,[1]Biogasudbytte!$A$2:$B$18,2,FALSE)*[1]Energiindhold!$C$10,0)*J214*IFERROR(VLOOKUP(A214,Biogasanlæg!$F$3:$G$8,2,FALSE),1)</f>
        <v>0.74735329777276838</v>
      </c>
      <c r="T214" s="188">
        <f t="shared" si="50"/>
        <v>4.8794550644437606E-7</v>
      </c>
      <c r="U214" s="186">
        <f>O214*IFERROR(VLOOKUP(A214,[1]Tørstofindhold!A$2:B$24,2,FALSE),0)</f>
        <v>4.7295399101567451E-2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85222.564985849167</v>
      </c>
      <c r="X214" s="188">
        <f t="shared" si="51"/>
        <v>4.7295399097492918E-2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209163.10303539436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209163.10303539436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508362.7913025436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401402.37666332704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1594975.3137968828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701872.07302810857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863.45444688969167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636004.9468565085</v>
      </c>
      <c r="O217" s="190">
        <f t="shared" si="59"/>
        <v>17371.896185037214</v>
      </c>
      <c r="P217" s="200">
        <f t="shared" si="63"/>
        <v>863.45444688969167</v>
      </c>
      <c r="Q217" s="187">
        <f>IFERROR(VLOOKUP(A217,[1]Energiindhold!$A$2:$C$11,3,FALSE),IFERROR(VLOOKUP(A217,[1]Biogasudbytte!$A$2:$B$18,2,FALSE)*[1]Energiindhold!$C$10,0))*O217</f>
        <v>5.9496312368286564E-2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6.2453522965261195E-2</v>
      </c>
      <c r="S217" s="187">
        <f>IFERROR(VLOOKUP(A217,[1]Biogasudbytte!$A$2:$B$18,2,FALSE)*[1]Energiindhold!$C$10,0)*J217*IFERROR(VLOOKUP(A217,Biogasanlæg!$F$3:$G$8,2,FALSE),1)</f>
        <v>2.9572105969746299E-3</v>
      </c>
      <c r="T217" s="188">
        <f t="shared" si="64"/>
        <v>5.9496312368286564E-2</v>
      </c>
      <c r="U217" s="186">
        <f>O217*IFERROR(VLOOKUP(A217,[1]Tørstofindhold!A$2:B$24,2,FALSE),0)</f>
        <v>5385.2878173615363</v>
      </c>
      <c r="V217" s="187">
        <f>IF(D217=År1,P217,SUM(O217,P217))*IFERROR(VLOOKUP(A217,[1]Tørstofindhold!A$2:B$24,2,FALSE),0)</f>
        <v>5652.9586958973414</v>
      </c>
      <c r="W217" s="187">
        <f>J217*IFERROR(VLOOKUP(A217,[1]Tørstofindhold!A$2:B$24,2,FALSE),0)</f>
        <v>267.67087853580443</v>
      </c>
      <c r="X217" s="188">
        <f t="shared" si="65"/>
        <v>5385.2878173615372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319547.2882527773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-319547.2882527773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830510.25539958803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92278.917266620876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830510.25539958803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0.4203959861807175</v>
      </c>
      <c r="S219" s="187">
        <f>IFERROR(VLOOKUP(A219,[1]Biogasudbytte!$A$2:$B$18,2,FALSE)*[1]Energiindhold!$C$10,0)*J219*IFERROR(VLOOKUP(A219,Biogasanlæg!$F$3:$G$8,2,FALSE),1)</f>
        <v>0.4203959861807175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63118.77941036869</v>
      </c>
      <c r="W219" s="187">
        <f>J219*IFERROR(VLOOKUP(A219,[1]Tørstofindhold!A$2:B$24,2,FALSE),0)</f>
        <v>63118.77941036869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-70829.959819299416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1706260.1464788285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73827.130043599784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938079.75532594114</v>
      </c>
      <c r="O221" s="190">
        <f t="shared" si="59"/>
        <v>938079.75532594114</v>
      </c>
      <c r="P221" s="200">
        <f t="shared" si="63"/>
        <v>73827.130043599784</v>
      </c>
      <c r="Q221" s="187">
        <f>IFERROR(VLOOKUP(A221,[1]Energiindhold!$A$2:$C$11,3,FALSE),IFERROR(VLOOKUP(A221,[1]Biogasudbytte!$A$2:$B$18,2,FALSE)*[1]Energiindhold!$C$10,0))*O221</f>
        <v>3.3677063216201288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3.6327457184766523</v>
      </c>
      <c r="S221" s="187">
        <f>IFERROR(VLOOKUP(A221,[1]Biogasudbytte!$A$2:$B$18,2,FALSE)*[1]Energiindhold!$C$10,0)*J221*IFERROR(VLOOKUP(A221,Biogasanlæg!$F$3:$G$8,2,FALSE),1)</f>
        <v>0.26503939685652322</v>
      </c>
      <c r="T221" s="188">
        <f t="shared" si="64"/>
        <v>3.3677063216201288</v>
      </c>
      <c r="U221" s="186">
        <f>O221*IFERROR(VLOOKUP(A221,[1]Tørstofindhold!A$2:B$24,2,FALSE),0)</f>
        <v>281423.92659778235</v>
      </c>
      <c r="V221" s="187">
        <f>IF(D221=År1,P221,SUM(O221,P221))*IFERROR(VLOOKUP(A221,[1]Tørstofindhold!A$2:B$24,2,FALSE),0)</f>
        <v>303572.06561086228</v>
      </c>
      <c r="W221" s="187">
        <f>J221*IFERROR(VLOOKUP(A221,[1]Tørstofindhold!A$2:B$24,2,FALSE),0)</f>
        <v>22148.139013079934</v>
      </c>
      <c r="X221" s="188">
        <f t="shared" si="65"/>
        <v>281423.92659778235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-44429.913859121647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299252.17599197297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299252.17599197297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42488.00877346145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42488.00877346145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42488.00877346145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0.78177936143169058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0.78177936143169058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17632.523640986503</v>
      </c>
      <c r="W226" s="187">
        <f>J226*IFERROR(VLOOKUP(A226,[1]Tørstofindhold!A$2:B$24,2,FALSE),0)</f>
        <v>0</v>
      </c>
      <c r="X226" s="188">
        <f t="shared" si="65"/>
        <v>17632.523640986503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110532.40398074606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110532.40398074606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55266.201990373032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28987.432488374656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35370.36927383874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35370.36927383874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35370.36927383874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1.2379629245843558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1.2379629245843558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1488741.8735992862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219952.13522212644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6626.3775331903453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1262163.3608439695</v>
      </c>
      <c r="O233" s="190">
        <f t="shared" si="59"/>
        <v>1262163.3608439695</v>
      </c>
      <c r="P233" s="200">
        <f t="shared" si="63"/>
        <v>6626.3775331903453</v>
      </c>
      <c r="Q233" s="187">
        <f>IFERROR(VLOOKUP(A233,[1]Energiindhold!$A$2:$C$11,3,FALSE),IFERROR(VLOOKUP(A233,[1]Biogasudbytte!$A$2:$B$18,2,FALSE)*[1]Energiindhold!$C$10,0))*O233</f>
        <v>3.4255618478649672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3.443546101545147</v>
      </c>
      <c r="S233" s="187">
        <f>IFERROR(VLOOKUP(A233,[1]Biogasudbytte!$A$2:$B$18,2,FALSE)*[1]Energiindhold!$C$10,0)*J233*IFERROR(VLOOKUP(A233,Biogasanlæg!$F$3:$G$8,2,FALSE),1)</f>
        <v>1.7984253680179925E-2</v>
      </c>
      <c r="T233" s="188">
        <f t="shared" si="64"/>
        <v>3.4255618478649672</v>
      </c>
      <c r="U233" s="186">
        <f>O233*IFERROR(VLOOKUP(A233,[1]Tørstofindhold!A$2:B$24,2,FALSE),0)</f>
        <v>252432.67216879391</v>
      </c>
      <c r="V233" s="187">
        <f>IF(D233=År1,P233,SUM(O233,P233))*IFERROR(VLOOKUP(A233,[1]Tørstofindhold!A$2:B$24,2,FALSE),0)</f>
        <v>253757.94767543199</v>
      </c>
      <c r="W233" s="187">
        <f>J233*IFERROR(VLOOKUP(A233,[1]Tørstofindhold!A$2:B$24,2,FALSE),0)</f>
        <v>1325.2755066380691</v>
      </c>
      <c r="X233" s="188">
        <f t="shared" si="65"/>
        <v>252432.67216879391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13452.493793691661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2075825.4422153998</v>
      </c>
      <c r="O236" s="190">
        <f t="shared" si="59"/>
        <v>2075825.4422153998</v>
      </c>
      <c r="P236" s="200">
        <f t="shared" si="63"/>
        <v>1268228.6485488336</v>
      </c>
      <c r="Q236" s="187">
        <f>IFERROR(VLOOKUP(A236,[1]Energiindhold!$A$2:$C$11,3,FALSE),IFERROR(VLOOKUP(A236,[1]Biogasudbytte!$A$2:$B$18,2,FALSE)*[1]Energiindhold!$C$10,0))*O236</f>
        <v>1.0358576539199069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7">
        <f>IFERROR(VLOOKUP(A236,[1]Biogasudbytte!$A$2:$B$18,2,FALSE)*[1]Energiindhold!$C$10,0)*J236*IFERROR(VLOOKUP(A236,Biogasanlæg!$F$3:$G$8,2,FALSE),1)</f>
        <v>0.63285877791235357</v>
      </c>
      <c r="T236" s="188">
        <f t="shared" si="64"/>
        <v>1.0358576539199069</v>
      </c>
      <c r="U236" s="186">
        <f>O236*IFERROR(VLOOKUP(A236,[1]Tørstofindhold!A$2:B$24,2,FALSE),0)</f>
        <v>124549.52653292398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76093.71891293001</v>
      </c>
      <c r="X236" s="188">
        <f t="shared" si="65"/>
        <v>124549.52653292399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1965869.8542385614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218429.98380428454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1965869.8542385614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0.84689673320597236</v>
      </c>
      <c r="S237" s="187">
        <f>IFERROR(VLOOKUP(A237,[1]Biogasudbytte!$A$2:$B$18,2,FALSE)*[1]Energiindhold!$C$10,0)*J237*IFERROR(VLOOKUP(A237,Biogasanlæg!$F$3:$G$8,2,FALSE),1)</f>
        <v>0.84689673320597236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98293.492711928076</v>
      </c>
      <c r="W237" s="187">
        <f>J237*IFERROR(VLOOKUP(A237,[1]Tørstofindhold!A$2:B$24,2,FALSE),0)</f>
        <v>98293.492711928076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94143.6721787524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647463.53775021608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647463.53775021608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647463.53775021608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9.3840573951224986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9.3840573951224986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320224.67471229436</v>
      </c>
      <c r="W241" s="187">
        <f>J241*IFERROR(VLOOKUP(A241,[1]Tørstofindhold!A$2:B$24,2,FALSE),0)</f>
        <v>0</v>
      </c>
      <c r="X241" s="188">
        <f t="shared" ca="1" si="65"/>
        <v>320224.67471229436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178867.25625835601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178867.25625835601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67062.574851910627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59145.958098170529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125480344.36478814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125480344.36478814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125480344.36478814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4357183.7703608098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3937996.2168795727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419187.55348123703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117157.3403942571</v>
      </c>
      <c r="O249" s="190">
        <f t="shared" si="59"/>
        <v>117157.3403942571</v>
      </c>
      <c r="P249" s="200">
        <f t="shared" si="63"/>
        <v>188529.05350799995</v>
      </c>
      <c r="Q249" s="187">
        <f>IFERROR(VLOOKUP(A249,[1]Energiindhold!$A$2:$C$11,3,FALSE),IFERROR(VLOOKUP(A249,[1]Biogasudbytte!$A$2:$B$18,2,FALSE)*[1]Energiindhold!$C$10,0))*O249</f>
        <v>0.25235691120922982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7">
        <f>IFERROR(VLOOKUP(A249,[1]Biogasudbytte!$A$2:$B$18,2,FALSE)*[1]Energiindhold!$C$10,0)*J249*IFERROR(VLOOKUP(A249,Biogasanlæg!$F$3:$G$8,2,FALSE),1)</f>
        <v>0.4060915812562319</v>
      </c>
      <c r="T249" s="188">
        <f t="shared" si="64"/>
        <v>0.25235691120922976</v>
      </c>
      <c r="U249" s="186">
        <f>O249*IFERROR(VLOOKUP(A249,[1]Tørstofindhold!A$2:B$24,2,FALSE),0)</f>
        <v>35147.202118277128</v>
      </c>
      <c r="V249" s="187">
        <f>IF(D249=År1,P249,SUM(O249,P249))*IFERROR(VLOOKUP(A249,[1]Tørstofindhold!A$2:B$24,2,FALSE),0)</f>
        <v>91705.91817067712</v>
      </c>
      <c r="W249" s="187">
        <f>J249*IFERROR(VLOOKUP(A249,[1]Tørstofindhold!A$2:B$24,2,FALSE),0)</f>
        <v>56558.716052399985</v>
      </c>
      <c r="X249" s="188">
        <f t="shared" si="65"/>
        <v>35147.202118277135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650.78855763169781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72.309839736855295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650.78855763169781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3.0605935076861117E-4</v>
      </c>
      <c r="S251" s="187">
        <f>IFERROR(VLOOKUP(A251,[1]Biogasudbytte!$A$2:$B$18,2,FALSE)*[1]Energiindhold!$C$10,0)*J251*IFERROR(VLOOKUP(A251,Biogasanlæg!$F$3:$G$8,2,FALSE),1)</f>
        <v>3.0605935076861117E-4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40.999679130796963</v>
      </c>
      <c r="W251" s="187">
        <f>J251*IFERROR(VLOOKUP(A251,[1]Tørstofindhold!A$2:B$24,2,FALSE),0)</f>
        <v>40.999679130796963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-17417.887295631779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355996.9988204384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355996.9988204384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9944.0855806479794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-223850.93041182583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8181363.2306406535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18966.695347643046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6660328.4592812965</v>
      </c>
      <c r="O256" s="190">
        <f t="shared" si="59"/>
        <v>6660328.4592812965</v>
      </c>
      <c r="P256" s="200">
        <f t="shared" si="63"/>
        <v>18966.695347643046</v>
      </c>
      <c r="Q256" s="187">
        <f>IFERROR(VLOOKUP(A256,[1]Energiindhold!$A$2:$C$11,3,FALSE),IFERROR(VLOOKUP(A256,[1]Biogasudbytte!$A$2:$B$18,2,FALSE)*[1]Energiindhold!$C$10,0))*O256</f>
        <v>12.254171824020176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12.289068172622921</v>
      </c>
      <c r="S256" s="187">
        <f>IFERROR(VLOOKUP(A256,[1]Biogasudbytte!$A$2:$B$18,2,FALSE)*[1]Energiindhold!$C$10,0)*J256*IFERROR(VLOOKUP(A256,Biogasanlæg!$F$3:$G$8,2,FALSE),1)</f>
        <v>3.4896348602744751E-2</v>
      </c>
      <c r="T256" s="188">
        <f t="shared" si="64"/>
        <v>12.254171824020176</v>
      </c>
      <c r="U256" s="186">
        <f>O256*IFERROR(VLOOKUP(A256,[1]Tørstofindhold!A$2:B$24,2,FALSE),0)</f>
        <v>1864891.9685987632</v>
      </c>
      <c r="V256" s="187">
        <f>IF(D256=År1,P256,SUM(O256,P256))*IFERROR(VLOOKUP(A256,[1]Tørstofindhold!A$2:B$24,2,FALSE),0)</f>
        <v>1870202.6432961035</v>
      </c>
      <c r="W256" s="187">
        <f>J256*IFERROR(VLOOKUP(A256,[1]Tørstofindhold!A$2:B$24,2,FALSE),0)</f>
        <v>5310.6746973400532</v>
      </c>
      <c r="X256" s="188">
        <f t="shared" si="65"/>
        <v>1864891.9685987635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66539.660453061777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-178329.85629695025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846268.68837888993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20168.436647389117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628148.3792896556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648316.81593704468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6.6087019288069877</v>
      </c>
      <c r="S259" s="187">
        <f>IFERROR(VLOOKUP(A259,[1]Biogasudbytte!$A$2:$B$18,2,FALSE)*[1]Energiindhold!$C$10,0)*J259*IFERROR(VLOOKUP(A259,Biogasanlæg!$F$3:$G$8,2,FALSE),1)</f>
        <v>0.11628192822798786</v>
      </c>
      <c r="T259" s="188">
        <f t="shared" si="64"/>
        <v>6.492420000579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551069.29354648793</v>
      </c>
      <c r="W259" s="187">
        <f>J259*IFERROR(VLOOKUP(A259,[1]Tørstofindhold!A$2:B$24,2,FALSE),0)</f>
        <v>17143.171150280748</v>
      </c>
      <c r="X259" s="188">
        <f t="shared" si="65"/>
        <v>533926.12239620718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-592646.72642582108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-3.2320689118932933E-2</v>
      </c>
      <c r="O262" s="190">
        <f t="shared" si="75"/>
        <v>0</v>
      </c>
      <c r="P262" s="200">
        <f t="shared" si="63"/>
        <v>203334.8469193347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7">
        <f>IFERROR(VLOOKUP(A262,[1]Biogasudbytte!$A$2:$B$18,2,FALSE)*[1]Energiindhold!$C$10,0)*J262*IFERROR(VLOOKUP(A262,Biogasanlæg!$F$3:$G$8,2,FALSE),1)</f>
        <v>0.74891487644684029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85400.635706120564</v>
      </c>
      <c r="W262" s="187">
        <f>J262*IFERROR(VLOOKUP(A262,[1]Tørstofindhold!A$2:B$24,2,FALSE),0)</f>
        <v>85400.635706120564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214327.36252781507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214327.36252781507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520788.5325158292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408813.02485627594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1642235.7978092346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701872.07302810845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881.1328326820676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671233.57359918463</v>
      </c>
      <c r="O265" s="190">
        <f t="shared" si="75"/>
        <v>56573.790426943218</v>
      </c>
      <c r="P265" s="200">
        <f t="shared" si="63"/>
        <v>881.1328326820676</v>
      </c>
      <c r="Q265" s="187">
        <f>IFERROR(VLOOKUP(A265,[1]Energiindhold!$A$2:$C$11,3,FALSE),IFERROR(VLOOKUP(A265,[1]Biogasudbytte!$A$2:$B$18,2,FALSE)*[1]Energiindhold!$C$10,0))*O265</f>
        <v>0.19375731188162079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0.19677506847496029</v>
      </c>
      <c r="S265" s="187">
        <f>IFERROR(VLOOKUP(A265,[1]Biogasudbytte!$A$2:$B$18,2,FALSE)*[1]Energiindhold!$C$10,0)*J265*IFERROR(VLOOKUP(A265,Biogasanlæg!$F$3:$G$8,2,FALSE),1)</f>
        <v>3.0177565933395068E-3</v>
      </c>
      <c r="T265" s="188">
        <f t="shared" si="64"/>
        <v>0.19375731188162079</v>
      </c>
      <c r="U265" s="186">
        <f>O265*IFERROR(VLOOKUP(A265,[1]Tørstofindhold!A$2:B$24,2,FALSE),0)</f>
        <v>17537.875032352396</v>
      </c>
      <c r="V265" s="187">
        <f>IF(D265=År1,P265,SUM(O265,P265))*IFERROR(VLOOKUP(A265,[1]Tørstofindhold!A$2:B$24,2,FALSE),0)</f>
        <v>17811.026210483837</v>
      </c>
      <c r="W265" s="187">
        <f>J265*IFERROR(VLOOKUP(A265,[1]Tørstofindhold!A$2:B$24,2,FALSE),0)</f>
        <v>273.15117813144093</v>
      </c>
      <c r="X265" s="188">
        <f t="shared" si="65"/>
        <v>17537.875032352396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301568.11342159985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-301568.11342159985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814640.76605924184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90515.640673249072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814640.76605924184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0.4123630093715277</v>
      </c>
      <c r="S267" s="187">
        <f>IFERROR(VLOOKUP(A267,[1]Biogasudbytte!$A$2:$B$18,2,FALSE)*[1]Energiindhold!$C$10,0)*J267*IFERROR(VLOOKUP(A267,Biogasanlæg!$F$3:$G$8,2,FALSE),1)</f>
        <v>0.4123630093715277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61912.698220502381</v>
      </c>
      <c r="W267" s="187">
        <f>J267*IFERROR(VLOOKUP(A267,[1]Tørstofindhold!A$2:B$24,2,FALSE),0)</f>
        <v>61912.698220502381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-72970.026349509179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1767975.5826667205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75301.575249532107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998320.74630790087</v>
      </c>
      <c r="O269" s="190">
        <f t="shared" si="75"/>
        <v>998320.74630790087</v>
      </c>
      <c r="P269" s="200">
        <f t="shared" si="63"/>
        <v>75301.575249532107</v>
      </c>
      <c r="Q269" s="187">
        <f>IFERROR(VLOOKUP(A269,[1]Energiindhold!$A$2:$C$11,3,FALSE),IFERROR(VLOOKUP(A269,[1]Biogasudbytte!$A$2:$B$18,2,FALSE)*[1]Energiindhold!$C$10,0))*O269</f>
        <v>3.5839714792453643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3.8543041343911844</v>
      </c>
      <c r="S269" s="187">
        <f>IFERROR(VLOOKUP(A269,[1]Biogasudbytte!$A$2:$B$18,2,FALSE)*[1]Energiindhold!$C$10,0)*J269*IFERROR(VLOOKUP(A269,Biogasanlæg!$F$3:$G$8,2,FALSE),1)</f>
        <v>0.27033265514582028</v>
      </c>
      <c r="T269" s="188">
        <f t="shared" si="64"/>
        <v>3.5839714792453643</v>
      </c>
      <c r="U269" s="186">
        <f>O269*IFERROR(VLOOKUP(A269,[1]Tørstofindhold!A$2:B$24,2,FALSE),0)</f>
        <v>299496.22389237024</v>
      </c>
      <c r="V269" s="187">
        <f>IF(D269=År1,P269,SUM(O269,P269))*IFERROR(VLOOKUP(A269,[1]Tørstofindhold!A$2:B$24,2,FALSE),0)</f>
        <v>322086.69646722986</v>
      </c>
      <c r="W269" s="187">
        <f>J269*IFERROR(VLOOKUP(A269,[1]Tørstofindhold!A$2:B$24,2,FALSE),0)</f>
        <v>22590.472574859632</v>
      </c>
      <c r="X269" s="188">
        <f t="shared" si="65"/>
        <v>299496.22389237024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-47107.150175456467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306756.0551149071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306756.0551149071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43629.687083109289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43629.687083109289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43629.687083109289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0.80278624232921081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0.80278624232921081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18106.320139490355</v>
      </c>
      <c r="W274" s="187">
        <f>J274*IFERROR(VLOOKUP(A274,[1]Tørstofindhold!A$2:B$24,2,FALSE),0)</f>
        <v>0</v>
      </c>
      <c r="X274" s="188">
        <f t="shared" si="65"/>
        <v>18106.320139490355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113182.04384415773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113182.04384415773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56591.021922078864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30312.252420080491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36218.254030130476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36218.254030130476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36218.254030130476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1.2676388910545666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1.2676388910545666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1525196.4678207021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219952.13522212638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6769.3785578800062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1298474.9540406957</v>
      </c>
      <c r="O281" s="190">
        <f t="shared" si="89"/>
        <v>1298474.9540406957</v>
      </c>
      <c r="P281" s="200">
        <f t="shared" si="63"/>
        <v>6769.3785578800062</v>
      </c>
      <c r="Q281" s="187">
        <f>IFERROR(VLOOKUP(A281,[1]Energiindhold!$A$2:$C$11,3,FALSE),IFERROR(VLOOKUP(A281,[1]Biogasudbytte!$A$2:$B$18,2,FALSE)*[1]Energiindhold!$C$10,0))*O281</f>
        <v>3.5241129642646096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3.5424853284458382</v>
      </c>
      <c r="S281" s="187">
        <f>IFERROR(VLOOKUP(A281,[1]Biogasudbytte!$A$2:$B$18,2,FALSE)*[1]Energiindhold!$C$10,0)*J281*IFERROR(VLOOKUP(A281,Biogasanlæg!$F$3:$G$8,2,FALSE),1)</f>
        <v>1.8372364181228652E-2</v>
      </c>
      <c r="T281" s="188">
        <f t="shared" si="64"/>
        <v>3.5241129642646096</v>
      </c>
      <c r="U281" s="186">
        <f>O281*IFERROR(VLOOKUP(A281,[1]Tørstofindhold!A$2:B$24,2,FALSE),0)</f>
        <v>259694.99080813915</v>
      </c>
      <c r="V281" s="187">
        <f>IF(D281=År1,P281,SUM(O281,P281))*IFERROR(VLOOKUP(A281,[1]Tørstofindhold!A$2:B$24,2,FALSE),0)</f>
        <v>261048.86651971514</v>
      </c>
      <c r="W281" s="187">
        <f>J281*IFERROR(VLOOKUP(A281,[1]Tørstofindhold!A$2:B$24,2,FALSE),0)</f>
        <v>1353.8757115760013</v>
      </c>
      <c r="X281" s="188">
        <f t="shared" si="65"/>
        <v>259694.99080813915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12947.841322392087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2172803.782014261</v>
      </c>
      <c r="O284" s="190">
        <f t="shared" si="89"/>
        <v>2172803.782014261</v>
      </c>
      <c r="P284" s="200">
        <f t="shared" si="94"/>
        <v>1327477.7098236387</v>
      </c>
      <c r="Q284" s="187">
        <f>IFERROR(VLOOKUP(A284,[1]Energiindhold!$A$2:$C$11,3,FALSE),IFERROR(VLOOKUP(A284,[1]Biogasudbytte!$A$2:$B$18,2,FALSE)*[1]Energiindhold!$C$10,0))*O284</f>
        <v>1.0842508152629364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0.66242465197909406</v>
      </c>
      <c r="T284" s="188">
        <f t="shared" si="95"/>
        <v>1.0842508152629367</v>
      </c>
      <c r="U284" s="186">
        <f>O284*IFERROR(VLOOKUP(A284,[1]Tørstofindhold!A$2:B$24,2,FALSE),0)</f>
        <v>130368.22692085565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79648.662589418323</v>
      </c>
      <c r="X284" s="188">
        <f t="shared" si="96"/>
        <v>130368.22692085564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1882077.6974735428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209119.74416372692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1882077.6974735428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0.8107990720716024</v>
      </c>
      <c r="S285" s="187">
        <f>IFERROR(VLOOKUP(A285,[1]Biogasudbytte!$A$2:$B$18,2,FALSE)*[1]Energiindhold!$C$10,0)*J285*IFERROR(VLOOKUP(A285,Biogasanlæg!$F$3:$G$8,2,FALSE),1)</f>
        <v>0.8107990720716024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94103.884873677147</v>
      </c>
      <c r="W285" s="187">
        <f>J285*IFERROR(VLOOKUP(A285,[1]Tørstofindhold!A$2:B$24,2,FALSE),0)</f>
        <v>94103.884873677147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83709.698034187008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636114.09576760326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636114.09576760326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636114.09576760326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9.2195634757621487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9.2195634757621487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314611.42986506043</v>
      </c>
      <c r="W289" s="187">
        <f>J289*IFERROR(VLOOKUP(A289,[1]Tørstofindhold!A$2:B$24,2,FALSE),0)</f>
        <v>0</v>
      </c>
      <c r="X289" s="188">
        <f t="shared" ca="1" si="96"/>
        <v>314611.42986506043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191083.2231889611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191083.2231889611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8" t="s">
        <v>23</v>
      </c>
      <c r="B2" s="449"/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50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4" t="s">
        <v>7</v>
      </c>
      <c r="D3" s="445"/>
      <c r="E3" s="445"/>
      <c r="F3" s="445"/>
      <c r="G3" s="445"/>
      <c r="H3" s="445"/>
      <c r="I3" s="445"/>
      <c r="J3" s="445"/>
      <c r="K3" s="446"/>
      <c r="L3" s="444" t="s">
        <v>8</v>
      </c>
      <c r="M3" s="445"/>
      <c r="N3" s="445"/>
      <c r="O3" s="445"/>
      <c r="P3" s="445"/>
      <c r="Q3" s="445"/>
      <c r="R3" s="445"/>
      <c r="S3" s="445"/>
      <c r="T3" s="446"/>
      <c r="U3" s="71"/>
      <c r="W3" s="31" t="s">
        <v>275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626883.0692116532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11922.834521505016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6568.2132942811186</v>
      </c>
      <c r="I6" s="11">
        <f>IF(Landbrug!$E$47&gt;0,SUMIF(Landbrug!$B$32:$B$45,$B6,IF($I$4=År2,Landbrug!$D$32:$D$45,Landbrug!$E$32:$E$45)),'[1]Afgrødefordeling - jordtype'!$G4)*(1-Landbrug!$E$5)*Arealanvendelse!P$26</f>
        <v>565604.28432456835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11371.489572533685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6264.4808876091583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97837.242015691561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1860.7892027782393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1025.0968725178625</v>
      </c>
      <c r="R6" s="11">
        <f>IF(Landbrug!$E$47&gt;0,SUMIF(Landbrug!$B$32:$B$45,$B6,IF($R$4=År2,Landbrug!$D$32:$D$45,Landbrug!$E$32:$E$45)),'[1]Afgrødefordeling - jordtype'!$G4)*(Landbrug!$E$5)*Arealanvendelse!P$26</f>
        <v>119976.66637187812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2412.1341517495694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1328.8292791898216</v>
      </c>
      <c r="U6" s="94"/>
      <c r="W6" s="31" t="s">
        <v>278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48240.728267248036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1022.0754868257757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378.19261338172629</v>
      </c>
      <c r="I7" s="11">
        <f>IF(Landbrug!$E$47&gt;0,SUMIF(Landbrug!$B$32:$B$45,$B7,IF($I$4=År2,Landbrug!$D$32:$D$45,Landbrug!$E$32:$E$45)),'[1]Afgrødefordeling - jordtype'!$G5)*(1-Landbrug!$E$5)*Arealanvendelse!P$26</f>
        <v>43525.122829055959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974.81188049857212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360.7039376184095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7528.8997873739718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159.51467135431182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59.024280701194286</v>
      </c>
      <c r="R7" s="11">
        <f>IF(Landbrug!$E$47&gt;0,SUMIF(Landbrug!$B$32:$B$45,$B7,IF($R$4=År2,Landbrug!$D$32:$D$45,Landbrug!$E$32:$E$45)),'[1]Afgrødefordeling - jordtype'!$G5)*(Landbrug!$E$5)*Arealanvendelse!P$26</f>
        <v>9232.6018122239911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206.77827768151528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76.512956464511106</v>
      </c>
      <c r="U7" s="94"/>
      <c r="W7" s="31" t="s">
        <v>279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70593.939138620815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1094.4210545362032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489.74230890359979</v>
      </c>
      <c r="I8" s="11">
        <f>IF(Landbrug!$E$47&gt;0,SUMIF(Landbrug!$B$32:$B$45,$B8,IF($I$4=År2,Landbrug!$D$32:$D$45,Landbrug!$E$32:$E$45)),'[1]Afgrødefordeling - jordtype'!$G6)*(1-Landbrug!$E$5)*Arealanvendelse!P$26</f>
        <v>63693.272932644599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1043.8119884304829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467.09526571730612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11017.551195044869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170.80559810680631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76.433770753741015</v>
      </c>
      <c r="R8" s="11">
        <f>IF(Landbrug!$E$47&gt;0,SUMIF(Landbrug!$B$32:$B$45,$B8,IF($R$4=År2,Landbrug!$D$32:$D$45,Landbrug!$E$32:$E$45)),'[1]Afgrødefordeling - jordtype'!$G6)*(Landbrug!$E$5)*Arealanvendelse!P$26</f>
        <v>13510.694258439762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221.41466421252667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99.080813940034645</v>
      </c>
      <c r="U8" s="94"/>
      <c r="W8" s="46" t="s">
        <v>280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390893.45805628493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10099.70379845663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11295.003626335274</v>
      </c>
      <c r="I9" s="11">
        <f>IF(Landbrug!$E$47&gt;0,SUMIF(Landbrug!$B$32:$B$45,$B9,IF($I$4=År2,Landbrug!$D$32:$D$45,Landbrug!$E$32:$E$45)),'[1]Afgrødefordeling - jordtype'!$G7)*(1-Landbrug!$E$5)*Arealanvendelse!P$26</f>
        <v>352683.02088476752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9632.665472516439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10772.691319915146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61006.493453871066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1576.2543500481449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1762.8040341679332</v>
      </c>
      <c r="R9" s="11">
        <f>IF(Landbrug!$E$47&gt;0,SUMIF(Landbrug!$B$32:$B$45,$B9,IF($R$4=År2,Landbrug!$D$32:$D$45,Landbrug!$E$32:$E$45)),'[1]Afgrødefordeling - jordtype'!$G7)*(Landbrug!$E$5)*Arealanvendelse!P$26</f>
        <v>74811.549884647669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2043.2926759883358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2285.1163405880611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8107.6700316972328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47.236694555604771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13.128323987624659</v>
      </c>
      <c r="I10" s="11">
        <f>IF(Landbrug!$E$47&gt;0,SUMIF(Landbrug!$B$32:$B$45,$B10,IF($I$4=År2,Landbrug!$D$32:$D$45,Landbrug!$E$32:$E$45)),'[1]Afgrødefordeling - jordtype'!$G8)*(1-Landbrug!$E$5)*Arealanvendelse!P$26</f>
        <v>7315.1328071193957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45.052338738004543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12.5212338610293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1265.3589066810709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7.3722008844007449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2.0489291772593399</v>
      </c>
      <c r="R10" s="11">
        <f>IF(Landbrug!$E$47&gt;0,SUMIF(Landbrug!$B$32:$B$45,$B10,IF($R$4=År2,Landbrug!$D$32:$D$45,Landbrug!$E$32:$E$45)),'[1]Afgrødefordeling - jordtype'!$G8)*(Landbrug!$E$5)*Arealanvendelse!P$26</f>
        <v>1551.6948378738111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9.5565567020009645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2.6560193038547002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34101.613418011875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745.74497398137646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694.88603847076718</v>
      </c>
      <c r="I11" s="11">
        <f>IF(Landbrug!$E$47&gt;0,SUMIF(Landbrug!$B$32:$B$45,$B11,IF($I$4=År2,Landbrug!$D$32:$D$45,Landbrug!$E$32:$E$45)),'[1]Afgrødefordeling - jordtype'!$G9)*(1-Landbrug!$E$5)*Arealanvendelse!P$26</f>
        <v>30768.128218654325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711.25965726547463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662.7525800443733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5322.2171230423164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116.3879439161686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108.45042218907928</v>
      </c>
      <c r="R11" s="11">
        <f>IF(Landbrug!$E$47&gt;0,SUMIF(Landbrug!$B$32:$B$45,$B11,IF($R$4=År2,Landbrug!$D$32:$D$45,Landbrug!$E$32:$E$45)),'[1]Afgrødefordeling - jordtype'!$G9)*(Landbrug!$E$5)*Arealanvendelse!P$26</f>
        <v>6526.5726524418269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150.87326063207038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140.58388061547313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52119.510438661928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19.564857598470493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7.5145411853341644</v>
      </c>
      <c r="I12" s="11">
        <f>IF(Landbrug!$E$47&gt;0,SUMIF(Landbrug!$B$32:$B$45,$B12,IF($I$4=År2,Landbrug!$D$32:$D$45,Landbrug!$E$32:$E$45)),'[1]Afgrødefordeling - jordtype'!$G10)*(1-Landbrug!$E$5)*Arealanvendelse!P$26</f>
        <v>47024.748073158291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18.660124299119257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7.1670479513302716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8134.2588545888566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3.0534748853104241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1.1727896647631355</v>
      </c>
      <c r="R12" s="11">
        <f>IF(Landbrug!$E$47&gt;0,SUMIF(Landbrug!$B$32:$B$45,$B12,IF($R$4=År2,Landbrug!$D$32:$D$45,Landbrug!$E$32:$E$45)),'[1]Afgrødefordeling - jordtype'!$G10)*(Landbrug!$E$5)*Arealanvendelse!P$26</f>
        <v>9974.9465609729705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3.9582081846616606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1.5202828987670274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105524.55030616655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2525.5291048375989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934.50676064688525</v>
      </c>
      <c r="I13" s="11">
        <f>IF(Landbrug!$E$47&gt;0,SUMIF(Landbrug!$B$32:$B$45,$B13,IF($I$4=År2,Landbrug!$D$32:$D$45,Landbrug!$E$32:$E$45)),'[1]Afgrødefordeling - jordtype'!$G11)*(1-Landbrug!$E$5)*Arealanvendelse!P$26</f>
        <v>95209.363094857908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2408.741631781525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891.29257518344548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16469.14946974854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394.15772156424953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145.84787593910929</v>
      </c>
      <c r="R13" s="11">
        <f>IF(Landbrug!$E$47&gt;0,SUMIF(Landbrug!$B$32:$B$45,$B13,IF($R$4=År2,Landbrug!$D$32:$D$45,Landbrug!$E$32:$E$45)),'[1]Afgrødefordeling - jordtype'!$G11)*(Landbrug!$E$5)*Arealanvendelse!P$26</f>
        <v>20195.925504969862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510.94519462032349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189.06206140254903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3161.7072804056943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43.024559384581636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26.780123981156589</v>
      </c>
      <c r="I14" s="11">
        <f>IF(Landbrug!$E$47&gt;0,SUMIF(Landbrug!$B$32:$B$45,$B14,IF($I$4=År2,Landbrug!$D$32:$D$45,Landbrug!$E$32:$E$45)),'[1]Afgrødefordeling - jordtype'!$G12)*(1-Landbrug!$E$5)*Arealanvendelse!P$26</f>
        <v>2852.6455273812289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41.034984384138554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25.541736745033738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493.44564491880783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6.7148156264954011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4.179556921914612</v>
      </c>
      <c r="R14" s="11">
        <f>IF(Landbrug!$E$47&gt;0,SUMIF(Landbrug!$B$32:$B$45,$B14,IF($R$4=År2,Landbrug!$D$32:$D$45,Landbrug!$E$32:$E$45)),'[1]Afgrødefordeling - jordtype'!$G12)*(Landbrug!$E$5)*Arealanvendelse!P$26</f>
        <v>605.1066270202607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8.7043906269384816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5.4179441580374599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27983.408918054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760.92811477857106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473.63063203897667</v>
      </c>
      <c r="I15" s="11">
        <f>IF(Landbrug!$E$47&gt;0,SUMIF(Landbrug!$B$32:$B$45,$B15,IF($I$4=År2,Landbrug!$D$32:$D$45,Landbrug!$E$32:$E$45)),'[1]Afgrødefordeling - jordtype'!$G13)*(1-Landbrug!$E$5)*Arealanvendelse!P$26</f>
        <v>25247.987625446389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725.74068750557353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451.72863749382168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4367.3528369217229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118.75756704636659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73.919231589898089</v>
      </c>
      <c r="R15" s="11">
        <f>IF(Landbrug!$E$47&gt;0,SUMIF(Landbrug!$B$32:$B$45,$B15,IF($R$4=År2,Landbrug!$D$32:$D$45,Landbrug!$E$32:$E$45)),'[1]Afgrødefordeling - jordtype'!$G13)*(Landbrug!$E$5)*Arealanvendelse!P$26</f>
        <v>5355.6337387310523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153.9449943193641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95.821226135053067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62909.407824974456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1878.1949843406051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1506.9343192300419</v>
      </c>
      <c r="I16" s="11">
        <f>IF(Landbrug!$E$47&gt;0,SUMIF(Landbrug!$B$32:$B$45,$B16,IF($I$4=År2,Landbrug!$D$32:$D$45,Landbrug!$E$32:$E$45)),'[1]Afgrødefordeling - jordtype'!$G14)*(1-Landbrug!$E$5)*Arealanvendelse!P$26</f>
        <v>56759.916382609546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1791.3420370878605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1437.2494952194038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9818.2312790422566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293.12869697801352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235.18628103590248</v>
      </c>
      <c r="R16" s="11">
        <f>IF(Landbrug!$E$47&gt;0,SUMIF(Landbrug!$B$32:$B$45,$B16,IF($R$4=År2,Landbrug!$D$32:$D$45,Landbrug!$E$32:$E$45)),'[1]Afgrødefordeling - jordtype'!$G14)*(Landbrug!$E$5)*Arealanvendelse!P$26</f>
        <v>12039.982262977783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379.98164423075826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304.87110504654026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11815.471108305517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215.79157245738358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134.31689126300301</v>
      </c>
      <c r="I17" s="11">
        <f>IF(Landbrug!$E$47&gt;0,SUMIF(Landbrug!$B$32:$B$45,$B17,IF($I$4=År2,Landbrug!$D$32:$D$45,Landbrug!$E$32:$E$45)),'[1]Afgrødefordeling - jordtype'!$G15)*(1-Landbrug!$E$5)*Arealanvendelse!P$26</f>
        <v>10660.490621600164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205.81277141889186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128.10570553985832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1844.0330631459478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33.678453504909584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20.962751815613185</v>
      </c>
      <c r="R17" s="11">
        <f>IF(Landbrug!$E$47&gt;0,SUMIF(Landbrug!$B$32:$B$45,$B17,IF($R$4=År2,Landbrug!$D$32:$D$45,Landbrug!$E$32:$E$45)),'[1]Afgrødefordeling - jordtype'!$G15)*(Landbrug!$E$5)*Arealanvendelse!P$26</f>
        <v>2261.3161924606407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43.657254543401301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27.173937538757826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4543.567209346289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354.40933333477273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317.05822466486404</v>
      </c>
      <c r="I18" s="11">
        <f>IF(Landbrug!$E$47&gt;0,SUMIF(Landbrug!$B$32:$B$45,$B18,IF($I$4=År2,Landbrug!$D$32:$D$45,Landbrug!$E$32:$E$45)),'[1]Afgrødefordeling - jordtype'!$G16)*(1-Landbrug!$E$5)*Arealanvendelse!P$26</f>
        <v>4099.4265213680974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338.02046242911848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302.39657265724026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709.11164538930529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55.312439306583023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49.483075525730229</v>
      </c>
      <c r="R18" s="11">
        <f>IF(Landbrug!$E$47&gt;0,SUMIF(Landbrug!$B$32:$B$45,$B18,IF($R$4=År2,Landbrug!$D$32:$D$45,Landbrug!$E$32:$E$45)),'[1]Afgrødefordeling - jordtype'!$G16)*(Landbrug!$E$5)*Arealanvendelse!P$26</f>
        <v>869.57532271444495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71.701310212237246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64.144727533353986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110217.685427045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39110.220617481486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30276.156716444439</v>
      </c>
      <c r="I19" s="11">
        <f>IF(Landbrug!$E$47&gt;0,SUMIF(Landbrug!$B$32:$B$45,$B19,IF($I$4=År2,Landbrug!$D$32:$D$45,Landbrug!$E$32:$E$45)),'[1]Afgrødefordeling - jordtype'!$G17)*(1-Landbrug!$E$5)*Arealanvendelse!P$26</f>
        <v>99443.737034197344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37301.655502222224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28876.103226666663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17201.604083989681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6103.9072640000013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4725.1805279999999</v>
      </c>
      <c r="R19" s="11">
        <f>IF(Landbrug!$E$47&gt;0,SUMIF(Landbrug!$B$32:$B$45,$B19,IF($R$4=År2,Landbrug!$D$32:$D$45,Landbrug!$E$32:$E$45)),'[1]Afgrødefordeling - jordtype'!$G17)*(Landbrug!$E$5)*Arealanvendelse!P$26</f>
        <v>21094.126037557013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7912.4723792592595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6125.2340177777769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1557095.7866364757</v>
      </c>
      <c r="G20" s="38">
        <f t="shared" si="2"/>
        <v>69839.679674074083</v>
      </c>
      <c r="H20" s="38">
        <f t="shared" si="2"/>
        <v>53116.064414814806</v>
      </c>
      <c r="I20" s="38">
        <f t="shared" si="2"/>
        <v>1404887.2768774293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243014.94935944999</v>
      </c>
      <c r="P20" s="38">
        <f t="shared" si="2"/>
        <v>10899.8344</v>
      </c>
      <c r="Q20" s="38">
        <f t="shared" si="2"/>
        <v>8289.7904000000017</v>
      </c>
      <c r="R20" s="38">
        <f t="shared" si="2"/>
        <v>298006.39206490928</v>
      </c>
      <c r="S20" s="38">
        <f t="shared" si="2"/>
        <v>14129.414962962961</v>
      </c>
      <c r="T20" s="39">
        <f t="shared" si="2"/>
        <v>10746.024592592592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4" t="s">
        <v>7</v>
      </c>
      <c r="D22" s="445"/>
      <c r="E22" s="446"/>
      <c r="F22" s="447" t="s">
        <v>8</v>
      </c>
      <c r="G22" s="445"/>
      <c r="H22" s="446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1" t="s">
        <v>24</v>
      </c>
      <c r="B29" s="452"/>
      <c r="C29" s="452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3"/>
    </row>
    <row r="30" spans="1:21" x14ac:dyDescent="0.25">
      <c r="A30" s="56"/>
      <c r="B30" s="53"/>
      <c r="C30" s="454" t="s">
        <v>7</v>
      </c>
      <c r="D30" s="455"/>
      <c r="E30" s="455"/>
      <c r="F30" s="455"/>
      <c r="G30" s="455"/>
      <c r="H30" s="455"/>
      <c r="I30" s="455"/>
      <c r="J30" s="455"/>
      <c r="K30" s="456"/>
      <c r="L30" s="454" t="s">
        <v>8</v>
      </c>
      <c r="M30" s="455"/>
      <c r="N30" s="455"/>
      <c r="O30" s="455"/>
      <c r="P30" s="455"/>
      <c r="Q30" s="455"/>
      <c r="R30" s="455"/>
      <c r="S30" s="455"/>
      <c r="T30" s="456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187305.27967177058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2375.5987604442375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1427.1048367650103</v>
      </c>
      <c r="I33" s="11">
        <f>IF(Landbrug!$E$47&gt;0,SUMIF(Landbrug!$B$32:$B$45,$B33,IF($I$31=År2,Landbrug!$D$32:$D$45,Landbrug!$E$32:$E$45)),'[1]Afgrødefordeling - jordtype'!$P4)*(1-Landbrug!$E$5)*Arealanvendelse!P$36</f>
        <v>173739.65540685106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2265.7444825046196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1361.1115495157612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29232.61590253067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370.75818804621053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222.72734446621553</v>
      </c>
      <c r="R33" s="11">
        <f>IF(Landbrug!$E$47&gt;0,SUMIF(Landbrug!$B$32:$B$45,$B33,IF($R$31=År2,Landbrug!$D$32:$D$45,Landbrug!$E$32:$E$45)),'[1]Afgrødefordeling - jordtype'!$P4)*(Landbrug!$E$5)*Arealanvendelse!P$36</f>
        <v>36853.866298422952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480.61246598582835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288.72063171546455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14413.761582410933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64.239987833704873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25.920929852399002</v>
      </c>
      <c r="I34" s="11">
        <f>IF(Landbrug!$E$47&gt;0,SUMIF(Landbrug!$B$32:$B$45,$B34,IF($I$31=År2,Landbrug!$D$32:$D$45,Landbrug!$E$32:$E$45)),'[1]Afgrødefordeling - jordtype'!$P5)*(1-Landbrug!$E$5)*Arealanvendelse!P$36</f>
        <v>13369.841869022375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61.269352558157827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24.722274136681126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2249.5466053473715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10.025894054971282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4.0454630405478218</v>
      </c>
      <c r="R34" s="11">
        <f>IF(Landbrug!$E$47&gt;0,SUMIF(Landbrug!$B$32:$B$45,$B34,IF($R$31=År2,Landbrug!$D$32:$D$45,Landbrug!$E$32:$E$45)),'[1]Afgrødefordeling - jordtype'!$P5)*(Landbrug!$E$5)*Arealanvendelse!P$36</f>
        <v>2836.0270631259582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12.996529330518326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5.2441187562656939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21092.637786692238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259.47534600330442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126.61767705687262</v>
      </c>
      <c r="I35" s="11">
        <f>IF(Landbrug!$E$47&gt;0,SUMIF(Landbrug!$B$32:$B$45,$B35,IF($I$31=År2,Landbrug!$D$32:$D$45,Landbrug!$E$32:$E$45)),'[1]Afgrødefordeling - jordtype'!$P6)*(1-Landbrug!$E$5)*Arealanvendelse!P$36</f>
        <v>19564.999059840939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247.47648607251574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120.76252436060103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3291.9145678652631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40.49615226641167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19.761140349916538</v>
      </c>
      <c r="R35" s="11">
        <f>IF(Landbrug!$E$47&gt;0,SUMIF(Landbrug!$B$32:$B$45,$B35,IF($R$31=År2,Landbrug!$D$32:$D$45,Landbrug!$E$32:$E$45)),'[1]Afgrødefordeling - jordtype'!$P6)*(Landbrug!$E$5)*Arealanvendelse!P$36</f>
        <v>4150.1513157238351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52.49501219720031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25.616293046188098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116794.36258371505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762.96623833418812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930.46087280069128</v>
      </c>
      <c r="I36" s="11">
        <f>IF(Landbrug!$E$47&gt;0,SUMIF(Landbrug!$B$32:$B$45,$B36,IF($I$31=År2,Landbrug!$D$32:$D$45,Landbrug!$E$32:$E$45)),'[1]Afgrødefordeling - jordtype'!$P7)*(1-Landbrug!$E$5)*Arealanvendelse!P$36</f>
        <v>108335.50631523239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727.68456257306946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887.43378041684423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18228.021906128943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119.07565569377503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145.21643679548362</v>
      </c>
      <c r="R36" s="11">
        <f>IF(Landbrug!$E$47&gt;0,SUMIF(Landbrug!$B$32:$B$45,$B36,IF($R$31=År2,Landbrug!$D$32:$D$45,Landbrug!$E$32:$E$45)),'[1]Afgrødefordeling - jordtype'!$P7)*(Landbrug!$E$5)*Arealanvendelse!P$36</f>
        <v>22980.258915352326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154.35733145489354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188.24352917933061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2422.4763394602992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14.449754284656063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4.3793061312021848</v>
      </c>
      <c r="I37" s="11">
        <f>IF(Landbrug!$E$47&gt;0,SUMIF(Landbrug!$B$32:$B$45,$B37,IF($I$31=År2,Landbrug!$D$32:$D$45,Landbrug!$E$32:$E$45)),'[1]Afgrødefordeling - jordtype'!$P8)*(1-Landbrug!$E$5)*Arealanvendelse!P$36</f>
        <v>2247.0279812006529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13.781557554729771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4.1767948650194251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378.0743419966941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2.2551639635012357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0.68347552336681505</v>
      </c>
      <c r="R37" s="11">
        <f>IF(Landbrug!$E$47&gt;0,SUMIF(Landbrug!$B$32:$B$45,$B37,IF($R$31=År2,Landbrug!$D$32:$D$45,Landbrug!$E$32:$E$45)),'[1]Afgrødefordeling - jordtype'!$P8)*(Landbrug!$E$5)*Arealanvendelse!P$36</f>
        <v>476.64229904256274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2.9233606934275271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0.88598678954957488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10189.160550390856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24.565904760198027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24.96152253063563</v>
      </c>
      <c r="I38" s="11">
        <f>IF(Landbrug!$E$47&gt;0,SUMIF(Landbrug!$B$32:$B$45,$B38,IF($I$31=År2,Landbrug!$D$32:$D$45,Landbrug!$E$32:$E$45)),'[1]Afgrødefordeling - jordtype'!$P9)*(1-Landbrug!$E$5)*Arealanvendelse!P$36</f>
        <v>9451.2084550534455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23.429909164350718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23.807232471415485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1590.2158084425039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3.8339851359846633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3.8957289498679888</v>
      </c>
      <c r="R38" s="11">
        <f>IF(Landbrug!$E$47&gt;0,SUMIF(Landbrug!$B$32:$B$45,$B38,IF($R$31=År2,Landbrug!$D$32:$D$45,Landbrug!$E$32:$E$45)),'[1]Afgrødefordeling - jordtype'!$P9)*(Landbrug!$E$5)*Arealanvendelse!P$36</f>
        <v>2004.8017934961854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4.9699807318319706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5.0500190090881336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15572.696023432285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68.631969490483968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28.745329849000054</v>
      </c>
      <c r="I39" s="11">
        <f>IF(Landbrug!$E$47&gt;0,SUMIF(Landbrug!$B$32:$B$45,$B39,IF($I$31=År2,Landbrug!$D$32:$D$45,Landbrug!$E$32:$E$45)),'[1]Afgrødefordeling - jordtype'!$P10)*(1-Landbrug!$E$5)*Arealanvendelse!P$36</f>
        <v>14444.840239463545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65.45823679728241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27.416066040953808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2430.4207666628422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10.711347839555303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4.486265352156078</v>
      </c>
      <c r="R39" s="11">
        <f>IF(Landbrug!$E$47&gt;0,SUMIF(Landbrug!$B$32:$B$45,$B39,IF($R$31=År2,Landbrug!$D$32:$D$45,Landbrug!$E$32:$E$45)),'[1]Afgrødefordeling - jordtype'!$P10)*(Landbrug!$E$5)*Arealanvendelse!P$36</f>
        <v>3064.0570204922674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13.885080532756874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5.8155291602023231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31529.493103379747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73.172270559585186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29.525119108453932</v>
      </c>
      <c r="I40" s="11">
        <f>IF(Landbrug!$E$47&gt;0,SUMIF(Landbrug!$B$32:$B$45,$B40,IF($I$31=År2,Landbrug!$D$32:$D$45,Landbrug!$E$32:$E$45)),'[1]Afgrødefordeling - jordtype'!$P11)*(1-Landbrug!$E$5)*Arealanvendelse!P$36</f>
        <v>29245.962935659205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69.788581747581247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28.159795681473401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4920.7879409899033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11.419949740513296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4.6079665660592841</v>
      </c>
      <c r="R40" s="11">
        <f>IF(Landbrug!$E$47&gt;0,SUMIF(Landbrug!$B$32:$B$45,$B40,IF($R$31=År2,Landbrug!$D$32:$D$45,Landbrug!$E$32:$E$45)),'[1]Afgrødefordeling - jordtype'!$P11)*(Landbrug!$E$5)*Arealanvendelse!P$36</f>
        <v>6203.6891075640742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14.803638552517233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5.9732899930398125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944.68090698540937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15.784762928163095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10.713941541908843</v>
      </c>
      <c r="I41" s="11">
        <f>IF(Landbrug!$E$47&gt;0,SUMIF(Landbrug!$B$32:$B$45,$B41,IF($I$31=År2,Landbrug!$D$32:$D$45,Landbrug!$E$32:$E$45)),'[1]Afgrødefordeling - jordtype'!$P12)*(1-Landbrug!$E$5)*Arealanvendelse!P$36</f>
        <v>876.26219365888448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15.054831694490812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10.218499158467973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147.43574848905234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2.4635179136439516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1.6721180441129408</v>
      </c>
      <c r="R41" s="11">
        <f>IF(Landbrug!$E$47&gt;0,SUMIF(Landbrug!$B$32:$B$45,$B41,IF($R$31=År2,Landbrug!$D$32:$D$45,Landbrug!$E$32:$E$45)),'[1]Afgrødefordeling - jordtype'!$P12)*(Landbrug!$E$5)*Arealanvendelse!P$36</f>
        <v>185.87379865491488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3.1934491473162328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2.1675604275538123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8361.1130863002563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112.71086310178345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76.502738996228061</v>
      </c>
      <c r="I42" s="11">
        <f>IF(Landbrug!$E$47&gt;0,SUMIF(Landbrug!$B$32:$B$45,$B42,IF($I$31=År2,Landbrug!$D$32:$D$45,Landbrug!$E$32:$E$45)),'[1]Afgrødefordeling - jordtype'!$P13)*(1-Landbrug!$E$5)*Arealanvendelse!P$36</f>
        <v>7755.5577129332478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107.49880006817496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72.965040083107695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1304.9136030642019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17.590712738428632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11.939733831781261</v>
      </c>
      <c r="R42" s="11">
        <f>IF(Landbrug!$E$47&gt;0,SUMIF(Landbrug!$B$32:$B$45,$B42,IF($R$31=År2,Landbrug!$D$32:$D$45,Landbrug!$E$32:$E$45)),'[1]Afgrødefordeling - jordtype'!$P13)*(Landbrug!$E$5)*Arealanvendelse!P$36</f>
        <v>1645.1183027434163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22.802775772037112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15.47743274490163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18796.590313821274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818.27552117261337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715.92621229665679</v>
      </c>
      <c r="I43" s="11">
        <f>IF(Landbrug!$E$47&gt;0,SUMIF(Landbrug!$B$32:$B$45,$B43,IF($I$31=År2,Landbrug!$D$32:$D$45,Landbrug!$E$32:$E$45)),'[1]Afgrødefordeling - jordtype'!$P14)*(1-Landbrug!$E$5)*Arealanvendelse!P$36</f>
        <v>17435.243307982681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780.43619071376429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682.81979785519286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2933.5718986888692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127.70774029861599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111.73414873994066</v>
      </c>
      <c r="R43" s="11">
        <f>IF(Landbrug!$E$47&gt;0,SUMIF(Landbrug!$B$32:$B$45,$B43,IF($R$31=År2,Landbrug!$D$32:$D$45,Landbrug!$E$32:$E$45)),'[1]Afgrødefordeling - jordtype'!$P14)*(Landbrug!$E$5)*Arealanvendelse!P$36</f>
        <v>3698.3849441175385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165.54707075746515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144.84056318140455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3530.3236426180865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24.7346336830864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16.788685427026323</v>
      </c>
      <c r="I44" s="11">
        <f>IF(Landbrug!$E$47&gt;0,SUMIF(Landbrug!$B$32:$B$45,$B44,IF($I$31=År2,Landbrug!$D$32:$D$45,Landbrug!$E$32:$E$45)),'[1]Afgrødefordeling - jordtype'!$P15)*(1-Landbrug!$E$5)*Arealanvendelse!P$36</f>
        <v>3274.6392104801239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23.590835593695122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16.012330031556893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550.97536618894992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3.860318551695566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2.6201994597093101</v>
      </c>
      <c r="R44" s="11">
        <f>IF(Landbrug!$E$47&gt;0,SUMIF(Landbrug!$B$32:$B$45,$B44,IF($R$31=År2,Landbrug!$D$32:$D$45,Landbrug!$E$32:$E$45)),'[1]Afgrødefordeling - jordtype'!$P15)*(Landbrug!$E$5)*Arealanvendelse!P$36</f>
        <v>694.6204385866929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5.0041166410868438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3.3965548551787355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1357.5643826596311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52.496130811402679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51.212529273544646</v>
      </c>
      <c r="I45" s="11">
        <f>IF(Landbrug!$E$47&gt;0,SUMIF(Landbrug!$B$32:$B$45,$B45,IF($I$31=År2,Landbrug!$D$32:$D$45,Landbrug!$E$32:$E$45)),'[1]Afgrødefordeling - jordtype'!$P16)*(1-Landbrug!$E$5)*Arealanvendelse!P$36</f>
        <v>1259.2424967903694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50.06856406867886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48.844319827369169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211.87421001046266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8.1930377566929042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7.9927068808422277</v>
      </c>
      <c r="R45" s="11">
        <f>IF(Landbrug!$E$47&gt;0,SUMIF(Landbrug!$B$32:$B$45,$B45,IF($R$31=År2,Landbrug!$D$32:$D$45,Landbrug!$E$32:$E$45)),'[1]Afgrødefordeling - jordtype'!$P16)*(Landbrug!$E$5)*Arealanvendelse!P$36</f>
        <v>267.11204477371473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10.620604499416729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10.3609163270177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32931.746616876299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5939.9481825185194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4598.2558835555546</v>
      </c>
      <c r="I46" s="11">
        <f>IF(Landbrug!$E$47&gt;0,SUMIF(Landbrug!$B$32:$B$45,$B46,IF($I$31=År2,Landbrug!$D$32:$D$45,Landbrug!$E$32:$E$45)),'[1]Afgrødefordeling - jordtype'!$P17)*(1-Landbrug!$E$5)*Arealanvendelse!P$36</f>
        <v>30546.657943588849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5665.2684977777781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4385.6197733333329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5139.6367552350293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927.04393600000026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717.64687200000003</v>
      </c>
      <c r="R46" s="11">
        <f>IF(Landbrug!$E$47&gt;0,SUMIF(Landbrug!$B$32:$B$45,$B46,IF($R$31=År2,Landbrug!$D$32:$D$45,Landbrug!$E$32:$E$45)),'[1]Afgrødefordeling - jordtype'!$P17)*(Landbrug!$E$5)*Arealanvendelse!P$36</f>
        <v>6479.5941092461198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1201.7236207407409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930.28298222222213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465241.88659051288</v>
      </c>
      <c r="G47" s="38">
        <f t="shared" si="3"/>
        <v>10607.050325925928</v>
      </c>
      <c r="H47" s="38">
        <f t="shared" si="3"/>
        <v>8067.1155851851845</v>
      </c>
      <c r="I47" s="38">
        <f t="shared" si="3"/>
        <v>431546.64512775786</v>
      </c>
      <c r="J47" s="38">
        <f t="shared" si="3"/>
        <v>10116.550888888889</v>
      </c>
      <c r="K47" s="39">
        <f t="shared" si="3"/>
        <v>7694.0697777777768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72610.005421640759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91540.197451342552</v>
      </c>
      <c r="S47" s="38">
        <f t="shared" si="3"/>
        <v>2145.9350370370366</v>
      </c>
      <c r="T47" s="39">
        <f t="shared" si="3"/>
        <v>1632.0754074074073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4" t="s">
        <v>7</v>
      </c>
      <c r="D49" s="445"/>
      <c r="E49" s="446"/>
      <c r="F49" s="447" t="s">
        <v>8</v>
      </c>
      <c r="G49" s="445"/>
      <c r="H49" s="446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20984.90236249438</v>
      </c>
      <c r="H5" s="237"/>
      <c r="I5" s="237"/>
      <c r="J5" s="237">
        <v>428226</v>
      </c>
      <c r="K5" s="237">
        <v>257031.00000000003</v>
      </c>
      <c r="L5" s="237"/>
      <c r="M5" s="237">
        <v>227802.00000000003</v>
      </c>
      <c r="N5" s="237">
        <v>234</v>
      </c>
      <c r="O5" s="237"/>
      <c r="P5" s="237">
        <v>2444654</v>
      </c>
      <c r="Q5" s="237"/>
      <c r="R5" s="237">
        <v>11357.999999999998</v>
      </c>
      <c r="S5" s="237">
        <v>29145673.580622546</v>
      </c>
      <c r="T5" s="237"/>
      <c r="U5" s="237">
        <v>990078</v>
      </c>
      <c r="V5" s="237"/>
      <c r="W5" s="237"/>
      <c r="X5" s="237"/>
      <c r="Y5" s="237">
        <v>85935.000000000015</v>
      </c>
      <c r="Z5" s="237"/>
      <c r="AA5" s="237">
        <v>8334841.759060693</v>
      </c>
      <c r="AB5" s="237">
        <v>33319229.334160008</v>
      </c>
      <c r="AC5" s="237"/>
      <c r="AD5" s="237"/>
      <c r="AE5" s="237"/>
      <c r="AF5" s="237"/>
      <c r="AG5" s="237"/>
      <c r="AH5" s="237"/>
      <c r="AI5" s="237"/>
      <c r="AJ5" s="237"/>
      <c r="AK5" s="237">
        <v>80569048.957583547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8138.6352546285043</v>
      </c>
      <c r="H7" s="237"/>
      <c r="I7" s="237"/>
      <c r="J7" s="237">
        <v>142742</v>
      </c>
      <c r="K7" s="237">
        <v>85677</v>
      </c>
      <c r="L7" s="237"/>
      <c r="M7" s="237">
        <v>75934.000000000015</v>
      </c>
      <c r="N7" s="237">
        <v>78</v>
      </c>
      <c r="O7" s="237"/>
      <c r="P7" s="237">
        <v>725967.99999999977</v>
      </c>
      <c r="Q7" s="237"/>
      <c r="R7" s="237">
        <v>3785.9999999999991</v>
      </c>
      <c r="S7" s="237">
        <v>12515657.295601793</v>
      </c>
      <c r="T7" s="237"/>
      <c r="U7" s="237">
        <v>330026</v>
      </c>
      <c r="V7" s="237"/>
      <c r="W7" s="237"/>
      <c r="X7" s="237"/>
      <c r="Y7" s="237">
        <v>28645.000000000004</v>
      </c>
      <c r="Z7" s="237"/>
      <c r="AA7" s="237">
        <v>2775329.8009308982</v>
      </c>
      <c r="AB7" s="237">
        <v>15533219.712531526</v>
      </c>
      <c r="AC7" s="237"/>
      <c r="AD7" s="237"/>
      <c r="AE7" s="237"/>
      <c r="AF7" s="237"/>
      <c r="AG7" s="237"/>
      <c r="AH7" s="237"/>
      <c r="AI7" s="237"/>
      <c r="AJ7" s="237"/>
      <c r="AK7" s="237">
        <v>34094686.908344358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8404.7671078658768</v>
      </c>
      <c r="H8" s="237"/>
      <c r="I8" s="237"/>
      <c r="J8" s="237">
        <v>142742</v>
      </c>
      <c r="K8" s="237">
        <v>85677.000000000029</v>
      </c>
      <c r="L8" s="237"/>
      <c r="M8" s="237">
        <v>75934.000000000029</v>
      </c>
      <c r="N8" s="237">
        <v>78</v>
      </c>
      <c r="O8" s="237"/>
      <c r="P8" s="237">
        <v>723032.00000000023</v>
      </c>
      <c r="Q8" s="237"/>
      <c r="R8" s="237">
        <v>3786</v>
      </c>
      <c r="S8" s="237">
        <v>12276506.618354084</v>
      </c>
      <c r="T8" s="237"/>
      <c r="U8" s="237">
        <v>330025.99999999994</v>
      </c>
      <c r="V8" s="237"/>
      <c r="W8" s="237"/>
      <c r="X8" s="237"/>
      <c r="Y8" s="237">
        <v>28645.000000000004</v>
      </c>
      <c r="Z8" s="237"/>
      <c r="AA8" s="237">
        <v>2890677.9581297943</v>
      </c>
      <c r="AB8" s="237">
        <v>14871140.288295148</v>
      </c>
      <c r="AC8" s="237"/>
      <c r="AD8" s="237"/>
      <c r="AE8" s="237"/>
      <c r="AF8" s="237"/>
      <c r="AG8" s="237"/>
      <c r="AH8" s="237"/>
      <c r="AI8" s="237"/>
      <c r="AJ8" s="237"/>
      <c r="AK8" s="237">
        <v>33383944.549239181</v>
      </c>
    </row>
    <row r="9" spans="1:37" x14ac:dyDescent="0.2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19441203.466892187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4968317.8095545713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>
        <v>109726569.1041669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6420183.3285955302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2011952.157534458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>
        <v>36871151.42870336</v>
      </c>
    </row>
    <row r="12" spans="1:37" x14ac:dyDescent="0.2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6420183.3285955293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2011952.1575344577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>
        <v>36871151.42870336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5825310.9547232771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604877.62481286074</v>
      </c>
      <c r="AE17" s="237">
        <v>8774736.4880378172</v>
      </c>
      <c r="AF17" s="237"/>
      <c r="AG17" s="237">
        <v>421859.63376903627</v>
      </c>
      <c r="AH17" s="237"/>
      <c r="AI17" s="237"/>
      <c r="AJ17" s="237"/>
      <c r="AK17" s="237">
        <v>18574977.701342992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>
        <v>112887.06079513082</v>
      </c>
      <c r="AH18" s="237"/>
      <c r="AI18" s="237"/>
      <c r="AJ18" s="237"/>
      <c r="AK18" s="237">
        <v>6209404.1530503789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2080333.682561968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196559.60980685451</v>
      </c>
      <c r="AE19" s="237">
        <v>2863529.5604047892</v>
      </c>
      <c r="AF19" s="237"/>
      <c r="AG19" s="237">
        <v>154246.84100889968</v>
      </c>
      <c r="AH19" s="237"/>
      <c r="AI19" s="237"/>
      <c r="AJ19" s="237"/>
      <c r="AK19" s="237">
        <v>6277400.6937825121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1851212.0596257476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198535.62761100623</v>
      </c>
      <c r="AE20" s="237">
        <v>2900968.4353083428</v>
      </c>
      <c r="AF20" s="237"/>
      <c r="AG20" s="237">
        <v>154725.73196500578</v>
      </c>
      <c r="AH20" s="237"/>
      <c r="AI20" s="237"/>
      <c r="AJ20" s="237"/>
      <c r="AK20" s="237">
        <v>6088172.8545101024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104203.4407339669</v>
      </c>
      <c r="AH21" s="237"/>
      <c r="AI21" s="237"/>
      <c r="AJ21" s="237">
        <v>2517529.7800321821</v>
      </c>
      <c r="AK21" s="237">
        <v>2621733.2207661495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104203.4407339669</v>
      </c>
      <c r="AH22" s="237"/>
      <c r="AI22" s="237"/>
      <c r="AJ22" s="237">
        <v>827693.20492220437</v>
      </c>
      <c r="AK22" s="237">
        <v>931896.64565617125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792502.62774827308</v>
      </c>
      <c r="AK23" s="237">
        <v>792502.62774827308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897333.94736170489</v>
      </c>
      <c r="AK24" s="237">
        <v>897333.94736170489</v>
      </c>
    </row>
    <row r="25" spans="1:37" x14ac:dyDescent="0.25">
      <c r="A25" s="78" t="s">
        <v>114</v>
      </c>
      <c r="B25" s="237"/>
      <c r="C25" s="237"/>
      <c r="D25" s="237"/>
      <c r="E25" s="237">
        <v>1990903.880093025</v>
      </c>
      <c r="F25" s="237"/>
      <c r="G25" s="237">
        <v>6279.6558180549309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12451175.212661764</v>
      </c>
      <c r="T25" s="237"/>
      <c r="U25" s="237"/>
      <c r="V25" s="237"/>
      <c r="W25" s="237"/>
      <c r="X25" s="237"/>
      <c r="Y25" s="237"/>
      <c r="Z25" s="237"/>
      <c r="AA25" s="237"/>
      <c r="AB25" s="237">
        <v>18120392.888980739</v>
      </c>
      <c r="AC25" s="237"/>
      <c r="AD25" s="237"/>
      <c r="AE25" s="237"/>
      <c r="AF25" s="237"/>
      <c r="AG25" s="237"/>
      <c r="AH25" s="237">
        <v>65062728.84579356</v>
      </c>
      <c r="AI25" s="237">
        <v>2513799.4410976479</v>
      </c>
      <c r="AJ25" s="237"/>
      <c r="AK25" s="237">
        <v>100145279.92444479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944815.08868008247</v>
      </c>
      <c r="AJ26" s="237"/>
      <c r="AK26" s="237">
        <v>35015134.317045711</v>
      </c>
    </row>
    <row r="27" spans="1:37" x14ac:dyDescent="0.25">
      <c r="A27" s="79">
        <v>2030</v>
      </c>
      <c r="B27" s="237"/>
      <c r="C27" s="237"/>
      <c r="D27" s="237"/>
      <c r="E27" s="237">
        <v>569935.67566680163</v>
      </c>
      <c r="F27" s="237"/>
      <c r="G27" s="237">
        <v>904.29280606983355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1390628.5884001986</v>
      </c>
      <c r="T27" s="237"/>
      <c r="U27" s="237"/>
      <c r="V27" s="237"/>
      <c r="W27" s="237"/>
      <c r="X27" s="237"/>
      <c r="Y27" s="237"/>
      <c r="Z27" s="237"/>
      <c r="AA27" s="237"/>
      <c r="AB27" s="237">
        <v>1725913.3013923911</v>
      </c>
      <c r="AC27" s="237"/>
      <c r="AD27" s="237"/>
      <c r="AE27" s="237"/>
      <c r="AF27" s="237"/>
      <c r="AG27" s="237"/>
      <c r="AH27" s="237">
        <v>28521927.915010508</v>
      </c>
      <c r="AI27" s="237">
        <v>832479.65170221834</v>
      </c>
      <c r="AJ27" s="237"/>
      <c r="AK27" s="237">
        <v>33041789.424978189</v>
      </c>
    </row>
    <row r="28" spans="1:37" x14ac:dyDescent="0.25">
      <c r="A28" s="79">
        <v>2050</v>
      </c>
      <c r="B28" s="237"/>
      <c r="C28" s="237"/>
      <c r="D28" s="237"/>
      <c r="E28" s="237">
        <v>597203.21156908036</v>
      </c>
      <c r="F28" s="237"/>
      <c r="G28" s="237">
        <v>933.86301198509727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1364056.2909282311</v>
      </c>
      <c r="T28" s="237"/>
      <c r="U28" s="237"/>
      <c r="V28" s="237"/>
      <c r="W28" s="237"/>
      <c r="X28" s="237"/>
      <c r="Y28" s="237"/>
      <c r="Z28" s="237"/>
      <c r="AA28" s="237"/>
      <c r="AB28" s="237">
        <v>1652348.9209216826</v>
      </c>
      <c r="AC28" s="237"/>
      <c r="AD28" s="237"/>
      <c r="AE28" s="237"/>
      <c r="AF28" s="237"/>
      <c r="AG28" s="237"/>
      <c r="AH28" s="237">
        <v>27737309.195274573</v>
      </c>
      <c r="AI28" s="237">
        <v>736504.70071534708</v>
      </c>
      <c r="AJ28" s="237"/>
      <c r="AK28" s="237">
        <v>32088356.182420902</v>
      </c>
    </row>
    <row r="29" spans="1:37" x14ac:dyDescent="0.25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1643947.1078218848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1643947.1078218848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678407.81727843033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678407.81727843033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482021.37815281149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482021.37815281149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483517.91239064303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483517.91239064303</v>
      </c>
    </row>
    <row r="33" spans="1:37" x14ac:dyDescent="0.25">
      <c r="A33" s="78" t="s">
        <v>61</v>
      </c>
      <c r="B33" s="237">
        <v>182574.19618217932</v>
      </c>
      <c r="C33" s="237">
        <v>217245.27668679622</v>
      </c>
      <c r="D33" s="237">
        <v>1462906</v>
      </c>
      <c r="E33" s="237">
        <v>5830999.2614708273</v>
      </c>
      <c r="F33" s="237">
        <v>281468.55244752642</v>
      </c>
      <c r="G33" s="237">
        <v>27264.558180549309</v>
      </c>
      <c r="H33" s="237">
        <v>197788.71253069426</v>
      </c>
      <c r="I33" s="237">
        <v>1445379.0531089196</v>
      </c>
      <c r="J33" s="237">
        <v>428226</v>
      </c>
      <c r="K33" s="237">
        <v>41476304.95581004</v>
      </c>
      <c r="L33" s="237">
        <v>1513844.376677237</v>
      </c>
      <c r="M33" s="237">
        <v>8657038.9794552922</v>
      </c>
      <c r="N33" s="237">
        <v>2948427</v>
      </c>
      <c r="O33" s="237">
        <v>16263222.796414331</v>
      </c>
      <c r="P33" s="237">
        <v>2444654</v>
      </c>
      <c r="Q33" s="237">
        <v>692260.49385742994</v>
      </c>
      <c r="R33" s="237">
        <v>21110943.748880316</v>
      </c>
      <c r="S33" s="237">
        <v>41596848.793284312</v>
      </c>
      <c r="T33" s="237">
        <v>5105264.0021397118</v>
      </c>
      <c r="U33" s="237">
        <v>20044299.142737754</v>
      </c>
      <c r="V33" s="237">
        <v>2647325.8446415998</v>
      </c>
      <c r="W33" s="237">
        <v>336392.95646566537</v>
      </c>
      <c r="X33" s="237">
        <v>1643947.1078218848</v>
      </c>
      <c r="Y33" s="237">
        <v>5054252.8095545713</v>
      </c>
      <c r="Z33" s="237">
        <v>132761.00241970882</v>
      </c>
      <c r="AA33" s="237">
        <v>8334841.759060693</v>
      </c>
      <c r="AB33" s="237">
        <v>51439622.223140746</v>
      </c>
      <c r="AC33" s="237">
        <v>682979.63888483576</v>
      </c>
      <c r="AD33" s="237">
        <v>604877.62481286074</v>
      </c>
      <c r="AE33" s="237">
        <v>8774736.4880378172</v>
      </c>
      <c r="AF33" s="237">
        <v>721133.62677978189</v>
      </c>
      <c r="AG33" s="237">
        <v>526063.07450300315</v>
      </c>
      <c r="AH33" s="237">
        <v>65062728.84579356</v>
      </c>
      <c r="AI33" s="237">
        <v>2513799.4410976479</v>
      </c>
      <c r="AJ33" s="237">
        <v>2517529.7800321821</v>
      </c>
      <c r="AK33" s="237">
        <v>322919952.1229105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281</v>
      </c>
      <c r="B2" s="78">
        <v>1</v>
      </c>
    </row>
    <row r="4" spans="1:10" x14ac:dyDescent="0.25">
      <c r="A4" s="77" t="s">
        <v>308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220017.54042545299</v>
      </c>
      <c r="D7" s="76">
        <v>0</v>
      </c>
      <c r="E7" s="76">
        <v>832479.65170221834</v>
      </c>
      <c r="F7" s="76">
        <v>0</v>
      </c>
      <c r="G7" s="76">
        <v>142742</v>
      </c>
      <c r="H7" s="76">
        <v>439387.69075181423</v>
      </c>
      <c r="I7" s="76">
        <v>5421074.2654714435</v>
      </c>
      <c r="J7" s="76">
        <v>7055701.1766081853</v>
      </c>
    </row>
    <row r="8" spans="1:10" x14ac:dyDescent="0.25">
      <c r="A8" s="78">
        <v>2050</v>
      </c>
      <c r="B8" s="76">
        <v>0.18489040050189942</v>
      </c>
      <c r="C8" s="76">
        <v>242545.76887958913</v>
      </c>
      <c r="D8" s="76">
        <v>0.11492812394862995</v>
      </c>
      <c r="E8" s="76">
        <v>736504.70071534708</v>
      </c>
      <c r="F8" s="76">
        <v>6687.6021110492293</v>
      </c>
      <c r="G8" s="76">
        <v>142742</v>
      </c>
      <c r="H8" s="76">
        <v>459741.59060662938</v>
      </c>
      <c r="I8" s="76">
        <v>5421074.2654714435</v>
      </c>
      <c r="J8" s="76">
        <v>7009296.2276025824</v>
      </c>
    </row>
    <row r="9" spans="1:10" x14ac:dyDescent="0.25">
      <c r="A9" s="78" t="s">
        <v>61</v>
      </c>
      <c r="B9" s="76">
        <v>370459.88762915425</v>
      </c>
      <c r="C9" s="76">
        <v>666212.93031054817</v>
      </c>
      <c r="D9" s="76">
        <v>282332.14526922622</v>
      </c>
      <c r="E9" s="76">
        <v>2513799.4410976479</v>
      </c>
      <c r="F9" s="76">
        <v>6687.6021110492293</v>
      </c>
      <c r="G9" s="76">
        <v>428226</v>
      </c>
      <c r="H9" s="76">
        <v>1319759.2711998716</v>
      </c>
      <c r="I9" s="76">
        <v>16263222.796414331</v>
      </c>
      <c r="J9" s="76">
        <v>21850700.07403183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8" width="11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5" width="9.85546875" style="168" bestFit="1" customWidth="1"/>
    <col min="26" max="26" width="9.28515625" style="168" bestFit="1" customWidth="1"/>
    <col min="27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238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218475.89285786889</v>
      </c>
      <c r="D7" s="98">
        <v>2821317.759830459</v>
      </c>
      <c r="E7" s="98">
        <v>935554.7883587121</v>
      </c>
      <c r="F7" s="98">
        <v>131018.05015567706</v>
      </c>
      <c r="G7" s="98">
        <v>1462811.7838699373</v>
      </c>
      <c r="H7" s="98">
        <v>22498503.824004248</v>
      </c>
      <c r="I7" s="98">
        <v>0.40288562423666008</v>
      </c>
      <c r="J7" s="98">
        <v>2063763.1734135598</v>
      </c>
      <c r="K7" s="98">
        <v>13722.032493402367</v>
      </c>
      <c r="L7" s="98">
        <v>34449.731880352119</v>
      </c>
      <c r="M7" s="98">
        <v>952519.64833213156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4391304.0580497598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925011.48221335816</v>
      </c>
      <c r="Y7" s="98">
        <v>1327226.7147852567</v>
      </c>
      <c r="Z7" s="98">
        <v>632.81348314511342</v>
      </c>
      <c r="AA7" s="98">
        <v>52244457.80139114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219701.78669330367</v>
      </c>
      <c r="D8" s="98">
        <v>2952551.0288410056</v>
      </c>
      <c r="E8" s="98">
        <v>980314.70578320744</v>
      </c>
      <c r="F8" s="98">
        <v>119570.06432731522</v>
      </c>
      <c r="G8" s="98">
        <v>1471843.8941405099</v>
      </c>
      <c r="H8" s="98">
        <v>23160879.440476462</v>
      </c>
      <c r="I8" s="98"/>
      <c r="J8" s="98">
        <v>2065153.5058970719</v>
      </c>
      <c r="K8" s="98">
        <v>52712.45186786633</v>
      </c>
      <c r="L8" s="98">
        <v>2199.2700615431677</v>
      </c>
      <c r="M8" s="98">
        <v>1074079.2998498199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4409413.645307919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929013.574979258</v>
      </c>
      <c r="Y8" s="98">
        <v>1334029.2470398843</v>
      </c>
      <c r="Z8" s="98">
        <v>1381.080602060887</v>
      </c>
      <c r="AA8" s="98">
        <v>53159385.882509269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650888.68930691946</v>
      </c>
      <c r="D9" s="98">
        <v>9004397.8609129768</v>
      </c>
      <c r="E9" s="98">
        <v>3268087.5012847767</v>
      </c>
      <c r="F9" s="98">
        <v>388863.39451189141</v>
      </c>
      <c r="G9" s="98">
        <v>4437213.7136186622</v>
      </c>
      <c r="H9" s="98">
        <v>49777386.974780872</v>
      </c>
      <c r="I9" s="98">
        <v>0.40288562423666008</v>
      </c>
      <c r="J9" s="98">
        <v>6169790.4301767666</v>
      </c>
      <c r="K9" s="98">
        <v>2041104.8136726879</v>
      </c>
      <c r="L9" s="98">
        <v>88541.13456199161</v>
      </c>
      <c r="M9" s="98">
        <v>3292861.1944494438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10457082.344858594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2765599.6996776825</v>
      </c>
      <c r="Y9" s="98">
        <v>4666358.1332259178</v>
      </c>
      <c r="Z9" s="98">
        <v>100839.92713116054</v>
      </c>
      <c r="AA9" s="98">
        <v>140029037.70541173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315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19.810752704992638</v>
      </c>
      <c r="C7" s="235">
        <v>0</v>
      </c>
      <c r="D7" s="235">
        <v>56.732155126411541</v>
      </c>
      <c r="E7" s="235">
        <v>21.548922103944079</v>
      </c>
      <c r="F7" s="235">
        <v>0.35905402506237244</v>
      </c>
      <c r="G7" s="235">
        <v>2.0151850141246661</v>
      </c>
      <c r="H7" s="235">
        <v>0</v>
      </c>
      <c r="I7" s="235">
        <v>5.3986394353114884</v>
      </c>
      <c r="J7" s="235">
        <v>45.119459803579794</v>
      </c>
      <c r="K7" s="235">
        <v>150.98416821342659</v>
      </c>
    </row>
    <row r="8" spans="1:11" x14ac:dyDescent="0.25">
      <c r="A8" s="79">
        <v>2050</v>
      </c>
      <c r="B8" s="235">
        <v>19.90496446847807</v>
      </c>
      <c r="C8" s="235">
        <v>0</v>
      </c>
      <c r="D8" s="235">
        <v>58.436392756918984</v>
      </c>
      <c r="E8" s="235">
        <v>19.314302108865967</v>
      </c>
      <c r="F8" s="235">
        <v>0.35905402506237249</v>
      </c>
      <c r="G8" s="235">
        <v>2.1115978762570289</v>
      </c>
      <c r="H8" s="235">
        <v>0</v>
      </c>
      <c r="I8" s="235">
        <v>5.4154006187752017</v>
      </c>
      <c r="J8" s="235">
        <v>45.698441444158348</v>
      </c>
      <c r="K8" s="235">
        <v>151.24015329851596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5.299004640736527</v>
      </c>
      <c r="C11" s="235">
        <v>2.1694819870080004</v>
      </c>
      <c r="D11" s="235">
        <v>1.4201719861750002</v>
      </c>
      <c r="E11" s="235">
        <v>0.45076703432000015</v>
      </c>
      <c r="F11" s="235">
        <v>0</v>
      </c>
      <c r="G11" s="235">
        <v>16.27366559690411</v>
      </c>
      <c r="H11" s="235">
        <v>0</v>
      </c>
      <c r="I11" s="235">
        <v>0</v>
      </c>
      <c r="J11" s="235">
        <v>0</v>
      </c>
      <c r="K11" s="235">
        <v>25.613091245143636</v>
      </c>
    </row>
    <row r="12" spans="1:11" x14ac:dyDescent="0.25">
      <c r="A12" s="79">
        <v>2050</v>
      </c>
      <c r="B12" s="235">
        <v>5.3654495190523503</v>
      </c>
      <c r="C12" s="235">
        <v>2.1694819870080004</v>
      </c>
      <c r="D12" s="235">
        <v>1.4201719861750002</v>
      </c>
      <c r="E12" s="235">
        <v>0.45076703432000015</v>
      </c>
      <c r="F12" s="235">
        <v>0</v>
      </c>
      <c r="G12" s="235">
        <v>16.022658393242192</v>
      </c>
      <c r="H12" s="235">
        <v>0</v>
      </c>
      <c r="I12" s="235">
        <v>0</v>
      </c>
      <c r="J12" s="235">
        <v>0</v>
      </c>
      <c r="K12" s="235">
        <v>25.428528919797543</v>
      </c>
    </row>
    <row r="13" spans="1:11" x14ac:dyDescent="0.25">
      <c r="A13" s="78" t="s">
        <v>289</v>
      </c>
      <c r="B13" s="235">
        <v>57.259647697973008</v>
      </c>
      <c r="C13" s="235">
        <v>0</v>
      </c>
      <c r="D13" s="235">
        <v>115.16854788333052</v>
      </c>
      <c r="E13" s="235">
        <v>60.43681470136724</v>
      </c>
      <c r="F13" s="235">
        <v>0.71810805012474499</v>
      </c>
      <c r="G13" s="235">
        <v>4.126782890381695</v>
      </c>
      <c r="H13" s="235">
        <v>0</v>
      </c>
      <c r="I13" s="235">
        <v>14.765087181916268</v>
      </c>
      <c r="J13" s="235">
        <v>138.30699617208001</v>
      </c>
      <c r="K13" s="235">
        <v>390.78198457717349</v>
      </c>
    </row>
    <row r="14" spans="1:11" x14ac:dyDescent="0.25">
      <c r="A14" s="78" t="s">
        <v>244</v>
      </c>
      <c r="B14" s="235">
        <v>18.147608863995877</v>
      </c>
      <c r="C14" s="235">
        <v>6.5084459610240017</v>
      </c>
      <c r="D14" s="235">
        <v>4.2605159585250005</v>
      </c>
      <c r="E14" s="235">
        <v>1.3523011029600003</v>
      </c>
      <c r="F14" s="235">
        <v>0</v>
      </c>
      <c r="G14" s="235">
        <v>37.388606948151306</v>
      </c>
      <c r="H14" s="235">
        <v>0</v>
      </c>
      <c r="I14" s="235">
        <v>0</v>
      </c>
      <c r="J14" s="235">
        <v>0</v>
      </c>
      <c r="K14" s="235">
        <v>67.657478834656189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1140745.9345080981</v>
      </c>
      <c r="C4" s="236">
        <v>128467.8</v>
      </c>
      <c r="D4" s="236">
        <v>7592324.1368307825</v>
      </c>
      <c r="E4" s="236">
        <v>1838255.0202506275</v>
      </c>
      <c r="F4" s="236">
        <v>60009.02925833522</v>
      </c>
      <c r="G4" s="236">
        <v>2460677.2498286217</v>
      </c>
      <c r="H4" s="236">
        <v>1497826.23315338</v>
      </c>
      <c r="I4" s="236">
        <v>14718305.403829847</v>
      </c>
    </row>
    <row r="5" spans="1:9" x14ac:dyDescent="0.25">
      <c r="A5" s="78">
        <v>2050</v>
      </c>
      <c r="B5" s="236">
        <v>1159380.5453773015</v>
      </c>
      <c r="C5" s="236">
        <v>128467.8</v>
      </c>
      <c r="D5" s="236">
        <v>7817879.1223499402</v>
      </c>
      <c r="E5" s="236">
        <v>1655588.670760924</v>
      </c>
      <c r="F5" s="236">
        <v>60009.02925833522</v>
      </c>
      <c r="G5" s="236">
        <v>2444450.8046781118</v>
      </c>
      <c r="H5" s="236">
        <v>1517162.9240881524</v>
      </c>
      <c r="I5" s="236">
        <v>14782938.896512765</v>
      </c>
    </row>
    <row r="6" spans="1:9" x14ac:dyDescent="0.25">
      <c r="A6" s="78" t="s">
        <v>61</v>
      </c>
      <c r="B6" s="236">
        <v>3377431.4198853993</v>
      </c>
      <c r="C6" s="236">
        <v>385403.4</v>
      </c>
      <c r="D6" s="236">
        <v>15538929.619180724</v>
      </c>
      <c r="E6" s="236">
        <v>5169261.6816667784</v>
      </c>
      <c r="F6" s="236">
        <v>120018.05851667044</v>
      </c>
      <c r="G6" s="236">
        <v>5609144.1703400668</v>
      </c>
      <c r="H6" s="236">
        <v>4590862.635672708</v>
      </c>
      <c r="I6" s="236">
        <v>34791050.985262349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313</v>
      </c>
      <c r="I2" s="168" t="s">
        <v>335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11404364.973939046</v>
      </c>
      <c r="C4" s="98">
        <v>-50273.43159900204</v>
      </c>
      <c r="D4" s="98">
        <v>5507316.8818720337</v>
      </c>
      <c r="E4" s="98">
        <v>8852683.6564139053</v>
      </c>
      <c r="F4" s="98">
        <v>-1707937.0102545363</v>
      </c>
      <c r="G4" s="98">
        <v>-565990.77935995674</v>
      </c>
      <c r="H4" s="98">
        <v>0</v>
      </c>
      <c r="I4" s="98">
        <v>-631434.34313339414</v>
      </c>
      <c r="J4" s="98">
        <v>22808729.947878096</v>
      </c>
    </row>
    <row r="5" spans="1:10" x14ac:dyDescent="0.25">
      <c r="A5" s="78">
        <v>2050</v>
      </c>
      <c r="B5" s="98">
        <v>8803377.2675873023</v>
      </c>
      <c r="C5" s="98">
        <v>-50273.43159900204</v>
      </c>
      <c r="D5" s="98">
        <v>5485230.909845111</v>
      </c>
      <c r="E5" s="98">
        <v>8600679.1735734027</v>
      </c>
      <c r="F5" s="98">
        <v>-2973715.1305050733</v>
      </c>
      <c r="G5" s="98">
        <v>-550526.76458399382</v>
      </c>
      <c r="H5" s="98">
        <v>0</v>
      </c>
      <c r="I5" s="98">
        <v>-1708017.489143146</v>
      </c>
      <c r="J5" s="98">
        <v>17606754.535174605</v>
      </c>
    </row>
    <row r="6" spans="1:10" x14ac:dyDescent="0.25">
      <c r="A6" s="78" t="s">
        <v>61</v>
      </c>
      <c r="B6" s="98">
        <v>34119304.359803922</v>
      </c>
      <c r="C6" s="98">
        <v>-100705.30039800408</v>
      </c>
      <c r="D6" s="98">
        <v>16511809.692453861</v>
      </c>
      <c r="E6" s="98">
        <v>27178829.019721493</v>
      </c>
      <c r="F6" s="98">
        <v>-5243552.1407596096</v>
      </c>
      <c r="G6" s="98">
        <v>-1281724.7548390103</v>
      </c>
      <c r="H6" s="98">
        <v>0</v>
      </c>
      <c r="I6" s="98">
        <v>-2945352.1563748149</v>
      </c>
      <c r="J6" s="98">
        <v>68238608.71960783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11941424.383000549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-469132.82551179174</v>
      </c>
      <c r="D9" s="168" t="s">
        <v>334</v>
      </c>
      <c r="E9" s="168" t="s">
        <v>335</v>
      </c>
      <c r="G9" s="168" t="s">
        <v>333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313</v>
      </c>
      <c r="E11" s="168" t="s">
        <v>313</v>
      </c>
      <c r="G11" s="168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9784583.8950694315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4050999.7757368749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1046391.7276882209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2072025.0312862033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-1396531.3776739447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-492531.2161151293</v>
      </c>
      <c r="D19" s="168" t="s">
        <v>334</v>
      </c>
      <c r="E19" s="98" t="str">
        <f t="shared" si="4"/>
        <v>Træprodukter</v>
      </c>
      <c r="G19" s="168" t="s">
        <v>333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-516531.08471977338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7586728.3328335779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3832222.5506338608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1046391.7276882206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2072025.0312862035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-2463056.8824032876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-1398061.7035200731</v>
      </c>
      <c r="D29" s="168" t="s">
        <v>334</v>
      </c>
      <c r="E29" s="98" t="str">
        <f t="shared" si="4"/>
        <v>Træprodukter</v>
      </c>
      <c r="G29" s="168" t="s">
        <v>333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-502600.52422498411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-137317.43481230648</v>
      </c>
      <c r="D39" s="168" t="s">
        <v>334</v>
      </c>
      <c r="E39" s="98" t="str">
        <f t="shared" si="4"/>
        <v>Træprodukter</v>
      </c>
      <c r="G39" s="168" t="s">
        <v>333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1619063.049229247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1210391.4501010706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158923.71142052949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314605.50569502515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-312239.17435557954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-139441.16039766971</v>
      </c>
      <c r="D49" s="168" t="s">
        <v>334</v>
      </c>
      <c r="E49" s="98" t="str">
        <f t="shared" si="4"/>
        <v>Træprodukter</v>
      </c>
      <c r="G49" s="168" t="s">
        <v>333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-49459.694640183312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1215336.6654525283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1177164.1923635819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158923.71142052949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314605.50569502515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-511804.64176831604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-310775.20677175629</v>
      </c>
      <c r="D59" s="168" t="s">
        <v>334</v>
      </c>
      <c r="E59" s="98" t="str">
        <f t="shared" si="4"/>
        <v>Træprodukter</v>
      </c>
      <c r="G59" s="168" t="s">
        <v>333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-47926.24035900968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292116.87892223574</v>
      </c>
      <c r="C7" s="98">
        <v>1471843.8941405099</v>
      </c>
      <c r="D7" s="98">
        <v>42032.3457368659</v>
      </c>
      <c r="E7" s="98">
        <v>36986314.425746471</v>
      </c>
      <c r="F7" s="98">
        <v>282996.40655386116</v>
      </c>
      <c r="G7" s="98">
        <v>929013.574979258</v>
      </c>
      <c r="H7" s="98">
        <v>2305476.8122510617</v>
      </c>
      <c r="I7" s="98">
        <v>7052401.3495311961</v>
      </c>
      <c r="J7" s="98">
        <v>7755512.3474290697</v>
      </c>
      <c r="K7" s="98">
        <v>1334029.2470398843</v>
      </c>
      <c r="L7" s="98">
        <v>198535.62761100623</v>
      </c>
      <c r="M7" s="98">
        <v>483517.91239064303</v>
      </c>
      <c r="N7" s="98">
        <v>6450010.8028423768</v>
      </c>
      <c r="O7" s="98">
        <v>65583801.62517444</v>
      </c>
    </row>
    <row r="8" spans="1:15" x14ac:dyDescent="0.25">
      <c r="A8" s="78" t="s">
        <v>61</v>
      </c>
      <c r="B8" s="98">
        <v>868133.96599371568</v>
      </c>
      <c r="C8" s="98">
        <v>4437213.7136186622</v>
      </c>
      <c r="D8" s="98">
        <v>125619.78190904811</v>
      </c>
      <c r="E8" s="98">
        <v>91253691.930590913</v>
      </c>
      <c r="F8" s="98">
        <v>847631.4463666887</v>
      </c>
      <c r="G8" s="98">
        <v>2765599.6996776825</v>
      </c>
      <c r="H8" s="98">
        <v>6862050.924034195</v>
      </c>
      <c r="I8" s="98">
        <v>23152048.562553003</v>
      </c>
      <c r="J8" s="98">
        <v>23337160.337187193</v>
      </c>
      <c r="K8" s="98">
        <v>4666358.1332259178</v>
      </c>
      <c r="L8" s="98">
        <v>604877.62481286074</v>
      </c>
      <c r="M8" s="98">
        <v>1643947.1078218848</v>
      </c>
      <c r="N8" s="98">
        <v>15511335.154413166</v>
      </c>
      <c r="O8" s="98">
        <v>176075668.38220492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5398533.7934721429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225286.45082149099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371797.62097043003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28400602.406294856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218755.7836858769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1783325.2175353111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4946902.7535971384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5921155.5578735983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32218.723811815202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1028163.7902040067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1122133.6966349066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715738.37153588282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154113.19774513159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5414026.8902810384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224901.75438810108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370660.6274963881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28775768.450113945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216581.36093452224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1781984.509456197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4928756.7934970316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5980572.9398795273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32149.585150650411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1027472.506321969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1122115.8049381305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714570.3554189268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154949.74904422625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1594975.3137968828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65459.686512202337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110532.40398074606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7895881.161335798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65388.861876856266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508362.7913025436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1488741.8735992862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1706260.1464788285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9699.0512854034223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299252.17599197297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346630.49211305089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209163.10303539436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42488.00877346145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1642235.7978092346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67062.574851910627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113182.04384415773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8181363.2306406535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66539.660453061777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520788.5325158292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1525196.4678207021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1767975.5826667205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9944.0855806479794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306756.0551149071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355996.9988204384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214327.36252781507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43629.687083109289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2863529.5604047892</v>
      </c>
      <c r="C7" s="236">
        <v>792502.62774827308</v>
      </c>
      <c r="D7" s="236">
        <v>3656032.188153062</v>
      </c>
    </row>
    <row r="8" spans="1:4" x14ac:dyDescent="0.25">
      <c r="A8" s="78">
        <v>2050</v>
      </c>
      <c r="B8" s="236">
        <v>2900968.4353083428</v>
      </c>
      <c r="C8" s="236">
        <v>897333.94736170489</v>
      </c>
      <c r="D8" s="236">
        <v>3798302.3826700477</v>
      </c>
    </row>
    <row r="9" spans="1:4" x14ac:dyDescent="0.25">
      <c r="A9" s="78" t="s">
        <v>61</v>
      </c>
      <c r="B9" s="236">
        <v>8774736.4880378172</v>
      </c>
      <c r="C9" s="236">
        <v>2517529.7800321821</v>
      </c>
      <c r="D9" s="236">
        <v>11292266.268070001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2501770</v>
      </c>
      <c r="E6" s="236">
        <v>487920</v>
      </c>
      <c r="F6" s="236">
        <v>623500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2389770</v>
      </c>
      <c r="E7" s="236">
        <v>487920</v>
      </c>
      <c r="F7" s="236">
        <v>735500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7469910</v>
      </c>
      <c r="E8" s="236">
        <v>1448760</v>
      </c>
      <c r="F8" s="236">
        <v>1920900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74183.803587131348</v>
      </c>
      <c r="C7" s="236">
        <v>4853.1770030289581</v>
      </c>
      <c r="D7" s="236">
        <v>614009.9839605958</v>
      </c>
      <c r="E7" s="236">
        <v>12260.644279007083</v>
      </c>
      <c r="F7" s="236">
        <v>18194.810700511243</v>
      </c>
      <c r="G7" s="236">
        <v>52970.654930914927</v>
      </c>
      <c r="H7" s="236">
        <v>966609.27748625283</v>
      </c>
      <c r="I7" s="236">
        <v>162670.5326839725</v>
      </c>
      <c r="J7" s="236">
        <v>43656.858578083113</v>
      </c>
      <c r="K7" s="236">
        <v>108216.1106595821</v>
      </c>
      <c r="L7" s="236">
        <v>78362.46663239249</v>
      </c>
      <c r="M7" s="236">
        <v>257867.80103200703</v>
      </c>
      <c r="N7" s="236">
        <v>7716.8760454422081</v>
      </c>
      <c r="O7" s="236">
        <v>99823.678331425646</v>
      </c>
      <c r="P7" s="236">
        <v>2501396.6759103471</v>
      </c>
    </row>
    <row r="8" spans="1:16" x14ac:dyDescent="0.25">
      <c r="A8" s="78">
        <v>2050</v>
      </c>
      <c r="B8" s="236">
        <v>70714.46091817932</v>
      </c>
      <c r="C8" s="236">
        <v>4625.795568945282</v>
      </c>
      <c r="D8" s="236">
        <v>585897.98396059568</v>
      </c>
      <c r="E8" s="236">
        <v>11677.56258440821</v>
      </c>
      <c r="F8" s="236">
        <v>17345.073983380356</v>
      </c>
      <c r="G8" s="236">
        <v>50518.159150673164</v>
      </c>
      <c r="H8" s="236">
        <v>921525.54308632715</v>
      </c>
      <c r="I8" s="236">
        <v>155081.49250673887</v>
      </c>
      <c r="J8" s="236">
        <v>41644.367513597048</v>
      </c>
      <c r="K8" s="236">
        <v>103139.18553800805</v>
      </c>
      <c r="L8" s="236">
        <v>74614.172443133619</v>
      </c>
      <c r="M8" s="236">
        <v>249941.24327345032</v>
      </c>
      <c r="N8" s="236">
        <v>7390.1149836831491</v>
      </c>
      <c r="O8" s="236">
        <v>95299.403912586349</v>
      </c>
      <c r="P8" s="236">
        <v>2389414.5594237065</v>
      </c>
    </row>
    <row r="9" spans="1:16" x14ac:dyDescent="0.25">
      <c r="A9" s="78" t="s">
        <v>61</v>
      </c>
      <c r="B9" s="236">
        <v>221751.477371733</v>
      </c>
      <c r="C9" s="236">
        <v>14593.753465080146</v>
      </c>
      <c r="D9" s="236">
        <v>1488839.3835768392</v>
      </c>
      <c r="E9" s="236">
        <v>36690.28543224329</v>
      </c>
      <c r="F9" s="236">
        <v>54482.581150637823</v>
      </c>
      <c r="G9" s="236">
        <v>158564.33488356959</v>
      </c>
      <c r="H9" s="236">
        <v>3225956.1532555814</v>
      </c>
      <c r="I9" s="236">
        <v>497892.70107381581</v>
      </c>
      <c r="J9" s="236">
        <v>155239.86216082054</v>
      </c>
      <c r="K9" s="236">
        <v>372786.91853028344</v>
      </c>
      <c r="L9" s="236">
        <v>186942.99593924516</v>
      </c>
      <c r="M9" s="236">
        <v>728814.05938176333</v>
      </c>
      <c r="N9" s="236">
        <v>23686.618415699766</v>
      </c>
      <c r="O9" s="236">
        <v>302940.11069674086</v>
      </c>
      <c r="P9" s="236">
        <v>7469181.2353340536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1800398.2131878724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488542.44754899049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1703165.6205952798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585775.04014158307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537937.78681212745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135467.55245100948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523170.37940472004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150234.95985841687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626883.0692116532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4394450.3151736883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2066411.7099110438</v>
      </c>
      <c r="J16" s="76">
        <f t="shared" si="2"/>
        <v>2066411.7099110438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48240.728267248036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186209.21111157746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79642.656105363611</v>
      </c>
      <c r="J17" s="76">
        <f t="shared" si="2"/>
        <v>79642.656105363611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70593.939138620815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310613.33220993163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239007.87369557522</v>
      </c>
      <c r="J18" s="76">
        <f t="shared" si="2"/>
        <v>239007.87369557522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390893.45805628493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19396133.388752859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19396133.388752859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8107.6700316972328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168234.15315771758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168234.15315771758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34101.613418011875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1448326.1952718589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1448326.1952718589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52119.510438661928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4234904.6989265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4234904.6989265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105524.55030616655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4696897.7341274731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4696897.7341274731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3161.7072804056943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26842.894810644346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26842.894810644346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27983.408918054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833792.07128881384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833792.07128881384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62909.407824974456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898903.76887326152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215141.99653839541</v>
      </c>
      <c r="J26" s="76">
        <f t="shared" si="2"/>
        <v>215141.99653839541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11815.471108305517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590773.55541527586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590773.55541527586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4543.567209346289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110818.71242308023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110818.71242308023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110217.685427045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1519901.8820389507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1519901.8820389507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565604.28432456835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3964886.033115224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1864416.7847345923</v>
      </c>
      <c r="J30" s="76">
        <f t="shared" si="2"/>
        <v>1864416.7847345923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43525.122829055959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168006.97412015602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71857.463888489583</v>
      </c>
      <c r="J31" s="76">
        <f t="shared" si="2"/>
        <v>71857.463888489583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63693.272932644599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280250.40090363624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215644.48617112168</v>
      </c>
      <c r="J32" s="76">
        <f t="shared" si="2"/>
        <v>215644.48617112168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352683.02088476752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17500131.496302165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17500131.496302165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7315.1328071193957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151789.00574772747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151789.00574772747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30768.128218654325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1306750.0804822131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1306750.0804822131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47024.748073158291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3820936.246421996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3820936.246421996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95209.363094857908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4237768.7513521258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4237768.7513521258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2852.6455273812289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24218.960527466639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24218.960527466639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25247.987625446389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752287.61298318754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752287.61298318754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56759.916382609546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811034.54191161145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194111.53523939487</v>
      </c>
      <c r="J40" s="76">
        <f t="shared" si="2"/>
        <v>194111.53523939487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10660.490621600164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533024.53108000825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533024.53108000825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4099.4265213680974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99986.012716295067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99986.012716295067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99443.737034197344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1371329.1337015815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1371329.1337015815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97837.242015691561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459512.17457509862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216077.38631381962</v>
      </c>
      <c r="J58" s="76">
        <f t="shared" si="2"/>
        <v>216077.38631381962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7528.8997873739718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16565.085312180214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7084.9738581592246</v>
      </c>
      <c r="J59" s="76">
        <f t="shared" si="2"/>
        <v>7084.9738581592246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11017.551195044869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26662.473892008591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20515.99378253927</v>
      </c>
      <c r="J60" s="76">
        <f t="shared" si="2"/>
        <v>20515.99378253927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61006.493453871066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2361170.9200412445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2361170.9200412445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1265.3589066810709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14966.032468770367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14966.032468770367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5322.2171230423164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128842.4285851671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128842.4285851671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8134.2588545888566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376735.16367906844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376735.16367906844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16469.14946974854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608424.72960576124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608424.72960576124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493.44564491880783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2387.9315094555868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2387.9315094555868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4367.3528369217229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74173.757093264998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74173.757093264998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9818.2312790422566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79966.063600921945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19138.9325244272</v>
      </c>
      <c r="J68" s="76">
        <f t="shared" si="2"/>
        <v>19138.9325244272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1844.0330631459478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52554.942299659517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52554.942299659517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709.11164538930529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9858.3814115098558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9858.3814115098558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17201.604083989681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237210.12031821773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237210.12031821773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119976.66637187812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563494.40894879994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264973.17334561324</v>
      </c>
      <c r="J72" s="76">
        <f t="shared" ref="J72:J139" si="15">IF(I72&lt;&gt;0,I72,H72)</f>
        <v>264973.17334561324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9232.6018122239911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20313.570507255226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8688.2206337901043</v>
      </c>
      <c r="J73" s="76">
        <f t="shared" si="15"/>
        <v>8688.2206337901043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13510.694258439762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32695.880105424225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25158.523386630863</v>
      </c>
      <c r="J74" s="76">
        <f t="shared" si="15"/>
        <v>25158.523386630863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74811.549884647669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2895476.3021154497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2895476.3021154497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1551.6948378738111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18352.6706949525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18352.6706949525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6526.5726524418269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157997.96427648576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157997.96427648576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9974.9465609729705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461985.92797647766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461985.92797647766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20195.925504969862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746104.1347077532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746104.1347077532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605.1066270202607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2928.2925001391477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2928.2925001391477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5355.6337387310523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90958.411387967208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90958.411387967208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12039.982262977783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98061.449158403935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23469.849260763207</v>
      </c>
      <c r="J82" s="76">
        <f t="shared" si="15"/>
        <v>23469.849260763207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2261.3161924606407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64447.511485128256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64447.511485128256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869.57532271444495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12089.217901152038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12089.217901152038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21094.126037557013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290887.99805791123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290887.99805791123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11922.834521505016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100294.88399490018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47161.876427550407</v>
      </c>
      <c r="J100" s="76">
        <f t="shared" si="15"/>
        <v>47161.876427550407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1022.0754868257757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4734.2536549769929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2024.86511546931</v>
      </c>
      <c r="J101" s="76">
        <f t="shared" si="15"/>
        <v>2024.86511546931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1094.4210545362032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5778.543167951153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4446.4199453507499</v>
      </c>
      <c r="J102" s="76">
        <f t="shared" si="15"/>
        <v>4446.4199453507499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10099.70379845663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601376.76297530159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601376.76297530159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47.236694555604771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1176.1936944345587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1176.1936944345587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745.74497398137646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38006.951785069898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38006.951785069898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19.564857598470493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1907.6612196908661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1907.6612196908661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2525.5291048375989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134893.56054758586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134893.56054758586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43.024559384581636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438.33421101011777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438.33421101011777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760.92811477857106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27207.085346079606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27207.085346079606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1878.1949843406051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32204.71993250676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7707.819217316287</v>
      </c>
      <c r="J110" s="76">
        <f t="shared" si="15"/>
        <v>7707.819217316287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215.79157245738358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12947.494347443017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12947.494347443017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354.40933333477273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10372.956097603106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10372.956097603106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39110.220617481486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647195.93077808362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647195.93077808362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11371.489572533685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95656.970284153344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44980.980407779287</v>
      </c>
      <c r="J114" s="76">
        <f t="shared" si="15"/>
        <v>44980.980407779287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974.81188049857212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4515.3286304693866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1931.2297344071458</v>
      </c>
      <c r="J115" s="76">
        <f t="shared" si="15"/>
        <v>1931.2297344071458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1043.8119884304829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5511.32729891295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4240.8051501900218</v>
      </c>
      <c r="J116" s="76">
        <f t="shared" si="15"/>
        <v>4240.8051501900218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9632.665472516439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573567.43289551872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573567.43289551872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45.052338738004543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1121.8032345763129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1121.8032345763129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711.25965726547463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36249.404881714057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36249.404881714057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18.660124299119257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1819.4456719594964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1819.4456719594964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2408.741631781525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128655.70803671482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128655.70803671482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41.034984384138554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418.06442090560358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418.06442090560358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725.74068750557353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25948.954231810028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25948.954231810028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1791.3420370878605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30715.484328691426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7351.3882708507945</v>
      </c>
      <c r="J124" s="76">
        <f t="shared" si="15"/>
        <v>7351.3882708507945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205.81277141889186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12348.766285133512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12348.766285133512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338.02046242911848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9893.281827193714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9893.281827193714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37301.655502222224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617267.79525077331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617267.79525077331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1860.7892027782393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10487.482378426268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4931.5511247074392</v>
      </c>
      <c r="J142" s="76">
        <f t="shared" si="29"/>
        <v>4931.5511247074392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159.51467135431182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421.1570158965082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180.13106431833921</v>
      </c>
      <c r="J143" s="76">
        <f t="shared" si="29"/>
        <v>180.13106431833921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170.80559810680631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496.01945690216553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381.67246351710207</v>
      </c>
      <c r="J144" s="76">
        <f t="shared" si="29"/>
        <v>381.67246351710207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1576.2543500481449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73208.061435028067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73208.061435028067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7.3722008844007449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104.63364715229976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104.63364715229976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116.3879439161686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3381.0808553307843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3381.0808553307843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3.0534748853104241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169.70465994822214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169.70465994822214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394.15772156424953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17473.784346077446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17473.784346077446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6.7148156264954011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38.994008713559033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38.994008713559033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118.75756704636659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2420.3297310760991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2420.3297310760991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293.12869697801352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2864.9169928397628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685.68403326299199</v>
      </c>
      <c r="J152" s="76">
        <f t="shared" si="29"/>
        <v>685.68403326299199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33.678453504909584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1151.8031098679078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1151.8031098679078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55.312439306583023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922.77337770006784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922.77337770006784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6103.9072640000013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101007.45740467204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101007.45740467204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2412.1341517495694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13594.884564626642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6392.7514579540857</v>
      </c>
      <c r="J156" s="76">
        <f t="shared" si="29"/>
        <v>6392.7514579540857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206.77827768151528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545.94427986584378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233.50323152377305</v>
      </c>
      <c r="J157" s="76">
        <f t="shared" si="29"/>
        <v>233.50323152377305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221.41466421252667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642.98818487317749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494.76060085550256</v>
      </c>
      <c r="J158" s="76">
        <f t="shared" si="29"/>
        <v>494.76060085550256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2043.2926759883358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94899.338897258582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94899.338897258582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9.5565567020009645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135.63620927149969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135.63620927149969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150.87326063207038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4382.8825902436092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4382.8825902436092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3.9582081846616606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219.98752215510274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219.98752215510274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510.94519462032349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22651.201930100397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22651.201930100397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8.7043906269384816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50.547789073132073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50.547789073132073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153.9449943193641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3137.464466209758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3137.464466209758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379.98164423075826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3713.7812870145081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888.84967274832331</v>
      </c>
      <c r="J166" s="76">
        <f t="shared" si="29"/>
        <v>888.84967274832331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43.657254543401301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1493.0781053843243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1493.0781053843243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71.701310212237246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1196.1877118334212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1196.1877118334212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7912.4723792592595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130935.59293198223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130935.59293198223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6568.2132942811186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64460.445270074895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30311.372157793521</v>
      </c>
      <c r="J184" s="76">
        <f t="shared" si="29"/>
        <v>30311.372157793521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378.19261338172629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2043.752882714849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874.12382572670776</v>
      </c>
      <c r="J185" s="76">
        <f t="shared" si="29"/>
        <v>874.12382572670776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489.74230890359979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3016.8126228461747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2321.3490715109133</v>
      </c>
      <c r="J186" s="76">
        <f t="shared" si="29"/>
        <v>2321.3490715109133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11295.003626335274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784641.31191425875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784641.31191425875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13.128323987624659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381.37781184049635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381.37781184049635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694.88603847076718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41317.409117072944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41317.409117072944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7.5145411853341644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854.81831489765466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854.81831489765466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934.50676064688525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58232.854282950007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58232.854282950007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26.780123981156589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318.30855364002724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318.30855364002724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473.63063203897667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19757.180178371891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19757.180178371891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1506.9343192300419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30145.324525652635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7214.9272584273413</v>
      </c>
      <c r="J194" s="76">
        <f t="shared" si="29"/>
        <v>7214.9272584273413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134.31689126300301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9402.1823884102105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9402.1823884102105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317.05822466486404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10826.37840319048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10826.37840319048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30276.156716444439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584511.4815676763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584511.4815676763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6264.4808876091583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61479.61543099628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28909.69020830017</v>
      </c>
      <c r="J198" s="76">
        <f t="shared" si="29"/>
        <v>28909.69020830017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360.7039376184095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1949.244078889885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833.7019147104437</v>
      </c>
      <c r="J199" s="76">
        <f t="shared" si="29"/>
        <v>833.7019147104437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467.09526571730612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2877.3068368186059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2214.0034497069405</v>
      </c>
      <c r="J200" s="76">
        <f t="shared" si="29"/>
        <v>2214.0034497069405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10772.691319915146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748357.32061186526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748357.32061186526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12.5212338610293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363.74184366290115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363.74184366290115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662.7525800443733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39406.777481601363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39406.777481601363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7.1670479513302716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815.2891442665491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815.2891442665491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891.29257518344548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55540.005529981223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55540.005529981223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25.541736745033738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303.58908295147103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303.58908295147103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451.72863749382168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18843.553349314232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18843.553349314232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1437.2494952194038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28751.321079379675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6881.2890037023753</v>
      </c>
      <c r="J208" s="76">
        <f t="shared" si="29"/>
        <v>6881.2890037023753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128.10570553985832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8967.399387790083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8967.399387790083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302.39657265724026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10325.736627320399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10325.736627320399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28876.103226666663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557482.04889402667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557482.04889402667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1025.0968725178625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6740.4014736165018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3169.5533082918196</v>
      </c>
      <c r="J226" s="76">
        <f t="shared" si="42"/>
        <v>3169.5533082918196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59.024280701194286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181.81131135827471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77.761651317537769</v>
      </c>
      <c r="J227" s="76">
        <f t="shared" si="42"/>
        <v>77.761651317537769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76.433770753741015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258.95761531367458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199.26031047362466</v>
      </c>
      <c r="J228" s="76">
        <f t="shared" si="42"/>
        <v>199.26031047362466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1762.8040341679332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95517.607103550836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95517.607103550836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2.0489291772593399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33.927193781648775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33.927193781648775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108.45042218907928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3675.5776087384543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3675.5776087384543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1.1727896647631355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76.044242001589041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76.044242001589041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145.84787593910929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7543.3425692538149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7543.3425692538149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4.179556921914612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28.316581737109932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28.316581737109932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73.919231589898089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1757.5896123996729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1757.5896123996729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235.18628103590248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2681.7141297675953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641.83659252714904</v>
      </c>
      <c r="J236" s="76">
        <f t="shared" si="42"/>
        <v>641.83659252714904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20.962751815613185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836.41379744296592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836.41379744296592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49.483075525730229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963.10961633006627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963.10961633006627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4725.1805279999999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91224.335273567995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91224.335273567995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1328.8292791898216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8737.5574657991692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4108.6802144523581</v>
      </c>
      <c r="J240" s="76">
        <f t="shared" si="42"/>
        <v>4108.6802144523581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76.512956464511106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235.68132953850429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100.8021405968082</v>
      </c>
      <c r="J241" s="76">
        <f t="shared" si="42"/>
        <v>100.8021405968082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99.080813940034645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335.68579762883741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258.30040246580973</v>
      </c>
      <c r="J242" s="76">
        <f t="shared" si="42"/>
        <v>258.30040246580973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2285.1163405880611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123819.12031941771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123819.12031941771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2.6560193038547002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43.979695642878049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43.979695642878049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140.58388061547313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4764.6376409572558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4764.6376409572558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1.5202828987670274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98.575869261319113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98.575869261319113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189.06206140254903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9778.4070342179057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9778.4070342179057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5.4179441580374599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36.706680029586948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36.706680029586948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95.821226135053067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2278.3569049625385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2278.3569049625385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304.87110504654026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3476.2960941431793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832.01039772037825</v>
      </c>
      <c r="J250" s="76">
        <f t="shared" si="42"/>
        <v>832.01039772037825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27.173937538757826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1084.2401077964371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1084.2401077964371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64.144727533353986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1248.4754285760116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1248.4754285760116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6125.2340177777769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118253.76794721778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118253.76794721778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187305.27967177058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1313010.0104991116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617419.48738326959</v>
      </c>
      <c r="J268" s="76">
        <f t="shared" si="42"/>
        <v>617419.48738326959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14413.761582410933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55637.119708106206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23796.287869725853</v>
      </c>
      <c r="J269" s="76">
        <f t="shared" si="42"/>
        <v>23796.287869725853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21092.637786692238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92807.60626144585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71412.738395699431</v>
      </c>
      <c r="J270" s="76">
        <f t="shared" si="42"/>
        <v>71412.738395699431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116794.36258371505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5795336.2714039413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5795336.2714039413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2422.4763394602992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50266.384043801212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50266.384043801212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10189.160550390856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432742.8134285048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432742.8134285048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15572.696023432285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1265339.6589785875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1265339.6589785875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31529.493103379747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1403377.7380314327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1403377.7380314327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944.68090698540937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8020.3409003061261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8020.3409003061261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8361.1130863002563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249127.25318495967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249127.25318495967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18796.590313821274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268581.86174743966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64281.89531652796</v>
      </c>
      <c r="J278" s="76">
        <f t="shared" si="55"/>
        <v>64281.89531652796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3530.3236426180865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176516.18213090434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176516.18213090434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1357.5643826596311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33111.326406332468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33111.326406332468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32931.746616876299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454128.78584672417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454128.78584672417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173739.65540685106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1217914.9844020258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572702.75118470658</v>
      </c>
      <c r="J282" s="76">
        <f t="shared" si="55"/>
        <v>572702.75118470658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13369.841869022375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51607.589614426368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22072.836717114187</v>
      </c>
      <c r="J283" s="76">
        <f t="shared" si="55"/>
        <v>22072.836717114187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19564.999059840939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86085.995863300137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66240.655801430446</v>
      </c>
      <c r="J284" s="76">
        <f t="shared" si="55"/>
        <v>66240.655801430446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108335.50631523239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5375607.8233618317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5375607.8233618317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2247.0279812006529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46625.830609913552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46625.830609913552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9451.2084550534455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401401.32417308999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401401.32417308999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14444.840239463545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1173697.1681140231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1173697.1681140231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29245.962935659205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1301737.8102661914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1301737.8102661914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876.26219365888448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7439.4660241639303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7439.4660241639303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7755.5577129332478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231084.15948903761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231084.15948903761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17435.243307982681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249129.76393565835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59626.265531670739</v>
      </c>
      <c r="J292" s="76">
        <f t="shared" si="55"/>
        <v>59626.265531670739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3274.6392104801239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163731.96052400619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163731.96052400619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1259.2424967903694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30713.231629033398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30713.231629033398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30546.657943588849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421238.41304209031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421238.41304209031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29232.61590253067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137296.82710941581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64561.378767418202</v>
      </c>
      <c r="J310" s="76">
        <f t="shared" si="55"/>
        <v>64561.378767418202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2249.5466053473715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4949.4524410852864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2116.9067648270575</v>
      </c>
      <c r="J311" s="76">
        <f t="shared" si="55"/>
        <v>2116.9067648270575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3291.9145678652631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7966.4332542339389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6129.9373709603278</v>
      </c>
      <c r="J312" s="76">
        <f t="shared" si="55"/>
        <v>6129.9373709603278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18228.021906128943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705490.06864605215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705490.06864605215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378.0743419966941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4471.6742799658996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4471.6742799658996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1590.2158084425039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38496.600570316121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38496.600570316121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2430.4207666628422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112564.03093456913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112564.03093456913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4920.7879409899033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181790.1451403723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181790.1451403723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147.43574848905234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713.48581766307097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713.48581766307097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1304.9136030642019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22162.245239979937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22162.245239979937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2933.5718986888692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23892.918221347372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5718.4876816263886</v>
      </c>
      <c r="J320" s="76">
        <f t="shared" si="55"/>
        <v>5718.4876816263886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550.97536618894992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15702.79793638507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15702.79793638507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211.87421001046266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2945.56828551131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2945.56828551131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5139.6367552350293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70875.590854691065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70875.590854691065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36853.866298422952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173091.55384380309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81393.209183523446</v>
      </c>
      <c r="J324" s="76">
        <f t="shared" si="55"/>
        <v>81393.209183523446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2836.0270631259582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6239.8267442897341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2668.8066212510789</v>
      </c>
      <c r="J325" s="76">
        <f t="shared" si="55"/>
        <v>2668.8066212510789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4150.1513157238351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10043.366184051682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7728.0765101668867</v>
      </c>
      <c r="J326" s="76">
        <f t="shared" si="55"/>
        <v>7728.0765101668867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22980.258915352326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889418.74895623035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889418.74895623035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476.64229904256274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5637.4867919259104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5637.4867919259104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2004.8017934961854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48533.069195473596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48533.069195473596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3064.0570204922674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141910.65759924098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141910.65759924098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6203.6891075640742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229184.7478074719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229184.7478074719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185.87379865491488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899.49907383072957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899.49907383072957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1645.1183027434163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27940.175647310913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27940.175647310913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3698.3849441175385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30122.053275856873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7209.3575597383697</v>
      </c>
      <c r="J334" s="76">
        <f t="shared" si="55"/>
        <v>7209.3575597383697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694.6204385866929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19796.682499720748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19796.682499720748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267.11204477371473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3713.5089151467655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3713.5089151467655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6479.5941092461198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89353.602766504002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89353.602766504002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2375.5987604442375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19983.536772856925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9396.9009617161555</v>
      </c>
      <c r="J352" s="76">
        <f t="shared" si="60"/>
        <v>9396.9009617161555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64.239987833704873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297.55962364572099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127.26781148681933</v>
      </c>
      <c r="J353" s="76">
        <f t="shared" si="60"/>
        <v>127.26781148681933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259.47534600330442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1370.0298268974475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1054.1978784251492</v>
      </c>
      <c r="J354" s="76">
        <f t="shared" si="60"/>
        <v>1054.1978784251492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762.96623833418812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45430.061695370896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45430.061695370896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14.449754284656063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359.79888168793593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359.79888168793593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24.565904760198027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1252.0032857784734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1252.0032857784734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68.631969490483968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6691.9243326482629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6691.9243326482629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73.172270559585186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3908.2773151285642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3908.2773151285642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15.784762928163095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160.81516471212561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160.81516471212561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112.71086310178345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4029.9918116875911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4029.9918116875911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818.27552117261337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14030.669981925106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3358.0750879111024</v>
      </c>
      <c r="J362" s="76">
        <f t="shared" si="60"/>
        <v>3358.0750879111024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24.7346336830864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1484.0780209851841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1484.0780209851841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52.496130811402679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1536.4721213093469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1536.4721213093469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5939.9481825185194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98294.262524316466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98294.262524316466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2265.7444825046196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19059.44258682886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8962.3621889200313</v>
      </c>
      <c r="J366" s="76">
        <f t="shared" si="60"/>
        <v>8962.3621889200313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61.269352558157827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283.79964104938711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121.38259477066582</v>
      </c>
      <c r="J367" s="76">
        <f t="shared" si="60"/>
        <v>121.38259477066582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247.47648607251574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1306.6758464628831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1005.4488435846796</v>
      </c>
      <c r="J368" s="76">
        <f t="shared" si="60"/>
        <v>1005.4488435846796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727.68456257306946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43329.249593850851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43329.249593850851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13.781557554729771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343.1607831127713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343.1607831127713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23.429909164350718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1194.1071800777345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1194.1071800777345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65.45823679728241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6382.4711843177083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6382.4711843177083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69.788581747581247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3727.5477283018099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3727.5477283018099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15.054831694490812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153.3786253034724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153.3786253034724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107.49880006817496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3843.6338088349862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3843.6338088349862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780.43619071376429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13381.852872934351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3202.7883786435377</v>
      </c>
      <c r="J376" s="76">
        <f t="shared" si="60"/>
        <v>3202.7883786435377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23.590835593695122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1415.4501356217074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1415.4501356217074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50.06856406867886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1465.4213873759668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1465.4213873759668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5665.2684977777781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93748.863101226671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93748.863101226671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370.75818804621053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2089.6079781559647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982.6007999852327</v>
      </c>
      <c r="J394" s="76">
        <f t="shared" si="60"/>
        <v>982.6007999852327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10.025894054971282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26.470766519697374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11.321685657700286</v>
      </c>
      <c r="J395" s="76">
        <f t="shared" si="60"/>
        <v>11.321685657700286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40.49615226641167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117.6008261816595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90.490395922621161</v>
      </c>
      <c r="J396" s="76">
        <f t="shared" si="60"/>
        <v>90.490395922621161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119.07565569377503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5530.3878572515096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5530.3878572515096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2.2551639635012357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32.007542133973033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32.007542133973033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3.8339851359846633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111.37763334179597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111.37763334179597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10.711347839555303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595.31049410090623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595.31049410090623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11.419949740513296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506.26875509844587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506.26875509844587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2.4635179136439516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14.30604268739661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14.30604268739661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17.590712738428632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358.50620798769967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358.50620798769967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127.70774029861599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1248.1619134209677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298.7328069534791</v>
      </c>
      <c r="J404" s="76">
        <f t="shared" si="60"/>
        <v>298.7328069534791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3.860318551695566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132.02289446798835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132.02289446798835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8.1930377566929042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136.68384940434015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136.68384940434015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927.04393600000026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15340.723052928004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15340.723052928004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480.61246598582835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2708.7510827947681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1273.7417777586347</v>
      </c>
      <c r="J408" s="76">
        <f t="shared" si="64"/>
        <v>1273.7417777586347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12.996529330518326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34.3139565996077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14.676259185907776</v>
      </c>
      <c r="J409" s="76">
        <f t="shared" si="64"/>
        <v>14.676259185907776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52.49501219720031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152.44551542066969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117.30236508487928</v>
      </c>
      <c r="J410" s="76">
        <f t="shared" si="64"/>
        <v>117.30236508487928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154.35733145489354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7169.0212964371403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7169.0212964371403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2.9233606934275271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41.491258321816893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41.491258321816893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4.9699807318319706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144.378413591217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144.378413591217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13.885080532756874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771.69878864932286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771.69878864932286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14.803638552517233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656.27431216465186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656.27431216465186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3.1934491473162328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18.544870150328936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18.544870150328936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22.802775772037112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464.73026961368464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464.73026961368464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165.54707075746515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1617.9876655456985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387.24623123599127</v>
      </c>
      <c r="J418" s="76">
        <f t="shared" si="64"/>
        <v>387.24623123599127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5.0041166410868438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171.14078912517004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171.14078912517004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10.620604499416729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177.18276774636689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177.18276774636689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1201.7236207407409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19886.122476017783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19886.122476017783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1427.1048367650103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14005.606868011808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6585.8862794597881</v>
      </c>
      <c r="J436" s="76">
        <f t="shared" si="64"/>
        <v>6585.8862794597881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25.920929852399002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140.0767049223642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59.911541281486713</v>
      </c>
      <c r="J437" s="76">
        <f t="shared" si="64"/>
        <v>59.911541281486713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126.61767705687262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779.96489067033542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600.16016939777091</v>
      </c>
      <c r="J438" s="76">
        <f t="shared" si="64"/>
        <v>600.16016939777091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930.46087280069128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64637.255911718414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64637.255911718414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4.3793061312021848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127.21884311142347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127.21884311142347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24.96152253063563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1484.1936396549052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1484.1936396549052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28.745329849000054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3269.931432494609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3269.931432494609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29.525119108453932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1839.8282721241985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1839.8282721241985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10.713941541908843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127.34590916712851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127.34590916712851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76.502738996228061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3191.2598050943857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3191.2598050943857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715.92621229665679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14321.677946210086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3427.7244059057543</v>
      </c>
      <c r="J446" s="76">
        <f t="shared" si="64"/>
        <v>3427.7244059057543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16.788685427026323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1175.2079798918426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1175.2079798918426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51.212529273544646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1748.7205117795734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1748.7205117795734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4598.2558835555546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88773.928087923545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88773.928087923545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1361.1115495157612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13357.948746947681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6281.3366249182955</v>
      </c>
      <c r="J450" s="76">
        <f t="shared" si="64"/>
        <v>6281.3366249182955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24.722274136681126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133.59916943462483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57.141065384076924</v>
      </c>
      <c r="J451" s="76">
        <f t="shared" si="64"/>
        <v>57.141065384076924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120.76252436060103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743.89715006130234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572.40709798053285</v>
      </c>
      <c r="J452" s="76">
        <f t="shared" si="64"/>
        <v>572.40709798053285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887.43378041684423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61648.249857997325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61648.249857997325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4.1767948650194251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121.33589082881429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121.33589082881429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23.807232471415485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1415.5604077633488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1415.5604077633488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27.416066040953808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3118.7207304139333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3118.7207304139333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28.159795681473401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1754.7495080953338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1754.7495080953338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10.218499158467973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121.45708099755032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121.45708099755032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72.965040083107695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3043.6870973443565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3043.6870973443565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682.81979785519286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13659.40382152985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3269.2169189274537</v>
      </c>
      <c r="J460" s="76">
        <f t="shared" si="64"/>
        <v>3269.2169189274537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16.012330031556893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1120.8631022089824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1120.8631022089824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48.844319827369169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1667.8548233735817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1667.8548233735817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4385.6197733333329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84668.775343973335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84668.775343973335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222.72734446621553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1464.516926256264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688.66290633195149</v>
      </c>
      <c r="J478" s="76">
        <f t="shared" si="68"/>
        <v>688.66290633195149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4.0454630405478218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12.461158894538645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5.3297030076420846</v>
      </c>
      <c r="J479" s="76">
        <f t="shared" si="68"/>
        <v>5.3297030076420846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19.761140349916538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66.950743505517238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51.516638818247969</v>
      </c>
      <c r="J480" s="76">
        <f t="shared" si="68"/>
        <v>51.516638818247969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145.21643679548362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7868.5584364207507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7868.5584364207507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0.68347552336681505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11.317329453669405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11.317329453669405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3.8957289498679888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132.03317985138142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132.03317985138142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4.486265352156078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290.89158812769955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290.89158812769955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4.6079665660592841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238.32688773585716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238.32688773585716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1.6721180441129408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11.328633191226057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11.328633191226057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11.939733831781261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283.89299653411911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283.89299653411911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111.73414873994066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1274.0498473536027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304.92877807450617</v>
      </c>
      <c r="J488" s="76">
        <f t="shared" ref="J488:J505" si="70">IF(I488&lt;&gt;0,I488,H488)</f>
        <v>304.92877807450617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2.6201994597093101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104.54595844240148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104.54595844240148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7.9927068808422277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155.5653680710268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155.5653680710268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717.64687200000003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13854.890510832001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13854.890510832001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288.72063171546455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1898.4478673692311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892.71117487475169</v>
      </c>
      <c r="J492" s="76">
        <f t="shared" si="70"/>
        <v>892.71117487475169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5.2441187562656939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16.153354122550095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6.9088742691656639</v>
      </c>
      <c r="J493" s="76">
        <f t="shared" si="70"/>
        <v>6.9088742691656639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25.616293046188098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86.788000840485282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66.780828097728843</v>
      </c>
      <c r="J494" s="76">
        <f t="shared" si="70"/>
        <v>66.780828097728843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188.24352917933061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10199.983158323193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10199.983158323193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0.88598678954957488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14.670612254756634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14.670612254756634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5.0500190090881336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171.15412202956853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171.15412202956853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5.8155291602023231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377.08168831368459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377.08168831368459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5.9732899930398125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308.94226187981485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308.94226187981485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2.1675604275538123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14.685265247885631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14.685265247885631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15.47743274490163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368.00943995163584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368.00943995163584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144.84056318140455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1651.5460984213366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395.27804565213751</v>
      </c>
      <c r="J502" s="76">
        <f t="shared" si="70"/>
        <v>395.27804565213751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3.3965548551787355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135.52253872163155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135.52253872163155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10.3609163270177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201.65881046244206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201.65881046244206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930.28298222222213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17960.043254782224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17960.043254782224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2021-10-28T12:50:29Z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355312585830688</vt:r8>
  </property>
</Properties>
</file>