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095A5F60-9487-447B-903A-B5E684DC74EA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043" r:id="rId37"/>
    <pivotCache cacheId="2047" r:id="rId38"/>
    <pivotCache cacheId="2052" r:id="rId39"/>
    <pivotCache cacheId="2057" r:id="rId40"/>
    <pivotCache cacheId="2063" r:id="rId41"/>
    <pivotCache cacheId="2068" r:id="rId42"/>
    <pivotCache cacheId="2073" r:id="rId43"/>
    <pivotCache cacheId="2078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9" l="1"/>
  <c r="E14" i="34"/>
  <c r="D14" i="34"/>
  <c r="K26" i="9"/>
  <c r="L26" i="9"/>
  <c r="K28" i="9"/>
  <c r="K30" i="9" s="1"/>
  <c r="L28" i="9"/>
  <c r="L30" i="9"/>
  <c r="K36" i="9"/>
  <c r="L36" i="9"/>
  <c r="K38" i="9"/>
  <c r="L38" i="9"/>
  <c r="K40" i="9"/>
  <c r="L40" i="9"/>
  <c r="C34" i="17" l="1"/>
  <c r="E34" i="17" s="1"/>
  <c r="C35" i="17"/>
  <c r="C36" i="17"/>
  <c r="C37" i="17"/>
  <c r="E37" i="17" s="1"/>
  <c r="C38" i="17"/>
  <c r="E38" i="17" s="1"/>
  <c r="C39" i="17"/>
  <c r="C40" i="17"/>
  <c r="E40" i="17" s="1"/>
  <c r="C41" i="17"/>
  <c r="E41" i="17" s="1"/>
  <c r="C42" i="17"/>
  <c r="E42" i="17" s="1"/>
  <c r="C43" i="17"/>
  <c r="D43" i="17" s="1"/>
  <c r="E43" i="17" s="1"/>
  <c r="C44" i="17"/>
  <c r="E44" i="17" s="1"/>
  <c r="C45" i="17"/>
  <c r="E45" i="17" s="1"/>
  <c r="C46" i="17"/>
  <c r="E46" i="17" s="1"/>
  <c r="C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33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5" i="17" l="1"/>
  <c r="E33" i="17"/>
  <c r="D47" i="17"/>
  <c r="E47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M23" i="9" s="1"/>
  <c r="C23" i="17"/>
  <c r="C24" i="17"/>
  <c r="D24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2" i="17"/>
  <c r="D52" i="17" s="1"/>
  <c r="E52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1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J34" i="9" l="1"/>
  <c r="J24" i="9"/>
  <c r="M34" i="9"/>
  <c r="M24" i="9"/>
  <c r="L34" i="9"/>
  <c r="L24" i="9"/>
  <c r="K34" i="9"/>
  <c r="K24" i="9"/>
  <c r="J23" i="9"/>
  <c r="J33" i="9"/>
  <c r="K23" i="9"/>
  <c r="K33" i="9"/>
  <c r="L23" i="9"/>
  <c r="L33" i="9"/>
  <c r="E24" i="17"/>
  <c r="C24" i="20"/>
  <c r="P2" i="18" s="1"/>
  <c r="F3" i="35"/>
  <c r="F87" i="35"/>
  <c r="R54" i="66"/>
  <c r="C32" i="17"/>
  <c r="C3" i="32"/>
  <c r="C10" i="17"/>
  <c r="D269" i="38"/>
  <c r="E32" i="17"/>
  <c r="E3" i="32"/>
  <c r="D23" i="17"/>
  <c r="D68" i="38"/>
  <c r="D32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5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4" i="17"/>
  <c r="B26" i="17"/>
  <c r="B23" i="17"/>
  <c r="B27" i="17"/>
  <c r="B28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1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1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E17" i="34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39" i="66"/>
  <c r="B7" i="22"/>
  <c r="B15" i="22"/>
  <c r="B25" i="22"/>
  <c r="B35" i="22"/>
  <c r="B90" i="22"/>
  <c r="I27" i="9"/>
  <c r="J27" i="9" s="1"/>
  <c r="I37" i="9"/>
  <c r="J37" i="9" s="1"/>
  <c r="M37" i="9" s="1" a="1"/>
  <c r="M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2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J39" i="9" s="1"/>
  <c r="M39" i="9" s="1" a="1"/>
  <c r="M39" i="9" s="1"/>
  <c r="B71" i="22"/>
  <c r="I29" i="9"/>
  <c r="J29" i="9" s="1"/>
  <c r="M29" i="9" s="1" a="1"/>
  <c r="M29" i="9" s="1"/>
  <c r="G54" i="39"/>
  <c r="P27" i="39"/>
  <c r="Q27" i="39" s="1"/>
  <c r="O54" i="39"/>
  <c r="P20" i="39"/>
  <c r="Q20" i="39" s="1"/>
  <c r="O47" i="39"/>
  <c r="I35" i="9"/>
  <c r="J35" i="9" s="1"/>
  <c r="B85" i="22"/>
  <c r="B26" i="22"/>
  <c r="B67" i="22"/>
  <c r="B47" i="22"/>
  <c r="O43" i="39"/>
  <c r="G43" i="39"/>
  <c r="B72" i="22"/>
  <c r="B37" i="22"/>
  <c r="B82" i="22"/>
  <c r="I28" i="9"/>
  <c r="J28" i="9" s="1"/>
  <c r="M28" i="9" s="1" a="1"/>
  <c r="M28" i="9" s="1"/>
  <c r="B80" i="22"/>
  <c r="B45" i="22"/>
  <c r="B55" i="22"/>
  <c r="B5" i="22"/>
  <c r="B30" i="22"/>
  <c r="I38" i="9"/>
  <c r="J38" i="9" s="1"/>
  <c r="M38" i="9" s="1" a="1"/>
  <c r="M38" i="9" s="1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J26" i="9" s="1"/>
  <c r="M26" i="9" s="1" a="1"/>
  <c r="M26" i="9" s="1"/>
  <c r="I36" i="9"/>
  <c r="J36" i="9" s="1"/>
  <c r="M36" i="9" s="1" a="1"/>
  <c r="M36" i="9" s="1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2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O23" i="9"/>
  <c r="D156" i="35"/>
  <c r="D144" i="35"/>
  <c r="D67" i="35"/>
  <c r="D20" i="35"/>
  <c r="C20" i="26"/>
  <c r="C22" i="17"/>
  <c r="C6" i="17" l="1"/>
  <c r="D6" i="17" s="1"/>
  <c r="E6" i="17" s="1"/>
  <c r="X3" i="20"/>
  <c r="M35" i="9" a="1"/>
  <c r="M35" i="9" s="1"/>
  <c r="M40" i="9" s="1"/>
  <c r="J40" i="9"/>
  <c r="M27" i="9" a="1"/>
  <c r="M27" i="9" s="1"/>
  <c r="J7" i="9"/>
  <c r="M25" i="9" a="1"/>
  <c r="M25" i="9" s="1"/>
  <c r="J30" i="9"/>
  <c r="E23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2" i="26"/>
  <c r="H217" i="35" s="1"/>
  <c r="A10" i="53"/>
  <c r="A16" i="53" s="1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37"/>
  <c r="I10" i="58"/>
  <c r="J10" i="37"/>
  <c r="H10" i="37"/>
  <c r="C267" i="38"/>
  <c r="J10" i="58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A12" i="53"/>
  <c r="C274" i="38"/>
  <c r="U51" i="66"/>
  <c r="C271" i="38"/>
  <c r="A15" i="53"/>
  <c r="E2" i="22"/>
  <c r="C315" i="38"/>
  <c r="C254" i="38"/>
  <c r="C287" i="38"/>
  <c r="A8" i="53"/>
  <c r="J5" i="9"/>
  <c r="M30" i="9" l="1"/>
  <c r="D24" i="20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E4" i="34"/>
  <c r="E5" i="34"/>
  <c r="E6" i="34"/>
  <c r="E7" i="34"/>
  <c r="E8" i="34"/>
  <c r="E9" i="34"/>
  <c r="E10" i="34"/>
  <c r="E11" i="34"/>
  <c r="E12" i="34"/>
  <c r="E13" i="34"/>
  <c r="E16" i="34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81" i="35" l="1"/>
  <c r="H181" i="35"/>
  <c r="I179" i="35"/>
  <c r="H179" i="35"/>
  <c r="I180" i="35"/>
  <c r="J109" i="58" s="1"/>
  <c r="I182" i="35"/>
  <c r="J112" i="58" s="1"/>
  <c r="H182" i="35"/>
  <c r="H180" i="35"/>
  <c r="I110" i="58" s="1"/>
  <c r="I178" i="35"/>
  <c r="H178" i="35"/>
  <c r="H176" i="35"/>
  <c r="I94" i="58" s="1"/>
  <c r="I176" i="35"/>
  <c r="J93" i="58" s="1"/>
  <c r="H171" i="35"/>
  <c r="I78" i="37" s="1"/>
  <c r="I173" i="35"/>
  <c r="J81" i="37" s="1"/>
  <c r="H173" i="35"/>
  <c r="I171" i="35"/>
  <c r="J79" i="37" s="1"/>
  <c r="I175" i="35"/>
  <c r="H175" i="35"/>
  <c r="I177" i="35"/>
  <c r="H177" i="35"/>
  <c r="I99" i="37" s="1"/>
  <c r="I172" i="35"/>
  <c r="J78" i="58" s="1"/>
  <c r="H172" i="35"/>
  <c r="I80" i="58" s="1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H118" i="58"/>
  <c r="H118" i="37"/>
  <c r="H93" i="37"/>
  <c r="H93" i="58"/>
  <c r="I116" i="37"/>
  <c r="I116" i="58"/>
  <c r="I99" i="58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37"/>
  <c r="H117" i="58"/>
  <c r="H117" i="37"/>
  <c r="H85" i="37"/>
  <c r="H85" i="58"/>
  <c r="I115" i="37"/>
  <c r="I115" i="58"/>
  <c r="I85" i="37"/>
  <c r="I94" i="37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37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H113" i="37"/>
  <c r="H113" i="58"/>
  <c r="H81" i="58"/>
  <c r="H81" i="37"/>
  <c r="I113" i="37"/>
  <c r="I113" i="58"/>
  <c r="H83" i="58"/>
  <c r="H83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37"/>
  <c r="J97" i="37"/>
  <c r="J97" i="58"/>
  <c r="H101" i="58"/>
  <c r="H101" i="37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37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H97" i="37"/>
  <c r="H97" i="58"/>
  <c r="I117" i="37"/>
  <c r="I117" i="58"/>
  <c r="J108" i="37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08" i="58" l="1"/>
  <c r="J111" i="58"/>
  <c r="J111" i="41" s="1"/>
  <c r="J80" i="58"/>
  <c r="J79" i="58"/>
  <c r="J80" i="37"/>
  <c r="I80" i="37"/>
  <c r="I80" i="41" s="1"/>
  <c r="J85" i="37"/>
  <c r="J118" i="58"/>
  <c r="J118" i="41" s="1"/>
  <c r="J117" i="58"/>
  <c r="J117" i="41" s="1"/>
  <c r="I78" i="58"/>
  <c r="I78" i="41" s="1"/>
  <c r="J83" i="37"/>
  <c r="J85" i="58"/>
  <c r="J78" i="37"/>
  <c r="J78" i="41" s="1"/>
  <c r="J113" i="58"/>
  <c r="J113" i="41" s="1"/>
  <c r="J114" i="58"/>
  <c r="J114" i="41" s="1"/>
  <c r="J86" i="37"/>
  <c r="J86" i="41" s="1"/>
  <c r="I85" i="58"/>
  <c r="I85" i="41" s="1"/>
  <c r="I93" i="58"/>
  <c r="I93" i="41" s="1"/>
  <c r="J81" i="58"/>
  <c r="J81" i="41" s="1"/>
  <c r="J83" i="58"/>
  <c r="R189" i="38"/>
  <c r="T63" i="66"/>
  <c r="T240" i="66"/>
  <c r="I102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H117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85" i="41" l="1"/>
  <c r="J83" i="41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5" i="9" a="1"/>
  <c r="P35" i="9" s="1"/>
  <c r="E66" i="22"/>
  <c r="P39" i="9" a="1"/>
  <c r="P39" i="9" s="1"/>
  <c r="E81" i="22" s="1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H3" i="41" l="1"/>
  <c r="B6" i="39" s="1"/>
  <c r="C15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87" i="22"/>
  <c r="E53" i="22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M38" i="20"/>
  <c r="M43" i="20"/>
  <c r="D44" i="20"/>
  <c r="N36" i="9" a="1"/>
  <c r="N36" i="9" s="1"/>
  <c r="M9" i="9"/>
  <c r="E21" i="22"/>
  <c r="E37" i="22"/>
  <c r="Q5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Q38" i="9" a="1"/>
  <c r="Q38" i="9" s="1"/>
  <c r="E85" i="22" s="1"/>
  <c r="N38" i="9" a="1"/>
  <c r="N38" i="9" s="1"/>
  <c r="E70" i="22" s="1"/>
  <c r="E29" i="22"/>
  <c r="O7" i="9"/>
  <c r="R7" i="9"/>
  <c r="D23" i="26"/>
  <c r="D31" i="26"/>
  <c r="D35" i="26"/>
  <c r="D39" i="26"/>
  <c r="D38" i="26"/>
  <c r="D30" i="26"/>
  <c r="D34" i="26"/>
  <c r="E19" i="22"/>
  <c r="D26" i="26"/>
  <c r="M7" i="9"/>
  <c r="D22" i="26"/>
  <c r="D27" i="26"/>
  <c r="G39" i="26"/>
  <c r="G27" i="26"/>
  <c r="G31" i="26"/>
  <c r="G30" i="26"/>
  <c r="G26" i="26"/>
  <c r="G22" i="26"/>
  <c r="G23" i="26"/>
  <c r="E64" i="22"/>
  <c r="G34" i="26"/>
  <c r="G35" i="26"/>
  <c r="G38" i="26"/>
  <c r="E58" i="22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R40" i="9"/>
  <c r="O40" i="9"/>
  <c r="O30" i="9"/>
  <c r="E39" i="22"/>
  <c r="P9" i="9"/>
  <c r="K42" i="39"/>
  <c r="E140" i="38" s="1"/>
  <c r="C42" i="39"/>
  <c r="E89" i="38" s="1"/>
  <c r="P15" i="39"/>
  <c r="O15" i="39"/>
  <c r="AA3" i="39"/>
  <c r="Q7" i="9"/>
  <c r="R30" i="9"/>
  <c r="N30" i="9"/>
  <c r="K10" i="9"/>
  <c r="H24" i="26"/>
  <c r="I209" i="35" s="1"/>
  <c r="H207" i="35"/>
  <c r="F49" i="26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H28" i="26"/>
  <c r="I213" i="35" s="1"/>
  <c r="H211" i="35"/>
  <c r="F50" i="26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C18" i="20"/>
  <c r="L8" i="20"/>
  <c r="L18" i="20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L38" i="20"/>
  <c r="L46" i="20"/>
  <c r="C46" i="20"/>
  <c r="C36" i="20"/>
  <c r="L41" i="20"/>
  <c r="L34" i="20"/>
  <c r="C34" i="20"/>
  <c r="C43" i="20"/>
  <c r="L45" i="20"/>
  <c r="L33" i="20"/>
  <c r="C38" i="20"/>
  <c r="C33" i="20"/>
  <c r="L39" i="20"/>
  <c r="L36" i="20"/>
  <c r="C45" i="20"/>
  <c r="L43" i="20"/>
  <c r="L37" i="20"/>
  <c r="C41" i="20"/>
  <c r="C39" i="20"/>
  <c r="E48" i="22"/>
  <c r="L42" i="20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E65" i="22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J8" i="9"/>
  <c r="P28" i="9" a="1"/>
  <c r="P28" i="9" s="1"/>
  <c r="E5" i="22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E27" i="17"/>
  <c r="E25" i="17"/>
  <c r="D27" i="17"/>
  <c r="D25" i="17"/>
  <c r="E28" i="17"/>
  <c r="E26" i="17"/>
  <c r="D28" i="17"/>
  <c r="D26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E29" i="17" l="1"/>
  <c r="D29" i="17"/>
  <c r="D49" i="17"/>
  <c r="D48" i="17" a="1"/>
  <c r="D48" i="17" s="1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8" i="20" l="1"/>
  <c r="F11" i="20"/>
  <c r="O11" i="20"/>
  <c r="O10" i="20"/>
  <c r="F10" i="20"/>
  <c r="O9" i="20"/>
  <c r="Q44" i="66"/>
  <c r="F12" i="20" l="1"/>
  <c r="O12" i="20"/>
  <c r="O13" i="20"/>
  <c r="F13" i="20"/>
  <c r="O15" i="20" l="1"/>
  <c r="F15" i="20"/>
  <c r="O14" i="20"/>
  <c r="F14" i="20"/>
  <c r="O16" i="20" l="1"/>
  <c r="F16" i="20"/>
  <c r="O17" i="20"/>
  <c r="F17" i="20"/>
  <c r="G314" i="18" a="1"/>
  <c r="G314" i="18" s="1"/>
  <c r="G272" i="18" a="1"/>
  <c r="G272" i="18" s="1"/>
  <c r="H137" i="35" a="1"/>
  <c r="H137" i="35" s="1"/>
  <c r="H94" i="35" a="1"/>
  <c r="H94" i="35" s="1"/>
  <c r="G319" i="18" a="1"/>
  <c r="G319" i="18" s="1"/>
  <c r="G313" i="18" a="1"/>
  <c r="G313" i="18" s="1"/>
  <c r="G268" i="18" a="1"/>
  <c r="G268" i="18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H92" i="35" a="1"/>
  <c r="H92" i="35" s="1"/>
  <c r="H95" i="35" a="1"/>
  <c r="H95" i="35" s="1"/>
  <c r="O19" i="20" l="1"/>
  <c r="F19" i="20"/>
  <c r="F18" i="20"/>
  <c r="O18" i="20"/>
  <c r="H129" i="35" a="1"/>
  <c r="H129" i="35" s="1"/>
  <c r="G274" i="18" a="1"/>
  <c r="G274" i="18" s="1"/>
  <c r="I274" i="18" s="1"/>
  <c r="H141" i="35" a="1"/>
  <c r="H141" i="35" s="1"/>
  <c r="F47" i="20"/>
  <c r="G277" i="18" a="1"/>
  <c r="G277" i="18" s="1"/>
  <c r="H277" i="18" s="1"/>
  <c r="G271" i="18" a="1"/>
  <c r="G271" i="18" s="1"/>
  <c r="H271" i="18" s="1"/>
  <c r="H133" i="35" a="1"/>
  <c r="H133" i="35" s="1"/>
  <c r="G323" i="18" a="1"/>
  <c r="G323" i="18" s="1"/>
  <c r="I323" i="18" s="1"/>
  <c r="H100" i="35" a="1"/>
  <c r="H100" i="35" s="1"/>
  <c r="O47" i="20"/>
  <c r="H96" i="35" a="1"/>
  <c r="H96" i="35" s="1"/>
  <c r="G280" i="18" a="1"/>
  <c r="G280" i="18" s="1"/>
  <c r="I280" i="18" s="1"/>
  <c r="G275" i="18" a="1"/>
  <c r="G275" i="18" s="1"/>
  <c r="H275" i="18" s="1"/>
  <c r="G279" i="18" a="1"/>
  <c r="G279" i="18" s="1"/>
  <c r="I279" i="18" s="1"/>
  <c r="I314" i="18"/>
  <c r="H314" i="18"/>
  <c r="H272" i="18"/>
  <c r="I272" i="18"/>
  <c r="H268" i="18"/>
  <c r="I268" i="18"/>
  <c r="H140" i="35" a="1"/>
  <c r="H140" i="35" s="1"/>
  <c r="I270" i="18"/>
  <c r="H270" i="18"/>
  <c r="I278" i="18"/>
  <c r="H278" i="18"/>
  <c r="I269" i="18"/>
  <c r="H269" i="18"/>
  <c r="H310" i="18"/>
  <c r="I310" i="18"/>
  <c r="H132" i="35" a="1"/>
  <c r="H132" i="35" s="1"/>
  <c r="I321" i="18"/>
  <c r="H321" i="18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H90" i="35" a="1"/>
  <c r="H90" i="35" s="1"/>
  <c r="H315" i="18"/>
  <c r="I315" i="18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G64" i="18" l="1" a="1"/>
  <c r="G64" i="18" s="1"/>
  <c r="I64" i="18" s="1"/>
  <c r="H49" i="35" a="1"/>
  <c r="H49" i="35" s="1"/>
  <c r="G16" i="18" a="1"/>
  <c r="G16" i="18" s="1"/>
  <c r="I16" i="18" s="1"/>
  <c r="G63" i="18" a="1"/>
  <c r="G63" i="18" s="1"/>
  <c r="I63" i="18" s="1"/>
  <c r="G69" i="18" a="1"/>
  <c r="G69" i="18" s="1"/>
  <c r="H69" i="18" s="1"/>
  <c r="H51" i="35" a="1"/>
  <c r="H51" i="35" s="1"/>
  <c r="H55" i="35" a="1"/>
  <c r="H55" i="35" s="1"/>
  <c r="G61" i="18" a="1"/>
  <c r="G61" i="18" s="1"/>
  <c r="H61" i="18" s="1"/>
  <c r="G62" i="18" a="1"/>
  <c r="G62" i="18" s="1"/>
  <c r="H62" i="18" s="1"/>
  <c r="O20" i="20"/>
  <c r="G70" i="18" a="1"/>
  <c r="G70" i="18" s="1"/>
  <c r="I70" i="18" s="1"/>
  <c r="H57" i="35" a="1"/>
  <c r="H57" i="35" s="1"/>
  <c r="G68" i="18" a="1"/>
  <c r="G68" i="18" s="1"/>
  <c r="I68" i="18" s="1"/>
  <c r="H15" i="35" a="1"/>
  <c r="H15" i="35" s="1"/>
  <c r="H6" i="35" a="1"/>
  <c r="H6" i="35" s="1"/>
  <c r="H48" i="35" a="1"/>
  <c r="H48" i="35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29" i="18" a="1"/>
  <c r="G29" i="18" s="1"/>
  <c r="H280" i="18"/>
  <c r="J280" i="18" s="1"/>
  <c r="H323" i="18"/>
  <c r="J323" i="18" s="1"/>
  <c r="I28" i="18"/>
  <c r="F28" i="18" s="1"/>
  <c r="H279" i="18"/>
  <c r="J279" i="18" s="1"/>
  <c r="I275" i="18"/>
  <c r="J275" i="18" s="1"/>
  <c r="I322" i="18"/>
  <c r="H322" i="18"/>
  <c r="H318" i="18"/>
  <c r="I318" i="18"/>
  <c r="J317" i="18"/>
  <c r="F317" i="18"/>
  <c r="H311" i="18"/>
  <c r="I311" i="18"/>
  <c r="F323" i="18"/>
  <c r="F280" i="18"/>
  <c r="F279" i="18"/>
  <c r="H320" i="18"/>
  <c r="I320" i="18"/>
  <c r="I312" i="18"/>
  <c r="H312" i="18"/>
  <c r="F274" i="18"/>
  <c r="I316" i="18"/>
  <c r="H316" i="18"/>
  <c r="J315" i="18"/>
  <c r="F315" i="18"/>
  <c r="J270" i="18"/>
  <c r="F270" i="18"/>
  <c r="J319" i="18"/>
  <c r="F319" i="18"/>
  <c r="F313" i="18"/>
  <c r="J313" i="18"/>
  <c r="F269" i="18"/>
  <c r="J269" i="18"/>
  <c r="J321" i="18"/>
  <c r="F321" i="18"/>
  <c r="F310" i="18"/>
  <c r="J310" i="18"/>
  <c r="F272" i="18"/>
  <c r="J272" i="18"/>
  <c r="J278" i="18"/>
  <c r="F278" i="18"/>
  <c r="J276" i="18"/>
  <c r="F276" i="18"/>
  <c r="F273" i="18"/>
  <c r="J273" i="18"/>
  <c r="F268" i="18"/>
  <c r="J268" i="18"/>
  <c r="H281" i="18"/>
  <c r="I281" i="18"/>
  <c r="J314" i="18"/>
  <c r="F314" i="18"/>
  <c r="H68" i="18" l="1"/>
  <c r="H64" i="18"/>
  <c r="J64" i="18" s="1"/>
  <c r="H63" i="18"/>
  <c r="J63" i="18" s="1"/>
  <c r="H16" i="18"/>
  <c r="H70" i="18"/>
  <c r="J70" i="18" s="1"/>
  <c r="I69" i="18"/>
  <c r="F69" i="18" s="1"/>
  <c r="I61" i="18"/>
  <c r="F61" i="18" s="1"/>
  <c r="I59" i="18"/>
  <c r="J59" i="18" s="1"/>
  <c r="I62" i="18"/>
  <c r="F62" i="18" s="1"/>
  <c r="I25" i="18"/>
  <c r="J25" i="18" s="1"/>
  <c r="I71" i="18"/>
  <c r="J71" i="18" s="1"/>
  <c r="I60" i="18"/>
  <c r="F60" i="18" s="1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H22" i="18"/>
  <c r="I22" i="18"/>
  <c r="I19" i="18"/>
  <c r="H19" i="18"/>
  <c r="H23" i="18"/>
  <c r="I23" i="18"/>
  <c r="I21" i="18"/>
  <c r="H21" i="18"/>
  <c r="I20" i="18"/>
  <c r="H20" i="18"/>
  <c r="H29" i="18"/>
  <c r="I29" i="18"/>
  <c r="I26" i="18"/>
  <c r="H26" i="18"/>
  <c r="J28" i="18"/>
  <c r="F275" i="18"/>
  <c r="F64" i="18"/>
  <c r="F316" i="18"/>
  <c r="J316" i="18"/>
  <c r="F68" i="18"/>
  <c r="J68" i="18"/>
  <c r="J311" i="18"/>
  <c r="F311" i="18"/>
  <c r="F63" i="18"/>
  <c r="J16" i="18"/>
  <c r="F16" i="18"/>
  <c r="F281" i="18"/>
  <c r="J281" i="18"/>
  <c r="F312" i="18"/>
  <c r="J312" i="18"/>
  <c r="J320" i="18"/>
  <c r="F320" i="18"/>
  <c r="F318" i="18"/>
  <c r="J318" i="18"/>
  <c r="F70" i="18"/>
  <c r="F322" i="18"/>
  <c r="J322" i="18"/>
  <c r="J61" i="18" l="1"/>
  <c r="J69" i="18"/>
  <c r="F59" i="18"/>
  <c r="J27" i="18"/>
  <c r="J62" i="18"/>
  <c r="F25" i="18"/>
  <c r="F71" i="18"/>
  <c r="J60" i="18"/>
  <c r="F18" i="18"/>
  <c r="F17" i="18"/>
  <c r="F58" i="18"/>
  <c r="J24" i="18"/>
  <c r="F23" i="18"/>
  <c r="J23" i="18"/>
  <c r="J29" i="18"/>
  <c r="F29" i="18"/>
  <c r="J19" i="18"/>
  <c r="F19" i="18"/>
  <c r="F20" i="18"/>
  <c r="J20" i="18"/>
  <c r="F22" i="18"/>
  <c r="J22" i="18"/>
  <c r="F26" i="18"/>
  <c r="J26" i="18"/>
  <c r="F21" i="18"/>
  <c r="J21" i="18"/>
  <c r="G9" i="66"/>
  <c r="N9" i="66" s="1"/>
  <c r="G11" i="66"/>
  <c r="N11" i="66" s="1"/>
  <c r="G27" i="66"/>
  <c r="N27" i="66" s="1"/>
  <c r="G22" i="66"/>
  <c r="G5" i="66"/>
  <c r="G45" i="66"/>
  <c r="N45" i="66" s="1"/>
  <c r="G93" i="66" l="1"/>
  <c r="G59" i="66"/>
  <c r="G57" i="66"/>
  <c r="G53" i="66"/>
  <c r="G75" i="66"/>
  <c r="M65" i="66" l="1"/>
  <c r="M209" i="66"/>
  <c r="M169" i="66"/>
  <c r="M25" i="66"/>
  <c r="G70" i="66"/>
  <c r="M216" i="66" l="1"/>
  <c r="M72" i="66"/>
  <c r="M87" i="66"/>
  <c r="M231" i="66"/>
  <c r="M91" i="66"/>
  <c r="M235" i="66"/>
  <c r="M196" i="66"/>
  <c r="M52" i="66"/>
  <c r="M79" i="66"/>
  <c r="M223" i="66"/>
  <c r="M213" i="66"/>
  <c r="M69" i="66"/>
  <c r="M217" i="66"/>
  <c r="M73" i="66"/>
  <c r="M202" i="66"/>
  <c r="M58" i="66"/>
  <c r="M239" i="66"/>
  <c r="M95" i="66"/>
  <c r="M77" i="66"/>
  <c r="M221" i="66"/>
  <c r="M76" i="66"/>
  <c r="M220" i="66"/>
  <c r="M233" i="66"/>
  <c r="M89" i="66"/>
  <c r="G262" i="66"/>
  <c r="G118" i="66"/>
  <c r="J6" i="58" l="1"/>
  <c r="J6" i="37"/>
  <c r="H6" i="58"/>
  <c r="H6" i="37"/>
  <c r="I6" i="58"/>
  <c r="I6" i="37"/>
  <c r="I6" i="41" l="1"/>
  <c r="D46" i="39" s="1"/>
  <c r="E108" i="38" s="1"/>
  <c r="F70" i="66"/>
  <c r="F214" i="66"/>
  <c r="H6" i="41"/>
  <c r="F262" i="66"/>
  <c r="J6" i="41"/>
  <c r="E46" i="39" s="1"/>
  <c r="E125" i="38" s="1"/>
  <c r="F118" i="66"/>
  <c r="L46" i="39" l="1"/>
  <c r="E159" i="38" s="1"/>
  <c r="J214" i="66" s="1"/>
  <c r="M46" i="39"/>
  <c r="E176" i="38" s="1"/>
  <c r="J262" i="66" s="1"/>
  <c r="G19" i="39" s="1"/>
  <c r="J118" i="66"/>
  <c r="N118" i="66" s="1"/>
  <c r="J70" i="66"/>
  <c r="N70" i="66" s="1"/>
  <c r="P214" i="66" l="1"/>
  <c r="S214" i="66"/>
  <c r="P262" i="66"/>
  <c r="S262" i="66"/>
  <c r="J5" i="58"/>
  <c r="J5" i="37"/>
  <c r="H5" i="37"/>
  <c r="H5" i="58"/>
  <c r="N262" i="66"/>
  <c r="O262" i="66" s="1"/>
  <c r="I5" i="37"/>
  <c r="I5" i="58"/>
  <c r="P70" i="66"/>
  <c r="S70" i="66"/>
  <c r="S118" i="66"/>
  <c r="P118" i="66"/>
  <c r="Q262" i="66" l="1"/>
  <c r="R262" i="66" s="1"/>
  <c r="T262" i="66" s="1"/>
  <c r="Y262" i="66"/>
  <c r="Z118" i="66"/>
  <c r="J5" i="41"/>
  <c r="M52" i="39" s="1"/>
  <c r="E184" i="38" s="1"/>
  <c r="F116" i="66"/>
  <c r="E30" i="53"/>
  <c r="O118" i="66"/>
  <c r="E36" i="53"/>
  <c r="F260" i="66"/>
  <c r="Z262" i="66"/>
  <c r="Y118" i="66"/>
  <c r="F212" i="66"/>
  <c r="E24" i="53"/>
  <c r="F68" i="66"/>
  <c r="E18" i="53"/>
  <c r="I5" i="41"/>
  <c r="L52" i="39" s="1"/>
  <c r="E167" i="38" s="1"/>
  <c r="F164" i="66"/>
  <c r="E12" i="53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C52" i="39"/>
  <c r="E99" i="38" s="1"/>
  <c r="D12" i="53"/>
  <c r="F12" i="53" s="1"/>
  <c r="H6" i="53" s="1"/>
  <c r="J164" i="66"/>
  <c r="Q118" i="66"/>
  <c r="R118" i="66" s="1"/>
  <c r="T118" i="66" s="1"/>
  <c r="D36" i="53"/>
  <c r="F36" i="53" s="1"/>
  <c r="H30" i="53" s="1"/>
  <c r="J260" i="66"/>
  <c r="D24" i="53"/>
  <c r="F24" i="53" s="1"/>
  <c r="H18" i="53" s="1"/>
  <c r="J212" i="66"/>
  <c r="J116" i="66" l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L260" i="66"/>
  <c r="L212" i="66"/>
  <c r="E282" i="38"/>
  <c r="E288" i="38"/>
  <c r="E294" i="38"/>
  <c r="E300" i="38"/>
  <c r="M164" i="66" s="1"/>
  <c r="M68" i="66"/>
  <c r="F25" i="39" s="1"/>
  <c r="C21" i="8"/>
  <c r="L116" i="66"/>
  <c r="M116" i="66"/>
  <c r="G25" i="39" s="1"/>
  <c r="D21" i="8"/>
  <c r="L68" i="66" l="1"/>
  <c r="P68" i="66" s="1"/>
  <c r="M20" i="66"/>
  <c r="B21" i="8"/>
  <c r="L20" i="66"/>
  <c r="N116" i="66"/>
  <c r="P116" i="66"/>
  <c r="P212" i="66"/>
  <c r="N212" i="66"/>
  <c r="L164" i="66"/>
  <c r="P260" i="66"/>
  <c r="N260" i="66"/>
  <c r="N68" i="66" l="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W57" i="66"/>
  <c r="W105" i="66"/>
  <c r="W201" i="66"/>
  <c r="W249" i="66"/>
  <c r="W9" i="66"/>
  <c r="V9" i="66"/>
  <c r="W153" i="66"/>
  <c r="V153" i="66"/>
  <c r="W79" i="66"/>
  <c r="W223" i="66"/>
  <c r="W31" i="66"/>
  <c r="W271" i="66"/>
  <c r="W127" i="66"/>
  <c r="V31" i="66"/>
  <c r="W175" i="66"/>
  <c r="V175" i="66"/>
  <c r="W171" i="66"/>
  <c r="W123" i="66"/>
  <c r="W267" i="66"/>
  <c r="W75" i="66"/>
  <c r="W219" i="66"/>
  <c r="V171" i="66"/>
  <c r="W27" i="66"/>
  <c r="V27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W262" i="66"/>
  <c r="W118" i="66"/>
  <c r="W214" i="66"/>
  <c r="W70" i="66"/>
  <c r="V262" i="66"/>
  <c r="U262" i="66"/>
  <c r="U118" i="66"/>
  <c r="V118" i="66"/>
  <c r="W237" i="66"/>
  <c r="W93" i="66"/>
  <c r="W285" i="66"/>
  <c r="W141" i="66"/>
  <c r="W45" i="66"/>
  <c r="W189" i="66"/>
  <c r="V189" i="66"/>
  <c r="V4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68" i="66" l="1"/>
  <c r="X284" i="66"/>
  <c r="X236" i="66"/>
  <c r="X231" i="66"/>
  <c r="X31" i="66"/>
  <c r="X260" i="66"/>
  <c r="X196" i="66"/>
  <c r="X39" i="66"/>
  <c r="X255" i="66"/>
  <c r="X278" i="66"/>
  <c r="X27" i="66"/>
  <c r="X118" i="66"/>
  <c r="X120" i="66"/>
  <c r="X52" i="66"/>
  <c r="X230" i="66"/>
  <c r="X47" i="66"/>
  <c r="X153" i="66"/>
  <c r="X9" i="66"/>
  <c r="X116" i="66"/>
  <c r="X159" i="66"/>
  <c r="X216" i="66"/>
  <c r="X171" i="66"/>
  <c r="X87" i="66"/>
  <c r="X38" i="66"/>
  <c r="X140" i="66"/>
  <c r="X264" i="66"/>
  <c r="X183" i="66"/>
  <c r="X92" i="66"/>
  <c r="X175" i="66"/>
  <c r="X135" i="66"/>
  <c r="X134" i="66"/>
  <c r="X168" i="66"/>
  <c r="X4" i="66"/>
  <c r="X182" i="66"/>
  <c r="X262" i="66"/>
  <c r="X86" i="66"/>
  <c r="X188" i="66"/>
  <c r="X111" i="66"/>
  <c r="X44" i="66"/>
  <c r="X164" i="66"/>
  <c r="X148" i="66"/>
  <c r="X244" i="66"/>
  <c r="X45" i="66"/>
  <c r="X72" i="66"/>
  <c r="X207" i="66"/>
  <c r="X212" i="66"/>
  <c r="X189" i="66"/>
  <c r="X191" i="66"/>
  <c r="X279" i="66"/>
  <c r="X63" i="66"/>
  <c r="X15" i="66"/>
  <c r="X24" i="66"/>
  <c r="X100" i="66"/>
  <c r="X11" i="66"/>
  <c r="X20" i="66"/>
  <c r="X155" i="66"/>
  <c r="G466" i="37" l="1"/>
  <c r="G466" i="41" s="1"/>
  <c r="G466" i="58"/>
  <c r="G465" i="37"/>
  <c r="G465" i="41" s="1"/>
  <c r="G465" i="58"/>
  <c r="E466" i="58"/>
  <c r="E466" i="37"/>
  <c r="E466" i="41" s="1"/>
  <c r="E465" i="58"/>
  <c r="E465" i="37"/>
  <c r="E465" i="41" s="1"/>
  <c r="G473" i="37" l="1"/>
  <c r="G473" i="41" s="1"/>
  <c r="G473" i="58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37"/>
  <c r="E473" i="41" s="1"/>
  <c r="E473" i="58"/>
  <c r="E437" i="37" l="1"/>
  <c r="E437" i="41" s="1"/>
  <c r="E437" i="58"/>
  <c r="G439" i="58"/>
  <c r="G439" i="37"/>
  <c r="G439" i="41" s="1"/>
  <c r="E439" i="37"/>
  <c r="E439" i="41" s="1"/>
  <c r="E439" i="58"/>
  <c r="G437" i="37"/>
  <c r="G437" i="41" s="1"/>
  <c r="G437" i="58"/>
  <c r="G6" i="37" l="1"/>
  <c r="G6" i="41" s="1"/>
  <c r="G6" i="58"/>
  <c r="G406" i="58"/>
  <c r="G406" i="37"/>
  <c r="G406" i="41" s="1"/>
  <c r="E406" i="58"/>
  <c r="E406" i="37"/>
  <c r="E406" i="41" s="1"/>
  <c r="E6" i="58"/>
  <c r="E6" i="37"/>
  <c r="E6" i="41" s="1"/>
  <c r="H409" i="58"/>
  <c r="H409" i="37"/>
  <c r="H413" i="37"/>
  <c r="H413" i="58"/>
  <c r="H417" i="58"/>
  <c r="H417" i="37"/>
  <c r="H417" i="41" l="1"/>
  <c r="H413" i="41"/>
  <c r="H409" i="41"/>
  <c r="F22" i="66"/>
  <c r="C46" i="39"/>
  <c r="E91" i="38" s="1"/>
  <c r="F166" i="66"/>
  <c r="K46" i="39"/>
  <c r="E142" i="38" s="1"/>
  <c r="I429" i="41"/>
  <c r="G3" i="37" l="1"/>
  <c r="G3" i="41" s="1"/>
  <c r="G3" i="58"/>
  <c r="G115" i="37"/>
  <c r="G115" i="41" s="1"/>
  <c r="G115" i="58"/>
  <c r="G422" i="37"/>
  <c r="G422" i="41" s="1"/>
  <c r="G422" i="58"/>
  <c r="G357" i="58"/>
  <c r="G357" i="37"/>
  <c r="G357" i="41" s="1"/>
  <c r="G10" i="37"/>
  <c r="G10" i="41" s="1"/>
  <c r="G10" i="58"/>
  <c r="G89" i="37"/>
  <c r="G89" i="41" s="1"/>
  <c r="G89" i="58"/>
  <c r="G321" i="58"/>
  <c r="G321" i="37"/>
  <c r="G321" i="41" s="1"/>
  <c r="G457" i="37"/>
  <c r="G457" i="41" s="1"/>
  <c r="G457" i="58"/>
  <c r="G467" i="58"/>
  <c r="G467" i="37"/>
  <c r="G467" i="41" s="1"/>
  <c r="I456" i="58"/>
  <c r="E377" i="38" s="1"/>
  <c r="K201" i="66" s="1"/>
  <c r="I454" i="37"/>
  <c r="I456" i="37"/>
  <c r="I453" i="37"/>
  <c r="I455" i="58"/>
  <c r="E376" i="38" s="1"/>
  <c r="K203" i="66" s="1"/>
  <c r="I454" i="58"/>
  <c r="E375" i="38" s="1"/>
  <c r="K219" i="66" s="1"/>
  <c r="I453" i="58"/>
  <c r="E374" i="38" s="1"/>
  <c r="K237" i="66" s="1"/>
  <c r="I455" i="37"/>
  <c r="G399" i="37"/>
  <c r="G399" i="41" s="1"/>
  <c r="G399" i="58"/>
  <c r="G391" i="37"/>
  <c r="G391" i="41" s="1"/>
  <c r="G391" i="58"/>
  <c r="G383" i="37"/>
  <c r="G383" i="41" s="1"/>
  <c r="G383" i="58"/>
  <c r="G375" i="58"/>
  <c r="G375" i="37"/>
  <c r="G375" i="41" s="1"/>
  <c r="G367" i="37"/>
  <c r="G367" i="41" s="1"/>
  <c r="G367" i="58"/>
  <c r="G359" i="58"/>
  <c r="G359" i="37"/>
  <c r="G359" i="41" s="1"/>
  <c r="G351" i="58"/>
  <c r="G351" i="37"/>
  <c r="G351" i="41" s="1"/>
  <c r="G342" i="37"/>
  <c r="G342" i="41" s="1"/>
  <c r="G342" i="58"/>
  <c r="G331" i="58"/>
  <c r="G331" i="37"/>
  <c r="G331" i="41" s="1"/>
  <c r="G320" i="37"/>
  <c r="G320" i="41" s="1"/>
  <c r="G320" i="58"/>
  <c r="G310" i="37"/>
  <c r="G310" i="41" s="1"/>
  <c r="G310" i="58"/>
  <c r="G299" i="37"/>
  <c r="G299" i="41" s="1"/>
  <c r="G299" i="58"/>
  <c r="G291" i="58"/>
  <c r="G291" i="37"/>
  <c r="G291" i="41" s="1"/>
  <c r="G283" i="37"/>
  <c r="G283" i="41" s="1"/>
  <c r="G283" i="58"/>
  <c r="G275" i="58"/>
  <c r="G275" i="37"/>
  <c r="G275" i="41" s="1"/>
  <c r="G267" i="58"/>
  <c r="G267" i="37"/>
  <c r="G267" i="41" s="1"/>
  <c r="G259" i="37"/>
  <c r="G259" i="41" s="1"/>
  <c r="G259" i="58"/>
  <c r="G251" i="37"/>
  <c r="G251" i="41" s="1"/>
  <c r="G251" i="58"/>
  <c r="G243" i="58"/>
  <c r="G243" i="37"/>
  <c r="G243" i="41" s="1"/>
  <c r="G235" i="58"/>
  <c r="G235" i="37"/>
  <c r="G235" i="41" s="1"/>
  <c r="G227" i="58"/>
  <c r="G227" i="37"/>
  <c r="G227" i="41" s="1"/>
  <c r="G216" i="58"/>
  <c r="G216" i="37"/>
  <c r="G216" i="41" s="1"/>
  <c r="G206" i="37"/>
  <c r="G206" i="41" s="1"/>
  <c r="G206" i="58"/>
  <c r="G197" i="58"/>
  <c r="G197" i="37"/>
  <c r="G197" i="41" s="1"/>
  <c r="G189" i="58"/>
  <c r="G189" i="37"/>
  <c r="G189" i="41" s="1"/>
  <c r="G181" i="58"/>
  <c r="G181" i="37"/>
  <c r="G181" i="41" s="1"/>
  <c r="G173" i="37"/>
  <c r="G173" i="41" s="1"/>
  <c r="G173" i="58"/>
  <c r="G159" i="58"/>
  <c r="G159" i="37"/>
  <c r="G159" i="41" s="1"/>
  <c r="G151" i="37"/>
  <c r="G151" i="41" s="1"/>
  <c r="G151" i="58"/>
  <c r="G143" i="37"/>
  <c r="G143" i="41" s="1"/>
  <c r="G143" i="58"/>
  <c r="G132" i="37"/>
  <c r="G132" i="41" s="1"/>
  <c r="G132" i="58"/>
  <c r="G122" i="58"/>
  <c r="G122" i="37"/>
  <c r="G122" i="41" s="1"/>
  <c r="E460" i="58"/>
  <c r="E460" i="37"/>
  <c r="E460" i="41" s="1"/>
  <c r="E452" i="37"/>
  <c r="E452" i="41" s="1"/>
  <c r="E452" i="58"/>
  <c r="E443" i="37"/>
  <c r="E443" i="41" s="1"/>
  <c r="E443" i="58"/>
  <c r="E433" i="37"/>
  <c r="E433" i="41" s="1"/>
  <c r="E433" i="58"/>
  <c r="E423" i="37"/>
  <c r="E423" i="41" s="1"/>
  <c r="E423" i="58"/>
  <c r="E415" i="58"/>
  <c r="E415" i="37"/>
  <c r="E415" i="41" s="1"/>
  <c r="E407" i="58"/>
  <c r="E407" i="37"/>
  <c r="E407" i="41" s="1"/>
  <c r="E398" i="58"/>
  <c r="E398" i="37"/>
  <c r="E398" i="41" s="1"/>
  <c r="E390" i="58"/>
  <c r="E390" i="37"/>
  <c r="E390" i="41" s="1"/>
  <c r="E382" i="58"/>
  <c r="E382" i="37"/>
  <c r="E382" i="41" s="1"/>
  <c r="E374" i="37"/>
  <c r="E374" i="41" s="1"/>
  <c r="E374" i="58"/>
  <c r="E366" i="37"/>
  <c r="E366" i="41" s="1"/>
  <c r="E366" i="58"/>
  <c r="E358" i="37"/>
  <c r="E358" i="41" s="1"/>
  <c r="E358" i="58"/>
  <c r="E350" i="37"/>
  <c r="E350" i="41" s="1"/>
  <c r="E350" i="58"/>
  <c r="E342" i="37"/>
  <c r="E342" i="41" s="1"/>
  <c r="E342" i="58"/>
  <c r="E334" i="58"/>
  <c r="E334" i="37"/>
  <c r="E334" i="41" s="1"/>
  <c r="E326" i="37"/>
  <c r="E326" i="41" s="1"/>
  <c r="E326" i="58"/>
  <c r="E318" i="58"/>
  <c r="E318" i="37"/>
  <c r="E318" i="41" s="1"/>
  <c r="E310" i="58"/>
  <c r="E310" i="37"/>
  <c r="E310" i="41" s="1"/>
  <c r="E302" i="58"/>
  <c r="E302" i="37"/>
  <c r="E302" i="41" s="1"/>
  <c r="E294" i="58"/>
  <c r="E294" i="37"/>
  <c r="E294" i="41" s="1"/>
  <c r="E286" i="37"/>
  <c r="E286" i="41" s="1"/>
  <c r="E286" i="58"/>
  <c r="E278" i="37"/>
  <c r="E278" i="41" s="1"/>
  <c r="E278" i="58"/>
  <c r="E270" i="58"/>
  <c r="E270" i="37"/>
  <c r="E270" i="41" s="1"/>
  <c r="E262" i="58"/>
  <c r="E262" i="37"/>
  <c r="E262" i="41" s="1"/>
  <c r="E254" i="58"/>
  <c r="E254" i="37"/>
  <c r="E254" i="41" s="1"/>
  <c r="E246" i="37"/>
  <c r="E246" i="41" s="1"/>
  <c r="E246" i="58"/>
  <c r="E238" i="58"/>
  <c r="E238" i="37"/>
  <c r="E238" i="41" s="1"/>
  <c r="E230" i="37"/>
  <c r="E230" i="41" s="1"/>
  <c r="E230" i="58"/>
  <c r="E220" i="58"/>
  <c r="E220" i="37"/>
  <c r="E220" i="41" s="1"/>
  <c r="E210" i="58"/>
  <c r="E210" i="37"/>
  <c r="E210" i="41" s="1"/>
  <c r="E200" i="37"/>
  <c r="E200" i="41" s="1"/>
  <c r="E200" i="58"/>
  <c r="E192" i="58"/>
  <c r="E192" i="37"/>
  <c r="E192" i="41" s="1"/>
  <c r="E184" i="37"/>
  <c r="E184" i="41" s="1"/>
  <c r="E184" i="58"/>
  <c r="E176" i="58"/>
  <c r="E176" i="37"/>
  <c r="E176" i="41" s="1"/>
  <c r="E168" i="58"/>
  <c r="E168" i="37"/>
  <c r="E168" i="41" s="1"/>
  <c r="E160" i="37"/>
  <c r="E160" i="41" s="1"/>
  <c r="E160" i="58"/>
  <c r="E152" i="37"/>
  <c r="E152" i="41" s="1"/>
  <c r="E152" i="58"/>
  <c r="E144" i="58"/>
  <c r="E144" i="37"/>
  <c r="E144" i="41" s="1"/>
  <c r="E136" i="37"/>
  <c r="E136" i="41" s="1"/>
  <c r="E136" i="58"/>
  <c r="E128" i="37"/>
  <c r="E128" i="41" s="1"/>
  <c r="E128" i="58"/>
  <c r="E120" i="58"/>
  <c r="E120" i="37"/>
  <c r="E120" i="41" s="1"/>
  <c r="E112" i="58"/>
  <c r="E112" i="37"/>
  <c r="E112" i="41" s="1"/>
  <c r="E104" i="37"/>
  <c r="E104" i="41" s="1"/>
  <c r="E104" i="58"/>
  <c r="E96" i="37"/>
  <c r="E96" i="41" s="1"/>
  <c r="E96" i="58"/>
  <c r="E88" i="58"/>
  <c r="E88" i="37"/>
  <c r="E88" i="41" s="1"/>
  <c r="E80" i="58"/>
  <c r="E80" i="37"/>
  <c r="E80" i="41" s="1"/>
  <c r="E10" i="37"/>
  <c r="E10" i="41" s="1"/>
  <c r="E10" i="58"/>
  <c r="E73" i="37"/>
  <c r="E73" i="41" s="1"/>
  <c r="E73" i="58"/>
  <c r="E69" i="58"/>
  <c r="E69" i="37"/>
  <c r="E69" i="41" s="1"/>
  <c r="E65" i="37"/>
  <c r="E65" i="41" s="1"/>
  <c r="E65" i="58"/>
  <c r="E61" i="37"/>
  <c r="E61" i="41" s="1"/>
  <c r="E61" i="58"/>
  <c r="E57" i="58"/>
  <c r="E57" i="37"/>
  <c r="E57" i="41" s="1"/>
  <c r="E53" i="58"/>
  <c r="E53" i="37"/>
  <c r="E53" i="41" s="1"/>
  <c r="E49" i="37"/>
  <c r="E49" i="41" s="1"/>
  <c r="E49" i="58"/>
  <c r="E45" i="37"/>
  <c r="E45" i="41" s="1"/>
  <c r="E45" i="58"/>
  <c r="E41" i="37"/>
  <c r="E41" i="41" s="1"/>
  <c r="E41" i="58"/>
  <c r="E37" i="58"/>
  <c r="E37" i="37"/>
  <c r="E37" i="41" s="1"/>
  <c r="E33" i="37"/>
  <c r="E33" i="41" s="1"/>
  <c r="E33" i="58"/>
  <c r="E29" i="58"/>
  <c r="E29" i="37"/>
  <c r="E29" i="41" s="1"/>
  <c r="E25" i="58"/>
  <c r="E25" i="37"/>
  <c r="E25" i="41" s="1"/>
  <c r="E21" i="37"/>
  <c r="E21" i="41" s="1"/>
  <c r="E21" i="58"/>
  <c r="E17" i="37"/>
  <c r="E17" i="41" s="1"/>
  <c r="E17" i="58"/>
  <c r="E13" i="37"/>
  <c r="E13" i="41" s="1"/>
  <c r="E13" i="58"/>
  <c r="G470" i="37"/>
  <c r="G470" i="41" s="1"/>
  <c r="G470" i="58"/>
  <c r="E225" i="58"/>
  <c r="E225" i="37"/>
  <c r="E225" i="41" s="1"/>
  <c r="I451" i="37"/>
  <c r="I451" i="58"/>
  <c r="J451" i="58"/>
  <c r="J451" i="37"/>
  <c r="E277" i="38"/>
  <c r="E232" i="38"/>
  <c r="E224" i="38"/>
  <c r="E269" i="38"/>
  <c r="H448" i="58"/>
  <c r="H448" i="37"/>
  <c r="H438" i="58"/>
  <c r="H438" i="37"/>
  <c r="E197" i="38"/>
  <c r="E242" i="38"/>
  <c r="E189" i="38"/>
  <c r="E234" i="38"/>
  <c r="I440" i="58"/>
  <c r="I440" i="37"/>
  <c r="E261" i="38"/>
  <c r="E216" i="38"/>
  <c r="E255" i="38"/>
  <c r="E210" i="38"/>
  <c r="G91" i="58"/>
  <c r="G91" i="37"/>
  <c r="G91" i="41" s="1"/>
  <c r="G329" i="37"/>
  <c r="G329" i="41" s="1"/>
  <c r="G329" i="58"/>
  <c r="G442" i="37"/>
  <c r="G442" i="41" s="1"/>
  <c r="G442" i="58"/>
  <c r="G373" i="58"/>
  <c r="G373" i="37"/>
  <c r="G373" i="41" s="1"/>
  <c r="G318" i="37"/>
  <c r="G318" i="41" s="1"/>
  <c r="G318" i="58"/>
  <c r="G81" i="37"/>
  <c r="G81" i="41" s="1"/>
  <c r="G81" i="58"/>
  <c r="G97" i="37"/>
  <c r="G97" i="41" s="1"/>
  <c r="G97" i="58"/>
  <c r="G105" i="58"/>
  <c r="G105" i="37"/>
  <c r="G105" i="41" s="1"/>
  <c r="G113" i="58"/>
  <c r="G113" i="37"/>
  <c r="G113" i="41" s="1"/>
  <c r="G125" i="37"/>
  <c r="G125" i="41" s="1"/>
  <c r="G125" i="58"/>
  <c r="G165" i="58"/>
  <c r="G165" i="37"/>
  <c r="G165" i="41" s="1"/>
  <c r="G403" i="37"/>
  <c r="G403" i="41" s="1"/>
  <c r="G403" i="58"/>
  <c r="G412" i="58"/>
  <c r="G412" i="37"/>
  <c r="G412" i="41" s="1"/>
  <c r="G420" i="58"/>
  <c r="G420" i="37"/>
  <c r="G420" i="41" s="1"/>
  <c r="G428" i="37"/>
  <c r="G428" i="41" s="1"/>
  <c r="G428" i="58"/>
  <c r="G440" i="37"/>
  <c r="G440" i="41" s="1"/>
  <c r="G440" i="58"/>
  <c r="G448" i="58"/>
  <c r="G448" i="37"/>
  <c r="G448" i="41" s="1"/>
  <c r="G74" i="58"/>
  <c r="G74" i="37"/>
  <c r="G74" i="41" s="1"/>
  <c r="G82" i="58"/>
  <c r="G82" i="37"/>
  <c r="G82" i="41" s="1"/>
  <c r="G90" i="58"/>
  <c r="G90" i="37"/>
  <c r="G90" i="41" s="1"/>
  <c r="G98" i="37"/>
  <c r="G98" i="41" s="1"/>
  <c r="G98" i="58"/>
  <c r="G106" i="58"/>
  <c r="G106" i="37"/>
  <c r="G106" i="41" s="1"/>
  <c r="G114" i="37"/>
  <c r="G114" i="41" s="1"/>
  <c r="G114" i="58"/>
  <c r="G129" i="58"/>
  <c r="G129" i="37"/>
  <c r="G129" i="41" s="1"/>
  <c r="G166" i="58"/>
  <c r="G166" i="37"/>
  <c r="G166" i="41" s="1"/>
  <c r="G325" i="58"/>
  <c r="G325" i="37"/>
  <c r="G325" i="41" s="1"/>
  <c r="G404" i="58"/>
  <c r="G404" i="37"/>
  <c r="G404" i="41" s="1"/>
  <c r="G413" i="37"/>
  <c r="G413" i="41" s="1"/>
  <c r="G413" i="58"/>
  <c r="G421" i="58"/>
  <c r="G421" i="37"/>
  <c r="G421" i="41" s="1"/>
  <c r="G431" i="58"/>
  <c r="G431" i="37"/>
  <c r="G431" i="41" s="1"/>
  <c r="G441" i="37"/>
  <c r="G441" i="41" s="1"/>
  <c r="G441" i="58"/>
  <c r="G450" i="37"/>
  <c r="G450" i="41" s="1"/>
  <c r="G450" i="58"/>
  <c r="G458" i="37"/>
  <c r="G458" i="41" s="1"/>
  <c r="G458" i="58"/>
  <c r="G398" i="37"/>
  <c r="G398" i="41" s="1"/>
  <c r="G398" i="58"/>
  <c r="G390" i="58"/>
  <c r="G390" i="37"/>
  <c r="G390" i="41" s="1"/>
  <c r="G382" i="37"/>
  <c r="G382" i="41" s="1"/>
  <c r="G382" i="58"/>
  <c r="G374" i="58"/>
  <c r="G374" i="37"/>
  <c r="G374" i="41" s="1"/>
  <c r="G366" i="37"/>
  <c r="G366" i="41" s="1"/>
  <c r="G366" i="58"/>
  <c r="G358" i="37"/>
  <c r="G358" i="41" s="1"/>
  <c r="G358" i="58"/>
  <c r="G350" i="58"/>
  <c r="G350" i="37"/>
  <c r="G350" i="41" s="1"/>
  <c r="G340" i="58"/>
  <c r="G340" i="37"/>
  <c r="G340" i="41" s="1"/>
  <c r="G330" i="58"/>
  <c r="G330" i="37"/>
  <c r="G330" i="41" s="1"/>
  <c r="G319" i="37"/>
  <c r="G319" i="41" s="1"/>
  <c r="G319" i="58"/>
  <c r="G308" i="58"/>
  <c r="G308" i="37"/>
  <c r="G308" i="41" s="1"/>
  <c r="G298" i="37"/>
  <c r="G298" i="41" s="1"/>
  <c r="G298" i="58"/>
  <c r="G290" i="58"/>
  <c r="G290" i="37"/>
  <c r="G290" i="41" s="1"/>
  <c r="G282" i="37"/>
  <c r="G282" i="41" s="1"/>
  <c r="G282" i="58"/>
  <c r="G274" i="58"/>
  <c r="G274" i="37"/>
  <c r="G274" i="41" s="1"/>
  <c r="G266" i="58"/>
  <c r="G266" i="37"/>
  <c r="G266" i="41" s="1"/>
  <c r="G258" i="37"/>
  <c r="G258" i="41" s="1"/>
  <c r="G258" i="58"/>
  <c r="G250" i="37"/>
  <c r="G250" i="41" s="1"/>
  <c r="G250" i="58"/>
  <c r="G242" i="58"/>
  <c r="G242" i="37"/>
  <c r="G242" i="41" s="1"/>
  <c r="G234" i="37"/>
  <c r="G234" i="41" s="1"/>
  <c r="G234" i="58"/>
  <c r="G226" i="37"/>
  <c r="G226" i="41" s="1"/>
  <c r="G226" i="58"/>
  <c r="G215" i="58"/>
  <c r="G215" i="37"/>
  <c r="G215" i="41" s="1"/>
  <c r="G204" i="37"/>
  <c r="G204" i="41" s="1"/>
  <c r="G204" i="58"/>
  <c r="G196" i="58"/>
  <c r="G196" i="37"/>
  <c r="G196" i="41" s="1"/>
  <c r="G188" i="58"/>
  <c r="G188" i="37"/>
  <c r="G188" i="41" s="1"/>
  <c r="G180" i="37"/>
  <c r="G180" i="41" s="1"/>
  <c r="G180" i="58"/>
  <c r="G172" i="58"/>
  <c r="G172" i="37"/>
  <c r="G172" i="41" s="1"/>
  <c r="G158" i="37"/>
  <c r="G158" i="41" s="1"/>
  <c r="G158" i="58"/>
  <c r="G150" i="58"/>
  <c r="G150" i="37"/>
  <c r="G150" i="41" s="1"/>
  <c r="G142" i="58"/>
  <c r="G142" i="37"/>
  <c r="G142" i="41" s="1"/>
  <c r="G131" i="37"/>
  <c r="G131" i="41" s="1"/>
  <c r="G131" i="58"/>
  <c r="G120" i="37"/>
  <c r="G120" i="41" s="1"/>
  <c r="G120" i="58"/>
  <c r="E459" i="37"/>
  <c r="E459" i="41" s="1"/>
  <c r="E459" i="58"/>
  <c r="E451" i="58"/>
  <c r="E451" i="37"/>
  <c r="E451" i="41" s="1"/>
  <c r="E442" i="58"/>
  <c r="E442" i="37"/>
  <c r="E442" i="41" s="1"/>
  <c r="E432" i="37"/>
  <c r="E432" i="41" s="1"/>
  <c r="E432" i="58"/>
  <c r="E422" i="37"/>
  <c r="E422" i="41" s="1"/>
  <c r="E422" i="58"/>
  <c r="E414" i="58"/>
  <c r="E414" i="37"/>
  <c r="E414" i="41" s="1"/>
  <c r="E405" i="58"/>
  <c r="E405" i="37"/>
  <c r="E405" i="41" s="1"/>
  <c r="E397" i="37"/>
  <c r="E397" i="41" s="1"/>
  <c r="E397" i="58"/>
  <c r="E389" i="58"/>
  <c r="E389" i="37"/>
  <c r="E389" i="41" s="1"/>
  <c r="E381" i="37"/>
  <c r="E381" i="41" s="1"/>
  <c r="E381" i="58"/>
  <c r="E373" i="58"/>
  <c r="E373" i="37"/>
  <c r="E373" i="41" s="1"/>
  <c r="E365" i="58"/>
  <c r="E365" i="37"/>
  <c r="E365" i="41" s="1"/>
  <c r="E357" i="37"/>
  <c r="E357" i="41" s="1"/>
  <c r="E357" i="58"/>
  <c r="E349" i="58"/>
  <c r="E349" i="37"/>
  <c r="E349" i="41" s="1"/>
  <c r="E341" i="58"/>
  <c r="E341" i="37"/>
  <c r="E341" i="41" s="1"/>
  <c r="E333" i="58"/>
  <c r="E333" i="37"/>
  <c r="E333" i="41" s="1"/>
  <c r="E325" i="37"/>
  <c r="E325" i="41" s="1"/>
  <c r="E325" i="58"/>
  <c r="E317" i="58"/>
  <c r="E317" i="37"/>
  <c r="E317" i="41" s="1"/>
  <c r="E309" i="58"/>
  <c r="E309" i="37"/>
  <c r="E309" i="41" s="1"/>
  <c r="E301" i="58"/>
  <c r="E301" i="37"/>
  <c r="E301" i="41" s="1"/>
  <c r="E293" i="58"/>
  <c r="E293" i="37"/>
  <c r="E293" i="41" s="1"/>
  <c r="E285" i="58"/>
  <c r="E285" i="37"/>
  <c r="E285" i="41" s="1"/>
  <c r="E277" i="37"/>
  <c r="E277" i="41" s="1"/>
  <c r="E277" i="58"/>
  <c r="E269" i="37"/>
  <c r="E269" i="41" s="1"/>
  <c r="E269" i="58"/>
  <c r="E261" i="58"/>
  <c r="E261" i="37"/>
  <c r="E261" i="41" s="1"/>
  <c r="E253" i="58"/>
  <c r="E253" i="37"/>
  <c r="E253" i="41" s="1"/>
  <c r="E245" i="58"/>
  <c r="E245" i="37"/>
  <c r="E245" i="41" s="1"/>
  <c r="E237" i="37"/>
  <c r="E237" i="41" s="1"/>
  <c r="E237" i="58"/>
  <c r="E229" i="58"/>
  <c r="E229" i="37"/>
  <c r="E229" i="41" s="1"/>
  <c r="E219" i="58"/>
  <c r="E219" i="37"/>
  <c r="E219" i="41" s="1"/>
  <c r="E208" i="58"/>
  <c r="E208" i="37"/>
  <c r="E208" i="41" s="1"/>
  <c r="E199" i="58"/>
  <c r="E199" i="37"/>
  <c r="E199" i="41" s="1"/>
  <c r="E191" i="37"/>
  <c r="E191" i="41" s="1"/>
  <c r="E191" i="58"/>
  <c r="E183" i="37"/>
  <c r="E183" i="41" s="1"/>
  <c r="E183" i="58"/>
  <c r="E175" i="58"/>
  <c r="E175" i="37"/>
  <c r="E175" i="41" s="1"/>
  <c r="E167" i="58"/>
  <c r="E167" i="37"/>
  <c r="E167" i="41" s="1"/>
  <c r="E159" i="37"/>
  <c r="E159" i="41" s="1"/>
  <c r="E159" i="58"/>
  <c r="E151" i="37"/>
  <c r="E151" i="41" s="1"/>
  <c r="E151" i="58"/>
  <c r="E143" i="37"/>
  <c r="E143" i="41" s="1"/>
  <c r="E143" i="58"/>
  <c r="E135" i="37"/>
  <c r="E135" i="41" s="1"/>
  <c r="E135" i="58"/>
  <c r="E127" i="37"/>
  <c r="E127" i="41" s="1"/>
  <c r="E127" i="58"/>
  <c r="E119" i="58"/>
  <c r="E119" i="37"/>
  <c r="E119" i="41" s="1"/>
  <c r="E111" i="37"/>
  <c r="E111" i="41" s="1"/>
  <c r="E111" i="58"/>
  <c r="E103" i="58"/>
  <c r="E103" i="37"/>
  <c r="E103" i="41" s="1"/>
  <c r="E95" i="58"/>
  <c r="E95" i="37"/>
  <c r="E95" i="41" s="1"/>
  <c r="E87" i="37"/>
  <c r="E87" i="41" s="1"/>
  <c r="E87" i="58"/>
  <c r="E79" i="37"/>
  <c r="E79" i="41" s="1"/>
  <c r="E79" i="58"/>
  <c r="E9" i="58"/>
  <c r="E9" i="37"/>
  <c r="E9" i="41" s="1"/>
  <c r="G72" i="58"/>
  <c r="G72" i="37"/>
  <c r="G72" i="41" s="1"/>
  <c r="G68" i="58"/>
  <c r="G68" i="37"/>
  <c r="G68" i="41" s="1"/>
  <c r="G64" i="37"/>
  <c r="G64" i="41" s="1"/>
  <c r="G64" i="58"/>
  <c r="G60" i="58"/>
  <c r="G60" i="37"/>
  <c r="G60" i="41" s="1"/>
  <c r="G56" i="37"/>
  <c r="G56" i="41" s="1"/>
  <c r="G56" i="58"/>
  <c r="G52" i="37"/>
  <c r="G52" i="41" s="1"/>
  <c r="G52" i="58"/>
  <c r="G48" i="58"/>
  <c r="G48" i="37"/>
  <c r="G48" i="41" s="1"/>
  <c r="G44" i="37"/>
  <c r="G44" i="41" s="1"/>
  <c r="G44" i="58"/>
  <c r="G40" i="37"/>
  <c r="G40" i="41" s="1"/>
  <c r="G40" i="58"/>
  <c r="G36" i="37"/>
  <c r="G36" i="41" s="1"/>
  <c r="G36" i="58"/>
  <c r="G32" i="58"/>
  <c r="G32" i="37"/>
  <c r="G32" i="41" s="1"/>
  <c r="G28" i="37"/>
  <c r="G28" i="41" s="1"/>
  <c r="G28" i="58"/>
  <c r="G24" i="58"/>
  <c r="G24" i="37"/>
  <c r="G24" i="41" s="1"/>
  <c r="G20" i="37"/>
  <c r="G20" i="41" s="1"/>
  <c r="G20" i="58"/>
  <c r="G16" i="37"/>
  <c r="G16" i="41" s="1"/>
  <c r="G16" i="58"/>
  <c r="G12" i="37"/>
  <c r="G12" i="58"/>
  <c r="E470" i="37"/>
  <c r="E470" i="41" s="1"/>
  <c r="E470" i="58"/>
  <c r="E217" i="37"/>
  <c r="E217" i="41" s="1"/>
  <c r="E217" i="58"/>
  <c r="E472" i="37"/>
  <c r="E472" i="41" s="1"/>
  <c r="E472" i="58"/>
  <c r="I450" i="58"/>
  <c r="I450" i="37"/>
  <c r="J450" i="58"/>
  <c r="J450" i="37"/>
  <c r="E276" i="38"/>
  <c r="E231" i="38"/>
  <c r="E223" i="38"/>
  <c r="E268" i="38"/>
  <c r="H447" i="37"/>
  <c r="H447" i="58"/>
  <c r="H436" i="37"/>
  <c r="H436" i="58"/>
  <c r="E196" i="38"/>
  <c r="E241" i="38"/>
  <c r="E188" i="38"/>
  <c r="E233" i="38"/>
  <c r="I438" i="37"/>
  <c r="I438" i="58"/>
  <c r="E257" i="38"/>
  <c r="E212" i="38"/>
  <c r="G83" i="37"/>
  <c r="G83" i="41" s="1"/>
  <c r="G83" i="58"/>
  <c r="G133" i="37"/>
  <c r="G133" i="41" s="1"/>
  <c r="G133" i="58"/>
  <c r="G432" i="37"/>
  <c r="G432" i="41" s="1"/>
  <c r="G432" i="58"/>
  <c r="G389" i="58"/>
  <c r="G389" i="37"/>
  <c r="G389" i="41" s="1"/>
  <c r="G365" i="37"/>
  <c r="G365" i="41" s="1"/>
  <c r="G365" i="58"/>
  <c r="G339" i="37"/>
  <c r="G339" i="41" s="1"/>
  <c r="G339" i="58"/>
  <c r="G307" i="37"/>
  <c r="G307" i="41" s="1"/>
  <c r="G307" i="58"/>
  <c r="G281" i="37"/>
  <c r="G281" i="41" s="1"/>
  <c r="G281" i="58"/>
  <c r="G249" i="58"/>
  <c r="G249" i="37"/>
  <c r="G249" i="41" s="1"/>
  <c r="G214" i="58"/>
  <c r="G214" i="37"/>
  <c r="G214" i="41" s="1"/>
  <c r="G179" i="58"/>
  <c r="G179" i="37"/>
  <c r="G179" i="41" s="1"/>
  <c r="G140" i="37"/>
  <c r="G140" i="41" s="1"/>
  <c r="G140" i="58"/>
  <c r="E441" i="37"/>
  <c r="E441" i="41" s="1"/>
  <c r="E441" i="58"/>
  <c r="E421" i="58"/>
  <c r="E421" i="37"/>
  <c r="E421" i="41" s="1"/>
  <c r="E372" i="37"/>
  <c r="E372" i="41" s="1"/>
  <c r="E372" i="58"/>
  <c r="E332" i="58"/>
  <c r="E332" i="37"/>
  <c r="E332" i="41" s="1"/>
  <c r="E300" i="37"/>
  <c r="E300" i="41" s="1"/>
  <c r="E300" i="58"/>
  <c r="E284" i="58"/>
  <c r="E284" i="37"/>
  <c r="E284" i="41" s="1"/>
  <c r="E244" i="37"/>
  <c r="E244" i="41" s="1"/>
  <c r="E244" i="58"/>
  <c r="E198" i="58"/>
  <c r="E198" i="37"/>
  <c r="E198" i="41" s="1"/>
  <c r="E166" i="58"/>
  <c r="E166" i="37"/>
  <c r="E166" i="41" s="1"/>
  <c r="E134" i="37"/>
  <c r="E134" i="41" s="1"/>
  <c r="E134" i="58"/>
  <c r="E126" i="37"/>
  <c r="E126" i="41" s="1"/>
  <c r="E126" i="58"/>
  <c r="E86" i="58"/>
  <c r="E86" i="37"/>
  <c r="E86" i="41" s="1"/>
  <c r="E68" i="37"/>
  <c r="E68" i="41" s="1"/>
  <c r="E68" i="58"/>
  <c r="E52" i="58"/>
  <c r="E52" i="37"/>
  <c r="E52" i="41" s="1"/>
  <c r="E32" i="37"/>
  <c r="E32" i="41" s="1"/>
  <c r="E32" i="58"/>
  <c r="E16" i="58"/>
  <c r="E16" i="37"/>
  <c r="E16" i="41" s="1"/>
  <c r="G205" i="37"/>
  <c r="G205" i="41" s="1"/>
  <c r="G205" i="58"/>
  <c r="H451" i="37"/>
  <c r="H451" i="58"/>
  <c r="I436" i="37"/>
  <c r="I436" i="58"/>
  <c r="E200" i="38"/>
  <c r="E245" i="38"/>
  <c r="G84" i="58"/>
  <c r="G84" i="37"/>
  <c r="G84" i="41" s="1"/>
  <c r="G116" i="37"/>
  <c r="G116" i="41" s="1"/>
  <c r="G116" i="58"/>
  <c r="G407" i="58"/>
  <c r="G407" i="37"/>
  <c r="G407" i="41" s="1"/>
  <c r="G443" i="37"/>
  <c r="G443" i="41" s="1"/>
  <c r="G443" i="58"/>
  <c r="G388" i="37"/>
  <c r="G388" i="41" s="1"/>
  <c r="G388" i="58"/>
  <c r="G356" i="58"/>
  <c r="G356" i="37"/>
  <c r="G356" i="41" s="1"/>
  <c r="G338" i="37"/>
  <c r="G338" i="41" s="1"/>
  <c r="G338" i="58"/>
  <c r="G316" i="58"/>
  <c r="G316" i="37"/>
  <c r="G316" i="41" s="1"/>
  <c r="G296" i="37"/>
  <c r="G296" i="41" s="1"/>
  <c r="G296" i="58"/>
  <c r="G288" i="37"/>
  <c r="G288" i="41" s="1"/>
  <c r="G288" i="58"/>
  <c r="G280" i="37"/>
  <c r="G280" i="41" s="1"/>
  <c r="G280" i="58"/>
  <c r="G272" i="58"/>
  <c r="G272" i="37"/>
  <c r="G272" i="41" s="1"/>
  <c r="G256" i="58"/>
  <c r="G256" i="37"/>
  <c r="G256" i="41" s="1"/>
  <c r="G240" i="37"/>
  <c r="G240" i="41" s="1"/>
  <c r="G240" i="58"/>
  <c r="G223" i="58"/>
  <c r="G223" i="37"/>
  <c r="G223" i="41" s="1"/>
  <c r="G202" i="58"/>
  <c r="G202" i="37"/>
  <c r="G202" i="41" s="1"/>
  <c r="G186" i="58"/>
  <c r="G186" i="37"/>
  <c r="G186" i="41" s="1"/>
  <c r="G170" i="58"/>
  <c r="G170" i="37"/>
  <c r="G170" i="41" s="1"/>
  <c r="G148" i="37"/>
  <c r="G148" i="41" s="1"/>
  <c r="G148" i="58"/>
  <c r="G139" i="37"/>
  <c r="G139" i="41" s="1"/>
  <c r="G139" i="58"/>
  <c r="E467" i="37"/>
  <c r="E467" i="41" s="1"/>
  <c r="E467" i="58"/>
  <c r="E448" i="37"/>
  <c r="E448" i="41" s="1"/>
  <c r="E448" i="58"/>
  <c r="E428" i="58"/>
  <c r="E428" i="37"/>
  <c r="E428" i="41" s="1"/>
  <c r="E412" i="37"/>
  <c r="E412" i="41" s="1"/>
  <c r="E412" i="58"/>
  <c r="E395" i="58"/>
  <c r="E395" i="37"/>
  <c r="E395" i="41" s="1"/>
  <c r="E379" i="58"/>
  <c r="E379" i="37"/>
  <c r="E379" i="41" s="1"/>
  <c r="E363" i="37"/>
  <c r="E363" i="41" s="1"/>
  <c r="E363" i="58"/>
  <c r="E347" i="58"/>
  <c r="E347" i="37"/>
  <c r="E347" i="41" s="1"/>
  <c r="E331" i="58"/>
  <c r="E331" i="37"/>
  <c r="E331" i="41" s="1"/>
  <c r="E315" i="37"/>
  <c r="E315" i="41" s="1"/>
  <c r="E315" i="58"/>
  <c r="E299" i="37"/>
  <c r="E299" i="41" s="1"/>
  <c r="E299" i="58"/>
  <c r="E275" i="37"/>
  <c r="E275" i="41" s="1"/>
  <c r="E275" i="58"/>
  <c r="E259" i="37"/>
  <c r="E259" i="41" s="1"/>
  <c r="E259" i="58"/>
  <c r="E197" i="37"/>
  <c r="E197" i="41" s="1"/>
  <c r="E197" i="58"/>
  <c r="E181" i="37"/>
  <c r="E181" i="41" s="1"/>
  <c r="E181" i="58"/>
  <c r="E165" i="37"/>
  <c r="E165" i="41" s="1"/>
  <c r="E165" i="58"/>
  <c r="E149" i="58"/>
  <c r="E149" i="37"/>
  <c r="E149" i="41" s="1"/>
  <c r="E125" i="58"/>
  <c r="E125" i="37"/>
  <c r="E125" i="41" s="1"/>
  <c r="E109" i="37"/>
  <c r="E109" i="41" s="1"/>
  <c r="E109" i="58"/>
  <c r="E93" i="58"/>
  <c r="E93" i="37"/>
  <c r="E93" i="41" s="1"/>
  <c r="E77" i="58"/>
  <c r="E77" i="37"/>
  <c r="E77" i="41" s="1"/>
  <c r="G71" i="58"/>
  <c r="G71" i="37"/>
  <c r="G71" i="41" s="1"/>
  <c r="G63" i="37"/>
  <c r="G63" i="41" s="1"/>
  <c r="G63" i="58"/>
  <c r="G51" i="58"/>
  <c r="G51" i="37"/>
  <c r="G51" i="41" s="1"/>
  <c r="G31" i="58"/>
  <c r="G31" i="37"/>
  <c r="G31" i="41" s="1"/>
  <c r="E209" i="38"/>
  <c r="E254" i="38"/>
  <c r="E207" i="38"/>
  <c r="E252" i="38"/>
  <c r="E250" i="38"/>
  <c r="E205" i="38"/>
  <c r="J166" i="66"/>
  <c r="H445" i="58"/>
  <c r="G99" i="58"/>
  <c r="G99" i="37"/>
  <c r="G99" i="41" s="1"/>
  <c r="G414" i="58"/>
  <c r="G414" i="37"/>
  <c r="G414" i="41" s="1"/>
  <c r="G459" i="58"/>
  <c r="G459" i="37"/>
  <c r="G459" i="41" s="1"/>
  <c r="G328" i="58"/>
  <c r="G328" i="37"/>
  <c r="G328" i="41" s="1"/>
  <c r="G289" i="37"/>
  <c r="G289" i="41" s="1"/>
  <c r="G289" i="58"/>
  <c r="G257" i="37"/>
  <c r="G257" i="41" s="1"/>
  <c r="G257" i="58"/>
  <c r="G224" i="37"/>
  <c r="G224" i="41" s="1"/>
  <c r="G224" i="58"/>
  <c r="G187" i="58"/>
  <c r="G187" i="37"/>
  <c r="G187" i="41" s="1"/>
  <c r="G149" i="37"/>
  <c r="G149" i="41" s="1"/>
  <c r="G149" i="58"/>
  <c r="E450" i="37"/>
  <c r="E450" i="41" s="1"/>
  <c r="E450" i="58"/>
  <c r="E413" i="58"/>
  <c r="E413" i="37"/>
  <c r="E413" i="41" s="1"/>
  <c r="E388" i="37"/>
  <c r="E388" i="41" s="1"/>
  <c r="E388" i="58"/>
  <c r="E348" i="58"/>
  <c r="E348" i="37"/>
  <c r="E348" i="41" s="1"/>
  <c r="E308" i="58"/>
  <c r="E308" i="37"/>
  <c r="E308" i="41" s="1"/>
  <c r="E292" i="37"/>
  <c r="E292" i="41" s="1"/>
  <c r="E292" i="58"/>
  <c r="E260" i="37"/>
  <c r="E260" i="41" s="1"/>
  <c r="E260" i="58"/>
  <c r="E228" i="37"/>
  <c r="E228" i="41" s="1"/>
  <c r="E228" i="58"/>
  <c r="E190" i="37"/>
  <c r="E190" i="41" s="1"/>
  <c r="E190" i="58"/>
  <c r="E158" i="37"/>
  <c r="E158" i="41" s="1"/>
  <c r="E158" i="58"/>
  <c r="E118" i="58"/>
  <c r="E118" i="37"/>
  <c r="E118" i="41" s="1"/>
  <c r="E78" i="58"/>
  <c r="E78" i="37"/>
  <c r="E78" i="41" s="1"/>
  <c r="E64" i="58"/>
  <c r="E64" i="37"/>
  <c r="E64" i="41" s="1"/>
  <c r="E48" i="58"/>
  <c r="E48" i="37"/>
  <c r="E48" i="41" s="1"/>
  <c r="E40" i="37"/>
  <c r="E40" i="41" s="1"/>
  <c r="E40" i="58"/>
  <c r="E24" i="58"/>
  <c r="E24" i="37"/>
  <c r="E24" i="41" s="1"/>
  <c r="G469" i="37"/>
  <c r="G469" i="41" s="1"/>
  <c r="G469" i="58"/>
  <c r="E213" i="58"/>
  <c r="E213" i="37"/>
  <c r="E213" i="41" s="1"/>
  <c r="J441" i="37"/>
  <c r="J441" i="58"/>
  <c r="E267" i="38"/>
  <c r="E222" i="38"/>
  <c r="E195" i="38"/>
  <c r="E240" i="38"/>
  <c r="G100" i="37"/>
  <c r="G100" i="41" s="1"/>
  <c r="G100" i="58"/>
  <c r="G301" i="58"/>
  <c r="G301" i="37"/>
  <c r="G301" i="41" s="1"/>
  <c r="G433" i="37"/>
  <c r="G433" i="41" s="1"/>
  <c r="G433" i="58"/>
  <c r="G396" i="58"/>
  <c r="G396" i="37"/>
  <c r="G396" i="41" s="1"/>
  <c r="G372" i="37"/>
  <c r="G372" i="41" s="1"/>
  <c r="G372" i="58"/>
  <c r="G348" i="37"/>
  <c r="G348" i="41" s="1"/>
  <c r="G348" i="58"/>
  <c r="G327" i="37"/>
  <c r="G327" i="41" s="1"/>
  <c r="G327" i="58"/>
  <c r="G306" i="58"/>
  <c r="G306" i="37"/>
  <c r="G306" i="41" s="1"/>
  <c r="G264" i="58"/>
  <c r="G264" i="37"/>
  <c r="G264" i="41" s="1"/>
  <c r="G248" i="58"/>
  <c r="G248" i="37"/>
  <c r="G248" i="41" s="1"/>
  <c r="G232" i="37"/>
  <c r="G232" i="41" s="1"/>
  <c r="G232" i="58"/>
  <c r="G212" i="37"/>
  <c r="G212" i="41" s="1"/>
  <c r="G212" i="58"/>
  <c r="G194" i="58"/>
  <c r="G194" i="37"/>
  <c r="G194" i="41" s="1"/>
  <c r="G178" i="58"/>
  <c r="G178" i="37"/>
  <c r="G178" i="41" s="1"/>
  <c r="G156" i="58"/>
  <c r="G156" i="37"/>
  <c r="G156" i="41" s="1"/>
  <c r="G128" i="58"/>
  <c r="G128" i="37"/>
  <c r="G128" i="41" s="1"/>
  <c r="E457" i="37"/>
  <c r="E457" i="41" s="1"/>
  <c r="E457" i="58"/>
  <c r="E440" i="58"/>
  <c r="E440" i="37"/>
  <c r="E440" i="41" s="1"/>
  <c r="E420" i="37"/>
  <c r="E420" i="41" s="1"/>
  <c r="E420" i="58"/>
  <c r="E403" i="58"/>
  <c r="E403" i="37"/>
  <c r="E403" i="41" s="1"/>
  <c r="E387" i="37"/>
  <c r="E387" i="41" s="1"/>
  <c r="E387" i="58"/>
  <c r="E371" i="37"/>
  <c r="E371" i="41" s="1"/>
  <c r="E371" i="58"/>
  <c r="E355" i="58"/>
  <c r="E355" i="37"/>
  <c r="E355" i="41" s="1"/>
  <c r="E339" i="58"/>
  <c r="E339" i="37"/>
  <c r="E339" i="41" s="1"/>
  <c r="E323" i="37"/>
  <c r="E323" i="41" s="1"/>
  <c r="E323" i="58"/>
  <c r="E307" i="58"/>
  <c r="E307" i="37"/>
  <c r="E307" i="41" s="1"/>
  <c r="E291" i="37"/>
  <c r="E291" i="41" s="1"/>
  <c r="E291" i="58"/>
  <c r="E283" i="58"/>
  <c r="E283" i="37"/>
  <c r="E283" i="41" s="1"/>
  <c r="E267" i="37"/>
  <c r="E267" i="41" s="1"/>
  <c r="E267" i="58"/>
  <c r="E251" i="37"/>
  <c r="E251" i="41" s="1"/>
  <c r="E251" i="58"/>
  <c r="E243" i="58"/>
  <c r="E243" i="37"/>
  <c r="E243" i="41" s="1"/>
  <c r="E235" i="58"/>
  <c r="E235" i="37"/>
  <c r="E235" i="41" s="1"/>
  <c r="E227" i="58"/>
  <c r="E227" i="37"/>
  <c r="E227" i="41" s="1"/>
  <c r="E216" i="58"/>
  <c r="E216" i="37"/>
  <c r="E216" i="41" s="1"/>
  <c r="E206" i="58"/>
  <c r="E206" i="37"/>
  <c r="E206" i="41" s="1"/>
  <c r="E189" i="37"/>
  <c r="E189" i="41" s="1"/>
  <c r="E189" i="58"/>
  <c r="E173" i="58"/>
  <c r="E173" i="37"/>
  <c r="E173" i="41" s="1"/>
  <c r="E157" i="37"/>
  <c r="E157" i="41" s="1"/>
  <c r="E157" i="58"/>
  <c r="E141" i="58"/>
  <c r="E141" i="37"/>
  <c r="E141" i="41" s="1"/>
  <c r="E133" i="58"/>
  <c r="E133" i="37"/>
  <c r="E133" i="41" s="1"/>
  <c r="E117" i="58"/>
  <c r="E117" i="37"/>
  <c r="E117" i="41" s="1"/>
  <c r="E101" i="37"/>
  <c r="E101" i="41" s="1"/>
  <c r="E101" i="58"/>
  <c r="E85" i="37"/>
  <c r="E85" i="41" s="1"/>
  <c r="E85" i="58"/>
  <c r="E7" i="37"/>
  <c r="E7" i="41" s="1"/>
  <c r="E7" i="58"/>
  <c r="G67" i="58"/>
  <c r="G67" i="37"/>
  <c r="G67" i="41" s="1"/>
  <c r="G59" i="37"/>
  <c r="G59" i="41" s="1"/>
  <c r="G59" i="58"/>
  <c r="G55" i="37"/>
  <c r="G55" i="41" s="1"/>
  <c r="G55" i="58"/>
  <c r="G47" i="58"/>
  <c r="G47" i="37"/>
  <c r="G47" i="41" s="1"/>
  <c r="G43" i="37"/>
  <c r="G43" i="41" s="1"/>
  <c r="G43" i="58"/>
  <c r="G39" i="37"/>
  <c r="G39" i="41" s="1"/>
  <c r="G39" i="58"/>
  <c r="G35" i="58"/>
  <c r="G35" i="37"/>
  <c r="G35" i="41" s="1"/>
  <c r="G27" i="37"/>
  <c r="G27" i="41" s="1"/>
  <c r="G27" i="58"/>
  <c r="G23" i="37"/>
  <c r="G23" i="41" s="1"/>
  <c r="G23" i="58"/>
  <c r="G19" i="58"/>
  <c r="G19" i="37"/>
  <c r="G19" i="41" s="1"/>
  <c r="G15" i="58"/>
  <c r="G15" i="37"/>
  <c r="G11" i="37"/>
  <c r="G11" i="58"/>
  <c r="E469" i="58"/>
  <c r="E469" i="37"/>
  <c r="E469" i="41" s="1"/>
  <c r="E449" i="37"/>
  <c r="E449" i="41" s="1"/>
  <c r="E449" i="58"/>
  <c r="G209" i="37"/>
  <c r="G209" i="41" s="1"/>
  <c r="G209" i="58"/>
  <c r="E221" i="58"/>
  <c r="E221" i="37"/>
  <c r="E221" i="41" s="1"/>
  <c r="I448" i="58"/>
  <c r="I448" i="37"/>
  <c r="J448" i="58"/>
  <c r="J448" i="37"/>
  <c r="J440" i="58"/>
  <c r="J440" i="37"/>
  <c r="E221" i="38"/>
  <c r="E266" i="38"/>
  <c r="H450" i="58"/>
  <c r="H450" i="37"/>
  <c r="E194" i="38"/>
  <c r="E239" i="38"/>
  <c r="G5" i="37"/>
  <c r="G5" i="41" s="1"/>
  <c r="G5" i="58"/>
  <c r="G77" i="58"/>
  <c r="G77" i="37"/>
  <c r="G77" i="41" s="1"/>
  <c r="G85" i="58"/>
  <c r="G85" i="37"/>
  <c r="G85" i="41" s="1"/>
  <c r="G93" i="58"/>
  <c r="G93" i="37"/>
  <c r="G93" i="41" s="1"/>
  <c r="G101" i="58"/>
  <c r="G101" i="37"/>
  <c r="G101" i="41" s="1"/>
  <c r="G109" i="37"/>
  <c r="G109" i="41" s="1"/>
  <c r="G109" i="58"/>
  <c r="G117" i="37"/>
  <c r="G117" i="41" s="1"/>
  <c r="G117" i="58"/>
  <c r="G141" i="37"/>
  <c r="G141" i="41" s="1"/>
  <c r="G141" i="58"/>
  <c r="G305" i="58"/>
  <c r="G305" i="37"/>
  <c r="G305" i="41" s="1"/>
  <c r="G337" i="58"/>
  <c r="G337" i="37"/>
  <c r="G337" i="41" s="1"/>
  <c r="G408" i="37"/>
  <c r="G408" i="41" s="1"/>
  <c r="G408" i="58"/>
  <c r="G416" i="37"/>
  <c r="G416" i="41" s="1"/>
  <c r="G416" i="58"/>
  <c r="G424" i="58"/>
  <c r="G424" i="37"/>
  <c r="G424" i="41" s="1"/>
  <c r="G434" i="58"/>
  <c r="G434" i="37"/>
  <c r="G434" i="41" s="1"/>
  <c r="G444" i="58"/>
  <c r="G444" i="37"/>
  <c r="G444" i="41" s="1"/>
  <c r="G453" i="58"/>
  <c r="G453" i="37"/>
  <c r="G453" i="41" s="1"/>
  <c r="G461" i="58"/>
  <c r="G461" i="37"/>
  <c r="G461" i="41" s="1"/>
  <c r="G395" i="58"/>
  <c r="G395" i="37"/>
  <c r="G395" i="41" s="1"/>
  <c r="G387" i="58"/>
  <c r="G387" i="37"/>
  <c r="G387" i="41" s="1"/>
  <c r="G379" i="37"/>
  <c r="G379" i="41" s="1"/>
  <c r="G379" i="58"/>
  <c r="G371" i="37"/>
  <c r="G371" i="41" s="1"/>
  <c r="G371" i="58"/>
  <c r="G363" i="37"/>
  <c r="G363" i="41" s="1"/>
  <c r="G363" i="58"/>
  <c r="G355" i="58"/>
  <c r="G355" i="37"/>
  <c r="G355" i="41" s="1"/>
  <c r="G347" i="37"/>
  <c r="G347" i="41" s="1"/>
  <c r="G347" i="58"/>
  <c r="G336" i="58"/>
  <c r="G336" i="37"/>
  <c r="G336" i="41" s="1"/>
  <c r="G326" i="37"/>
  <c r="G326" i="41" s="1"/>
  <c r="G326" i="58"/>
  <c r="G315" i="58"/>
  <c r="G315" i="37"/>
  <c r="G315" i="41" s="1"/>
  <c r="G304" i="37"/>
  <c r="G304" i="41" s="1"/>
  <c r="G304" i="58"/>
  <c r="G295" i="58"/>
  <c r="G295" i="37"/>
  <c r="G295" i="41" s="1"/>
  <c r="G287" i="58"/>
  <c r="G287" i="37"/>
  <c r="G287" i="41" s="1"/>
  <c r="G279" i="58"/>
  <c r="G279" i="37"/>
  <c r="G279" i="41" s="1"/>
  <c r="G271" i="58"/>
  <c r="G271" i="37"/>
  <c r="G271" i="41" s="1"/>
  <c r="G263" i="58"/>
  <c r="G263" i="37"/>
  <c r="G263" i="41" s="1"/>
  <c r="G255" i="58"/>
  <c r="G255" i="37"/>
  <c r="G255" i="41" s="1"/>
  <c r="G247" i="58"/>
  <c r="G247" i="37"/>
  <c r="G247" i="41" s="1"/>
  <c r="G239" i="58"/>
  <c r="G239" i="37"/>
  <c r="G239" i="41" s="1"/>
  <c r="G231" i="58"/>
  <c r="G231" i="37"/>
  <c r="G231" i="41" s="1"/>
  <c r="G222" i="37"/>
  <c r="G222" i="41" s="1"/>
  <c r="G222" i="58"/>
  <c r="G211" i="58"/>
  <c r="G211" i="37"/>
  <c r="G211" i="41" s="1"/>
  <c r="G201" i="37"/>
  <c r="G201" i="41" s="1"/>
  <c r="G201" i="58"/>
  <c r="G193" i="37"/>
  <c r="G193" i="41" s="1"/>
  <c r="G193" i="58"/>
  <c r="G185" i="37"/>
  <c r="G185" i="41" s="1"/>
  <c r="G185" i="58"/>
  <c r="G177" i="58"/>
  <c r="G177" i="37"/>
  <c r="G177" i="41" s="1"/>
  <c r="G169" i="58"/>
  <c r="G169" i="37"/>
  <c r="G169" i="41" s="1"/>
  <c r="G155" i="37"/>
  <c r="G155" i="41" s="1"/>
  <c r="G155" i="58"/>
  <c r="G147" i="37"/>
  <c r="G147" i="41" s="1"/>
  <c r="G147" i="58"/>
  <c r="G138" i="37"/>
  <c r="G138" i="41" s="1"/>
  <c r="G138" i="58"/>
  <c r="G127" i="58"/>
  <c r="G127" i="37"/>
  <c r="G127" i="41" s="1"/>
  <c r="E464" i="58"/>
  <c r="E464" i="37"/>
  <c r="E464" i="41" s="1"/>
  <c r="E456" i="58"/>
  <c r="E456" i="37"/>
  <c r="E456" i="41" s="1"/>
  <c r="E447" i="37"/>
  <c r="E447" i="41" s="1"/>
  <c r="E447" i="58"/>
  <c r="E438" i="58"/>
  <c r="E438" i="37"/>
  <c r="E438" i="41" s="1"/>
  <c r="E427" i="58"/>
  <c r="E427" i="37"/>
  <c r="E427" i="41" s="1"/>
  <c r="E419" i="37"/>
  <c r="E419" i="41" s="1"/>
  <c r="E419" i="58"/>
  <c r="E411" i="58"/>
  <c r="E411" i="37"/>
  <c r="E411" i="41" s="1"/>
  <c r="E402" i="37"/>
  <c r="E402" i="41" s="1"/>
  <c r="E402" i="58"/>
  <c r="E394" i="37"/>
  <c r="E394" i="41" s="1"/>
  <c r="E394" i="58"/>
  <c r="E386" i="58"/>
  <c r="E386" i="37"/>
  <c r="E386" i="41" s="1"/>
  <c r="E378" i="58"/>
  <c r="E378" i="37"/>
  <c r="E378" i="41" s="1"/>
  <c r="E370" i="37"/>
  <c r="E370" i="41" s="1"/>
  <c r="E370" i="58"/>
  <c r="E362" i="37"/>
  <c r="E362" i="41" s="1"/>
  <c r="E362" i="58"/>
  <c r="E354" i="58"/>
  <c r="E354" i="37"/>
  <c r="E354" i="41" s="1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37"/>
  <c r="E298" i="41" s="1"/>
  <c r="E298" i="58"/>
  <c r="E290" i="37"/>
  <c r="E290" i="41" s="1"/>
  <c r="E290" i="58"/>
  <c r="E282" i="37"/>
  <c r="E282" i="41" s="1"/>
  <c r="E282" i="58"/>
  <c r="E274" i="37"/>
  <c r="E274" i="41" s="1"/>
  <c r="E274" i="58"/>
  <c r="E266" i="37"/>
  <c r="E266" i="41" s="1"/>
  <c r="E266" i="58"/>
  <c r="E258" i="58"/>
  <c r="E258" i="37"/>
  <c r="E258" i="41" s="1"/>
  <c r="E250" i="58"/>
  <c r="E250" i="37"/>
  <c r="E250" i="41" s="1"/>
  <c r="E242" i="58"/>
  <c r="E242" i="37"/>
  <c r="E242" i="41" s="1"/>
  <c r="E234" i="37"/>
  <c r="E234" i="41" s="1"/>
  <c r="E234" i="58"/>
  <c r="E226" i="58"/>
  <c r="E226" i="37"/>
  <c r="E226" i="41" s="1"/>
  <c r="E215" i="37"/>
  <c r="E215" i="41" s="1"/>
  <c r="E215" i="58"/>
  <c r="E204" i="58"/>
  <c r="E204" i="37"/>
  <c r="E204" i="41" s="1"/>
  <c r="E196" i="58"/>
  <c r="E196" i="37"/>
  <c r="E196" i="41" s="1"/>
  <c r="E188" i="58"/>
  <c r="E188" i="37"/>
  <c r="E188" i="41" s="1"/>
  <c r="E180" i="37"/>
  <c r="E180" i="41" s="1"/>
  <c r="E180" i="58"/>
  <c r="E172" i="37"/>
  <c r="E172" i="41" s="1"/>
  <c r="E172" i="58"/>
  <c r="E164" i="58"/>
  <c r="E164" i="37"/>
  <c r="E164" i="41" s="1"/>
  <c r="E156" i="37"/>
  <c r="E156" i="41" s="1"/>
  <c r="E156" i="58"/>
  <c r="E148" i="37"/>
  <c r="E148" i="41" s="1"/>
  <c r="E148" i="58"/>
  <c r="E140" i="58"/>
  <c r="E140" i="37"/>
  <c r="E140" i="41" s="1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2" i="37"/>
  <c r="E92" i="41" s="1"/>
  <c r="E92" i="58"/>
  <c r="E84" i="58"/>
  <c r="E84" i="37"/>
  <c r="E84" i="41" s="1"/>
  <c r="E76" i="37"/>
  <c r="E76" i="41" s="1"/>
  <c r="E76" i="58"/>
  <c r="E5" i="37"/>
  <c r="E5" i="41" s="1"/>
  <c r="E5" i="58"/>
  <c r="E71" i="37"/>
  <c r="E71" i="41" s="1"/>
  <c r="E71" i="58"/>
  <c r="E67" i="37"/>
  <c r="E67" i="41" s="1"/>
  <c r="E67" i="58"/>
  <c r="E63" i="58"/>
  <c r="E63" i="37"/>
  <c r="E63" i="41" s="1"/>
  <c r="E59" i="58"/>
  <c r="E59" i="37"/>
  <c r="E59" i="41" s="1"/>
  <c r="E55" i="37"/>
  <c r="E55" i="41" s="1"/>
  <c r="E55" i="58"/>
  <c r="E51" i="37"/>
  <c r="E51" i="41" s="1"/>
  <c r="E51" i="58"/>
  <c r="E47" i="37"/>
  <c r="E47" i="41" s="1"/>
  <c r="E47" i="58"/>
  <c r="E43" i="37"/>
  <c r="E43" i="41" s="1"/>
  <c r="E43" i="58"/>
  <c r="E39" i="58"/>
  <c r="E39" i="37"/>
  <c r="E39" i="41" s="1"/>
  <c r="E35" i="37"/>
  <c r="E35" i="41" s="1"/>
  <c r="E35" i="58"/>
  <c r="E31" i="37"/>
  <c r="E31" i="41" s="1"/>
  <c r="E31" i="58"/>
  <c r="E27" i="37"/>
  <c r="E27" i="41" s="1"/>
  <c r="E27" i="58"/>
  <c r="E23" i="37"/>
  <c r="E23" i="41" s="1"/>
  <c r="E23" i="58"/>
  <c r="E19" i="58"/>
  <c r="E19" i="37"/>
  <c r="E19" i="41" s="1"/>
  <c r="E15" i="37"/>
  <c r="E15" i="41" s="1"/>
  <c r="E15" i="58"/>
  <c r="G430" i="58"/>
  <c r="G430" i="37"/>
  <c r="G430" i="41" s="1"/>
  <c r="G213" i="58"/>
  <c r="G213" i="37"/>
  <c r="G213" i="41" s="1"/>
  <c r="E209" i="58"/>
  <c r="E209" i="37"/>
  <c r="E209" i="41" s="1"/>
  <c r="I447" i="37"/>
  <c r="I447" i="58"/>
  <c r="J447" i="37"/>
  <c r="J447" i="58"/>
  <c r="J438" i="58"/>
  <c r="J438" i="37"/>
  <c r="E273" i="38"/>
  <c r="E228" i="38"/>
  <c r="E220" i="38"/>
  <c r="E265" i="38"/>
  <c r="E193" i="38"/>
  <c r="E238" i="38"/>
  <c r="H163" i="58"/>
  <c r="H163" i="37"/>
  <c r="J22" i="66"/>
  <c r="H445" i="37"/>
  <c r="G107" i="37"/>
  <c r="G107" i="41" s="1"/>
  <c r="G107" i="58"/>
  <c r="G167" i="58"/>
  <c r="G167" i="37"/>
  <c r="G167" i="41" s="1"/>
  <c r="G451" i="37"/>
  <c r="G451" i="41" s="1"/>
  <c r="G451" i="58"/>
  <c r="G381" i="58"/>
  <c r="G381" i="37"/>
  <c r="G381" i="41" s="1"/>
  <c r="G349" i="37"/>
  <c r="G349" i="41" s="1"/>
  <c r="G349" i="58"/>
  <c r="G297" i="37"/>
  <c r="G297" i="41" s="1"/>
  <c r="G297" i="58"/>
  <c r="G265" i="58"/>
  <c r="G265" i="37"/>
  <c r="G265" i="41" s="1"/>
  <c r="G233" i="37"/>
  <c r="G233" i="41" s="1"/>
  <c r="G233" i="58"/>
  <c r="G203" i="37"/>
  <c r="G203" i="41" s="1"/>
  <c r="G203" i="58"/>
  <c r="G171" i="58"/>
  <c r="G171" i="37"/>
  <c r="G171" i="41" s="1"/>
  <c r="G130" i="58"/>
  <c r="G130" i="37"/>
  <c r="G130" i="41" s="1"/>
  <c r="E431" i="58"/>
  <c r="E431" i="37"/>
  <c r="E431" i="41" s="1"/>
  <c r="E396" i="37"/>
  <c r="E396" i="41" s="1"/>
  <c r="E396" i="58"/>
  <c r="E380" i="58"/>
  <c r="E380" i="37"/>
  <c r="E380" i="41" s="1"/>
  <c r="E356" i="58"/>
  <c r="E356" i="37"/>
  <c r="E356" i="41" s="1"/>
  <c r="E316" i="37"/>
  <c r="E316" i="41" s="1"/>
  <c r="E316" i="58"/>
  <c r="E268" i="37"/>
  <c r="E268" i="41" s="1"/>
  <c r="E268" i="58"/>
  <c r="E252" i="37"/>
  <c r="E252" i="41" s="1"/>
  <c r="E252" i="58"/>
  <c r="E218" i="37"/>
  <c r="E218" i="41" s="1"/>
  <c r="E218" i="58"/>
  <c r="E182" i="58"/>
  <c r="E182" i="37"/>
  <c r="E182" i="41" s="1"/>
  <c r="E142" i="58"/>
  <c r="E142" i="37"/>
  <c r="E142" i="41" s="1"/>
  <c r="E102" i="58"/>
  <c r="E102" i="37"/>
  <c r="E102" i="41" s="1"/>
  <c r="E8" i="58"/>
  <c r="E8" i="37"/>
  <c r="E8" i="41" s="1"/>
  <c r="E60" i="37"/>
  <c r="E60" i="41" s="1"/>
  <c r="E60" i="58"/>
  <c r="E44" i="58"/>
  <c r="E44" i="37"/>
  <c r="E44" i="41" s="1"/>
  <c r="E36" i="58"/>
  <c r="E36" i="37"/>
  <c r="E36" i="41" s="1"/>
  <c r="E20" i="37"/>
  <c r="E20" i="41" s="1"/>
  <c r="E20" i="58"/>
  <c r="G472" i="58"/>
  <c r="G472" i="37"/>
  <c r="G472" i="41" s="1"/>
  <c r="E275" i="38"/>
  <c r="E230" i="38"/>
  <c r="H446" i="37"/>
  <c r="H446" i="58"/>
  <c r="E260" i="38"/>
  <c r="E215" i="38"/>
  <c r="I430" i="41"/>
  <c r="E203" i="38"/>
  <c r="E248" i="38"/>
  <c r="G4" i="37"/>
  <c r="G4" i="41" s="1"/>
  <c r="G4" i="58"/>
  <c r="G92" i="37"/>
  <c r="G92" i="41" s="1"/>
  <c r="G92" i="58"/>
  <c r="G137" i="37"/>
  <c r="G137" i="41" s="1"/>
  <c r="G137" i="58"/>
  <c r="G415" i="58"/>
  <c r="G415" i="37"/>
  <c r="G415" i="41" s="1"/>
  <c r="G452" i="58"/>
  <c r="G452" i="37"/>
  <c r="G452" i="41" s="1"/>
  <c r="G380" i="37"/>
  <c r="G380" i="41" s="1"/>
  <c r="G380" i="58"/>
  <c r="G78" i="58"/>
  <c r="G78" i="37"/>
  <c r="G78" i="41" s="1"/>
  <c r="G86" i="37"/>
  <c r="G86" i="41" s="1"/>
  <c r="G86" i="58"/>
  <c r="G102" i="58"/>
  <c r="G102" i="37"/>
  <c r="G102" i="41" s="1"/>
  <c r="G162" i="58"/>
  <c r="G162" i="37"/>
  <c r="G162" i="41" s="1"/>
  <c r="G341" i="37"/>
  <c r="G341" i="41" s="1"/>
  <c r="G341" i="58"/>
  <c r="G417" i="58"/>
  <c r="G417" i="37"/>
  <c r="G417" i="41" s="1"/>
  <c r="G435" i="58"/>
  <c r="G435" i="37"/>
  <c r="G435" i="41" s="1"/>
  <c r="G445" i="58"/>
  <c r="G445" i="37"/>
  <c r="G445" i="41" s="1"/>
  <c r="G462" i="37"/>
  <c r="G462" i="41" s="1"/>
  <c r="G462" i="58"/>
  <c r="G386" i="58"/>
  <c r="G386" i="37"/>
  <c r="G386" i="41" s="1"/>
  <c r="G370" i="58"/>
  <c r="G370" i="37"/>
  <c r="G370" i="41" s="1"/>
  <c r="G354" i="58"/>
  <c r="G354" i="37"/>
  <c r="G354" i="41" s="1"/>
  <c r="G335" i="37"/>
  <c r="G335" i="41" s="1"/>
  <c r="G335" i="58"/>
  <c r="G314" i="37"/>
  <c r="G314" i="41" s="1"/>
  <c r="G314" i="58"/>
  <c r="G294" i="37"/>
  <c r="G294" i="41" s="1"/>
  <c r="G294" i="58"/>
  <c r="G286" i="37"/>
  <c r="G286" i="41" s="1"/>
  <c r="G286" i="58"/>
  <c r="G278" i="58"/>
  <c r="G278" i="37"/>
  <c r="G278" i="41" s="1"/>
  <c r="G262" i="37"/>
  <c r="G262" i="41" s="1"/>
  <c r="G262" i="58"/>
  <c r="G246" i="58"/>
  <c r="G246" i="37"/>
  <c r="G246" i="41" s="1"/>
  <c r="G230" i="58"/>
  <c r="G230" i="37"/>
  <c r="G230" i="41" s="1"/>
  <c r="G220" i="37"/>
  <c r="G220" i="41" s="1"/>
  <c r="G220" i="58"/>
  <c r="G200" i="58"/>
  <c r="G200" i="37"/>
  <c r="G200" i="41" s="1"/>
  <c r="G184" i="58"/>
  <c r="G184" i="37"/>
  <c r="G184" i="41" s="1"/>
  <c r="G168" i="58"/>
  <c r="G168" i="37"/>
  <c r="G168" i="41" s="1"/>
  <c r="G136" i="58"/>
  <c r="G136" i="37"/>
  <c r="G136" i="41" s="1"/>
  <c r="E463" i="37"/>
  <c r="E463" i="41" s="1"/>
  <c r="E463" i="58"/>
  <c r="E446" i="37"/>
  <c r="E446" i="41" s="1"/>
  <c r="E446" i="58"/>
  <c r="E426" i="58"/>
  <c r="E426" i="37"/>
  <c r="E426" i="41" s="1"/>
  <c r="E410" i="37"/>
  <c r="E410" i="41" s="1"/>
  <c r="E410" i="58"/>
  <c r="E393" i="58"/>
  <c r="E393" i="37"/>
  <c r="E393" i="41" s="1"/>
  <c r="E377" i="37"/>
  <c r="E377" i="41" s="1"/>
  <c r="E377" i="58"/>
  <c r="E361" i="37"/>
  <c r="E361" i="41" s="1"/>
  <c r="E361" i="58"/>
  <c r="E337" i="37"/>
  <c r="E337" i="41" s="1"/>
  <c r="E337" i="58"/>
  <c r="E321" i="37"/>
  <c r="E321" i="41" s="1"/>
  <c r="E321" i="58"/>
  <c r="E305" i="58"/>
  <c r="E305" i="37"/>
  <c r="E305" i="41" s="1"/>
  <c r="E289" i="37"/>
  <c r="E289" i="41" s="1"/>
  <c r="E289" i="58"/>
  <c r="E273" i="58"/>
  <c r="E273" i="37"/>
  <c r="E273" i="41" s="1"/>
  <c r="E257" i="58"/>
  <c r="E257" i="37"/>
  <c r="E257" i="41" s="1"/>
  <c r="E241" i="58"/>
  <c r="E241" i="37"/>
  <c r="E241" i="41" s="1"/>
  <c r="E224" i="37"/>
  <c r="E224" i="41" s="1"/>
  <c r="E224" i="58"/>
  <c r="E203" i="37"/>
  <c r="E203" i="41" s="1"/>
  <c r="E203" i="58"/>
  <c r="E187" i="37"/>
  <c r="E187" i="41" s="1"/>
  <c r="E187" i="58"/>
  <c r="E171" i="37"/>
  <c r="E171" i="41" s="1"/>
  <c r="E171" i="58"/>
  <c r="E155" i="37"/>
  <c r="E155" i="41" s="1"/>
  <c r="E155" i="58"/>
  <c r="E139" i="58"/>
  <c r="E139" i="37"/>
  <c r="E139" i="41" s="1"/>
  <c r="E115" i="37"/>
  <c r="E115" i="41" s="1"/>
  <c r="E115" i="58"/>
  <c r="E99" i="58"/>
  <c r="E99" i="37"/>
  <c r="E99" i="41" s="1"/>
  <c r="E83" i="58"/>
  <c r="E83" i="37"/>
  <c r="E83" i="41" s="1"/>
  <c r="E4" i="37"/>
  <c r="E4" i="41" s="1"/>
  <c r="E4" i="58"/>
  <c r="G66" i="37"/>
  <c r="G66" i="41" s="1"/>
  <c r="G66" i="58"/>
  <c r="G58" i="37"/>
  <c r="G58" i="41" s="1"/>
  <c r="G58" i="58"/>
  <c r="G50" i="37"/>
  <c r="G50" i="41" s="1"/>
  <c r="G50" i="58"/>
  <c r="G42" i="58"/>
  <c r="G42" i="37"/>
  <c r="G42" i="41" s="1"/>
  <c r="G34" i="37"/>
  <c r="G34" i="41" s="1"/>
  <c r="G34" i="58"/>
  <c r="G26" i="37"/>
  <c r="G26" i="41" s="1"/>
  <c r="G26" i="58"/>
  <c r="G14" i="37"/>
  <c r="G14" i="41" s="1"/>
  <c r="G14" i="58"/>
  <c r="G217" i="58"/>
  <c r="G217" i="37"/>
  <c r="G217" i="41" s="1"/>
  <c r="I446" i="37"/>
  <c r="I446" i="58"/>
  <c r="J446" i="58"/>
  <c r="J446" i="37"/>
  <c r="E272" i="38"/>
  <c r="E227" i="38"/>
  <c r="E264" i="38"/>
  <c r="E219" i="38"/>
  <c r="E202" i="38"/>
  <c r="E247" i="38"/>
  <c r="E192" i="38"/>
  <c r="E237" i="38"/>
  <c r="E217" i="38"/>
  <c r="E262" i="38"/>
  <c r="E213" i="38"/>
  <c r="E258" i="38"/>
  <c r="E256" i="38"/>
  <c r="E211" i="38"/>
  <c r="H162" i="58"/>
  <c r="H162" i="37"/>
  <c r="G8" i="58"/>
  <c r="G8" i="37"/>
  <c r="G8" i="41" s="1"/>
  <c r="G79" i="37"/>
  <c r="G79" i="41" s="1"/>
  <c r="G79" i="58"/>
  <c r="G87" i="37"/>
  <c r="G87" i="41" s="1"/>
  <c r="G87" i="58"/>
  <c r="G95" i="58"/>
  <c r="G95" i="37"/>
  <c r="G95" i="41" s="1"/>
  <c r="G103" i="37"/>
  <c r="G103" i="41" s="1"/>
  <c r="G103" i="58"/>
  <c r="G111" i="37"/>
  <c r="G111" i="41" s="1"/>
  <c r="G111" i="58"/>
  <c r="G119" i="58"/>
  <c r="G119" i="37"/>
  <c r="G119" i="41" s="1"/>
  <c r="G163" i="37"/>
  <c r="G163" i="41" s="1"/>
  <c r="G163" i="58"/>
  <c r="G313" i="58"/>
  <c r="G313" i="37"/>
  <c r="G313" i="41" s="1"/>
  <c r="G345" i="58"/>
  <c r="G345" i="37"/>
  <c r="G345" i="41" s="1"/>
  <c r="G410" i="37"/>
  <c r="G410" i="41" s="1"/>
  <c r="G410" i="58"/>
  <c r="G418" i="37"/>
  <c r="G418" i="41" s="1"/>
  <c r="G418" i="58"/>
  <c r="G426" i="37"/>
  <c r="G426" i="41" s="1"/>
  <c r="G426" i="58"/>
  <c r="G436" i="37"/>
  <c r="G436" i="41" s="1"/>
  <c r="G436" i="58"/>
  <c r="G446" i="58"/>
  <c r="G446" i="37"/>
  <c r="G446" i="41" s="1"/>
  <c r="G455" i="58"/>
  <c r="G455" i="37"/>
  <c r="G455" i="41" s="1"/>
  <c r="G463" i="58"/>
  <c r="G463" i="37"/>
  <c r="G463" i="41" s="1"/>
  <c r="I8" i="58"/>
  <c r="I8" i="37"/>
  <c r="G401" i="37"/>
  <c r="G401" i="41" s="1"/>
  <c r="G401" i="58"/>
  <c r="G393" i="58"/>
  <c r="G393" i="37"/>
  <c r="G393" i="41" s="1"/>
  <c r="G385" i="37"/>
  <c r="G385" i="41" s="1"/>
  <c r="G385" i="58"/>
  <c r="G377" i="58"/>
  <c r="G377" i="37"/>
  <c r="G377" i="41" s="1"/>
  <c r="G369" i="58"/>
  <c r="G369" i="37"/>
  <c r="G369" i="41" s="1"/>
  <c r="G361" i="58"/>
  <c r="G361" i="37"/>
  <c r="G361" i="41" s="1"/>
  <c r="G353" i="37"/>
  <c r="G353" i="41" s="1"/>
  <c r="G353" i="58"/>
  <c r="G344" i="58"/>
  <c r="G344" i="37"/>
  <c r="G344" i="41" s="1"/>
  <c r="G334" i="37"/>
  <c r="G334" i="41" s="1"/>
  <c r="G334" i="58"/>
  <c r="G323" i="58"/>
  <c r="G323" i="37"/>
  <c r="G323" i="41" s="1"/>
  <c r="G312" i="58"/>
  <c r="G312" i="37"/>
  <c r="G312" i="41" s="1"/>
  <c r="G302" i="37"/>
  <c r="G302" i="41" s="1"/>
  <c r="G302" i="58"/>
  <c r="G293" i="37"/>
  <c r="G293" i="41" s="1"/>
  <c r="G293" i="58"/>
  <c r="G285" i="58"/>
  <c r="G285" i="37"/>
  <c r="G285" i="41" s="1"/>
  <c r="G277" i="58"/>
  <c r="G277" i="37"/>
  <c r="G277" i="41" s="1"/>
  <c r="G269" i="37"/>
  <c r="G269" i="41" s="1"/>
  <c r="G269" i="58"/>
  <c r="G261" i="58"/>
  <c r="G261" i="37"/>
  <c r="G261" i="41" s="1"/>
  <c r="G253" i="58"/>
  <c r="G253" i="37"/>
  <c r="G253" i="41" s="1"/>
  <c r="G245" i="37"/>
  <c r="G245" i="41" s="1"/>
  <c r="G245" i="58"/>
  <c r="G237" i="37"/>
  <c r="G237" i="41" s="1"/>
  <c r="G237" i="58"/>
  <c r="G229" i="37"/>
  <c r="G229" i="41" s="1"/>
  <c r="G229" i="58"/>
  <c r="G219" i="58"/>
  <c r="G219" i="37"/>
  <c r="G219" i="41" s="1"/>
  <c r="G208" i="37"/>
  <c r="G208" i="41" s="1"/>
  <c r="G208" i="58"/>
  <c r="G199" i="58"/>
  <c r="G199" i="37"/>
  <c r="G199" i="41" s="1"/>
  <c r="G191" i="37"/>
  <c r="G191" i="41" s="1"/>
  <c r="G191" i="58"/>
  <c r="G183" i="58"/>
  <c r="G183" i="37"/>
  <c r="G183" i="41" s="1"/>
  <c r="G175" i="58"/>
  <c r="G175" i="37"/>
  <c r="G175" i="41" s="1"/>
  <c r="G161" i="37"/>
  <c r="G161" i="41" s="1"/>
  <c r="G161" i="58"/>
  <c r="G153" i="37"/>
  <c r="G153" i="41" s="1"/>
  <c r="G153" i="58"/>
  <c r="G145" i="58"/>
  <c r="G145" i="37"/>
  <c r="G145" i="41" s="1"/>
  <c r="G135" i="58"/>
  <c r="G135" i="37"/>
  <c r="G135" i="41" s="1"/>
  <c r="G124" i="58"/>
  <c r="G124" i="37"/>
  <c r="G124" i="41" s="1"/>
  <c r="E462" i="58"/>
  <c r="E462" i="37"/>
  <c r="E462" i="41" s="1"/>
  <c r="E454" i="58"/>
  <c r="E454" i="37"/>
  <c r="E454" i="41" s="1"/>
  <c r="E445" i="37"/>
  <c r="E445" i="41" s="1"/>
  <c r="E445" i="58"/>
  <c r="E435" i="58"/>
  <c r="E435" i="37"/>
  <c r="E435" i="41" s="1"/>
  <c r="E425" i="58"/>
  <c r="E425" i="37"/>
  <c r="E425" i="41" s="1"/>
  <c r="E417" i="37"/>
  <c r="E417" i="41" s="1"/>
  <c r="E417" i="58"/>
  <c r="E409" i="37"/>
  <c r="E409" i="41" s="1"/>
  <c r="E409" i="58"/>
  <c r="E400" i="58"/>
  <c r="E400" i="37"/>
  <c r="E400" i="41" s="1"/>
  <c r="E392" i="58"/>
  <c r="E392" i="37"/>
  <c r="E392" i="41" s="1"/>
  <c r="E384" i="58"/>
  <c r="E384" i="37"/>
  <c r="E384" i="41" s="1"/>
  <c r="E376" i="58"/>
  <c r="E376" i="37"/>
  <c r="E376" i="41" s="1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58"/>
  <c r="E336" i="37"/>
  <c r="E336" i="41" s="1"/>
  <c r="E328" i="37"/>
  <c r="E328" i="41" s="1"/>
  <c r="E328" i="58"/>
  <c r="E320" i="37"/>
  <c r="E320" i="41" s="1"/>
  <c r="E320" i="58"/>
  <c r="E312" i="37"/>
  <c r="E312" i="41" s="1"/>
  <c r="E312" i="58"/>
  <c r="E304" i="58"/>
  <c r="E304" i="37"/>
  <c r="E304" i="41" s="1"/>
  <c r="E296" i="58"/>
  <c r="E296" i="37"/>
  <c r="E296" i="41" s="1"/>
  <c r="E288" i="58"/>
  <c r="E288" i="37"/>
  <c r="E288" i="41" s="1"/>
  <c r="E280" i="37"/>
  <c r="E280" i="41" s="1"/>
  <c r="E280" i="58"/>
  <c r="E272" i="37"/>
  <c r="E272" i="41" s="1"/>
  <c r="E272" i="58"/>
  <c r="E264" i="37"/>
  <c r="E264" i="41" s="1"/>
  <c r="E264" i="58"/>
  <c r="E256" i="37"/>
  <c r="E256" i="41" s="1"/>
  <c r="E256" i="58"/>
  <c r="E248" i="58"/>
  <c r="E248" i="37"/>
  <c r="E248" i="41" s="1"/>
  <c r="E240" i="37"/>
  <c r="E240" i="41" s="1"/>
  <c r="E240" i="58"/>
  <c r="E232" i="58"/>
  <c r="E232" i="37"/>
  <c r="E232" i="41" s="1"/>
  <c r="E223" i="58"/>
  <c r="E223" i="37"/>
  <c r="E223" i="41" s="1"/>
  <c r="E212" i="58"/>
  <c r="E212" i="37"/>
  <c r="E212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37"/>
  <c r="E154" i="41" s="1"/>
  <c r="E154" i="58"/>
  <c r="E146" i="58"/>
  <c r="E146" i="37"/>
  <c r="E146" i="41" s="1"/>
  <c r="E138" i="58"/>
  <c r="E138" i="37"/>
  <c r="E138" i="41" s="1"/>
  <c r="E130" i="37"/>
  <c r="E130" i="41" s="1"/>
  <c r="E130" i="58"/>
  <c r="E122" i="37"/>
  <c r="E122" i="41" s="1"/>
  <c r="E122" i="58"/>
  <c r="E114" i="58"/>
  <c r="E114" i="37"/>
  <c r="E114" i="41" s="1"/>
  <c r="E106" i="58"/>
  <c r="E106" i="37"/>
  <c r="E106" i="41" s="1"/>
  <c r="E98" i="37"/>
  <c r="E98" i="41" s="1"/>
  <c r="E98" i="58"/>
  <c r="E90" i="58"/>
  <c r="E90" i="37"/>
  <c r="E90" i="41" s="1"/>
  <c r="E82" i="58"/>
  <c r="E82" i="37"/>
  <c r="E82" i="41" s="1"/>
  <c r="E74" i="58"/>
  <c r="E74" i="37"/>
  <c r="E74" i="41" s="1"/>
  <c r="E3" i="58"/>
  <c r="E3" i="37"/>
  <c r="E3" i="41" s="1"/>
  <c r="E70" i="37"/>
  <c r="E70" i="41" s="1"/>
  <c r="E70" i="58"/>
  <c r="E66" i="58"/>
  <c r="E66" i="37"/>
  <c r="E66" i="41" s="1"/>
  <c r="E62" i="58"/>
  <c r="E62" i="37"/>
  <c r="E62" i="41" s="1"/>
  <c r="E58" i="58"/>
  <c r="E58" i="37"/>
  <c r="E58" i="41" s="1"/>
  <c r="E54" i="58"/>
  <c r="E54" i="37"/>
  <c r="E54" i="41" s="1"/>
  <c r="E50" i="37"/>
  <c r="E50" i="41" s="1"/>
  <c r="E50" i="58"/>
  <c r="E46" i="37"/>
  <c r="E46" i="41" s="1"/>
  <c r="E46" i="58"/>
  <c r="E42" i="58"/>
  <c r="E42" i="37"/>
  <c r="E42" i="41" s="1"/>
  <c r="E38" i="37"/>
  <c r="E38" i="41" s="1"/>
  <c r="E38" i="58"/>
  <c r="E34" i="37"/>
  <c r="E34" i="41" s="1"/>
  <c r="E34" i="58"/>
  <c r="E30" i="58"/>
  <c r="E30" i="37"/>
  <c r="E30" i="41" s="1"/>
  <c r="E26" i="58"/>
  <c r="E26" i="37"/>
  <c r="E26" i="41" s="1"/>
  <c r="E22" i="37"/>
  <c r="E22" i="41" s="1"/>
  <c r="E22" i="58"/>
  <c r="E18" i="58"/>
  <c r="E18" i="37"/>
  <c r="E18" i="41" s="1"/>
  <c r="E14" i="37"/>
  <c r="E14" i="41" s="1"/>
  <c r="E14" i="58"/>
  <c r="E468" i="58"/>
  <c r="E468" i="37"/>
  <c r="E468" i="41" s="1"/>
  <c r="G429" i="58"/>
  <c r="G429" i="37"/>
  <c r="G429" i="41" s="1"/>
  <c r="G221" i="37"/>
  <c r="G221" i="41" s="1"/>
  <c r="G221" i="58"/>
  <c r="E471" i="58"/>
  <c r="E471" i="37"/>
  <c r="E471" i="41" s="1"/>
  <c r="I445" i="37"/>
  <c r="I445" i="58"/>
  <c r="J445" i="37"/>
  <c r="J445" i="58"/>
  <c r="E271" i="38"/>
  <c r="E226" i="38"/>
  <c r="E218" i="38"/>
  <c r="E263" i="38"/>
  <c r="H441" i="37"/>
  <c r="H441" i="58"/>
  <c r="E201" i="38"/>
  <c r="E246" i="38"/>
  <c r="E191" i="38"/>
  <c r="E236" i="38"/>
  <c r="E204" i="38"/>
  <c r="E249" i="38"/>
  <c r="E199" i="38"/>
  <c r="E244" i="38"/>
  <c r="G75" i="58"/>
  <c r="G75" i="37"/>
  <c r="G75" i="41" s="1"/>
  <c r="G405" i="37"/>
  <c r="G405" i="41" s="1"/>
  <c r="G405" i="58"/>
  <c r="G397" i="58"/>
  <c r="G397" i="37"/>
  <c r="G397" i="41" s="1"/>
  <c r="G273" i="58"/>
  <c r="G273" i="37"/>
  <c r="G273" i="41" s="1"/>
  <c r="G241" i="58"/>
  <c r="G241" i="37"/>
  <c r="G241" i="41" s="1"/>
  <c r="G195" i="58"/>
  <c r="G195" i="37"/>
  <c r="G195" i="41" s="1"/>
  <c r="G157" i="58"/>
  <c r="G157" i="37"/>
  <c r="G157" i="41" s="1"/>
  <c r="E458" i="58"/>
  <c r="E458" i="37"/>
  <c r="E458" i="41" s="1"/>
  <c r="E404" i="37"/>
  <c r="E404" i="41" s="1"/>
  <c r="E404" i="58"/>
  <c r="E364" i="58"/>
  <c r="E364" i="37"/>
  <c r="E364" i="41" s="1"/>
  <c r="E340" i="58"/>
  <c r="E340" i="37"/>
  <c r="E340" i="41" s="1"/>
  <c r="E324" i="58"/>
  <c r="E324" i="37"/>
  <c r="E324" i="41" s="1"/>
  <c r="E276" i="37"/>
  <c r="E276" i="41" s="1"/>
  <c r="E276" i="58"/>
  <c r="E236" i="37"/>
  <c r="E236" i="41" s="1"/>
  <c r="E236" i="58"/>
  <c r="E207" i="37"/>
  <c r="E207" i="41" s="1"/>
  <c r="E207" i="58"/>
  <c r="E174" i="58"/>
  <c r="E174" i="37"/>
  <c r="E174" i="41" s="1"/>
  <c r="E150" i="37"/>
  <c r="E150" i="41" s="1"/>
  <c r="E150" i="58"/>
  <c r="E110" i="58"/>
  <c r="E110" i="37"/>
  <c r="E110" i="41" s="1"/>
  <c r="E94" i="37"/>
  <c r="E94" i="41" s="1"/>
  <c r="E94" i="58"/>
  <c r="E72" i="58"/>
  <c r="E72" i="37"/>
  <c r="E72" i="41" s="1"/>
  <c r="E56" i="37"/>
  <c r="E56" i="41" s="1"/>
  <c r="E56" i="58"/>
  <c r="E28" i="37"/>
  <c r="E28" i="41" s="1"/>
  <c r="E28" i="58"/>
  <c r="E12" i="37"/>
  <c r="E12" i="41" s="1"/>
  <c r="E12" i="58"/>
  <c r="G449" i="58"/>
  <c r="G449" i="37"/>
  <c r="G449" i="41" s="1"/>
  <c r="I163" i="58"/>
  <c r="I163" i="37"/>
  <c r="G76" i="37"/>
  <c r="G76" i="41" s="1"/>
  <c r="G76" i="58"/>
  <c r="G108" i="58"/>
  <c r="G108" i="37"/>
  <c r="G108" i="41" s="1"/>
  <c r="G333" i="58"/>
  <c r="G333" i="37"/>
  <c r="G333" i="41" s="1"/>
  <c r="G423" i="37"/>
  <c r="G423" i="41" s="1"/>
  <c r="G423" i="58"/>
  <c r="G460" i="37"/>
  <c r="G460" i="41" s="1"/>
  <c r="G460" i="58"/>
  <c r="G364" i="37"/>
  <c r="G364" i="41" s="1"/>
  <c r="G364" i="58"/>
  <c r="G7" i="58"/>
  <c r="G7" i="37"/>
  <c r="G7" i="41" s="1"/>
  <c r="G94" i="37"/>
  <c r="G94" i="41" s="1"/>
  <c r="G94" i="58"/>
  <c r="G110" i="37"/>
  <c r="G110" i="41" s="1"/>
  <c r="G110" i="58"/>
  <c r="G118" i="58"/>
  <c r="G118" i="37"/>
  <c r="G118" i="41" s="1"/>
  <c r="G309" i="58"/>
  <c r="G309" i="37"/>
  <c r="G309" i="41" s="1"/>
  <c r="G409" i="37"/>
  <c r="G409" i="41" s="1"/>
  <c r="G409" i="58"/>
  <c r="G425" i="37"/>
  <c r="G425" i="41" s="1"/>
  <c r="G425" i="58"/>
  <c r="G454" i="58"/>
  <c r="G454" i="37"/>
  <c r="G454" i="41" s="1"/>
  <c r="G394" i="37"/>
  <c r="G394" i="41" s="1"/>
  <c r="G394" i="58"/>
  <c r="G378" i="58"/>
  <c r="G378" i="37"/>
  <c r="G378" i="41" s="1"/>
  <c r="G362" i="37"/>
  <c r="G362" i="41" s="1"/>
  <c r="G362" i="58"/>
  <c r="G346" i="37"/>
  <c r="G346" i="41" s="1"/>
  <c r="G346" i="58"/>
  <c r="G324" i="58"/>
  <c r="G324" i="37"/>
  <c r="G324" i="41" s="1"/>
  <c r="G303" i="37"/>
  <c r="G303" i="41" s="1"/>
  <c r="G303" i="58"/>
  <c r="G270" i="58"/>
  <c r="G270" i="37"/>
  <c r="G270" i="41" s="1"/>
  <c r="G254" i="37"/>
  <c r="G254" i="41" s="1"/>
  <c r="G254" i="58"/>
  <c r="G238" i="58"/>
  <c r="G238" i="37"/>
  <c r="G238" i="41" s="1"/>
  <c r="G210" i="58"/>
  <c r="G210" i="37"/>
  <c r="G210" i="41" s="1"/>
  <c r="G192" i="37"/>
  <c r="G192" i="41" s="1"/>
  <c r="G192" i="58"/>
  <c r="G176" i="58"/>
  <c r="G176" i="37"/>
  <c r="G176" i="41" s="1"/>
  <c r="G154" i="58"/>
  <c r="G154" i="37"/>
  <c r="G154" i="41" s="1"/>
  <c r="G146" i="37"/>
  <c r="G146" i="41" s="1"/>
  <c r="G146" i="58"/>
  <c r="G126" i="37"/>
  <c r="G126" i="41" s="1"/>
  <c r="G126" i="58"/>
  <c r="E455" i="37"/>
  <c r="E455" i="41" s="1"/>
  <c r="E455" i="58"/>
  <c r="E436" i="37"/>
  <c r="E436" i="41" s="1"/>
  <c r="E436" i="58"/>
  <c r="E418" i="37"/>
  <c r="E418" i="41" s="1"/>
  <c r="E418" i="58"/>
  <c r="E401" i="37"/>
  <c r="E401" i="41" s="1"/>
  <c r="E401" i="58"/>
  <c r="E385" i="58"/>
  <c r="E385" i="37"/>
  <c r="E385" i="41" s="1"/>
  <c r="E369" i="58"/>
  <c r="E369" i="37"/>
  <c r="E369" i="41" s="1"/>
  <c r="E353" i="37"/>
  <c r="E353" i="41" s="1"/>
  <c r="E353" i="58"/>
  <c r="E345" i="37"/>
  <c r="E345" i="41" s="1"/>
  <c r="E345" i="58"/>
  <c r="E329" i="58"/>
  <c r="E329" i="37"/>
  <c r="E329" i="41" s="1"/>
  <c r="E313" i="37"/>
  <c r="E313" i="41" s="1"/>
  <c r="E313" i="58"/>
  <c r="E297" i="58"/>
  <c r="E297" i="37"/>
  <c r="E297" i="41" s="1"/>
  <c r="E281" i="37"/>
  <c r="E281" i="41" s="1"/>
  <c r="E281" i="58"/>
  <c r="E265" i="37"/>
  <c r="E265" i="41" s="1"/>
  <c r="E265" i="58"/>
  <c r="E249" i="37"/>
  <c r="E249" i="41" s="1"/>
  <c r="E249" i="58"/>
  <c r="E233" i="37"/>
  <c r="E233" i="41" s="1"/>
  <c r="E233" i="58"/>
  <c r="E214" i="58"/>
  <c r="E214" i="37"/>
  <c r="E214" i="41" s="1"/>
  <c r="E195" i="58"/>
  <c r="E195" i="37"/>
  <c r="E195" i="41" s="1"/>
  <c r="E179" i="58"/>
  <c r="E179" i="37"/>
  <c r="E179" i="41" s="1"/>
  <c r="E163" i="58"/>
  <c r="E163" i="37"/>
  <c r="E163" i="41" s="1"/>
  <c r="E147" i="37"/>
  <c r="E147" i="41" s="1"/>
  <c r="E147" i="58"/>
  <c r="E131" i="58"/>
  <c r="E131" i="37"/>
  <c r="E131" i="41" s="1"/>
  <c r="E123" i="58"/>
  <c r="E123" i="37"/>
  <c r="E123" i="41" s="1"/>
  <c r="E107" i="37"/>
  <c r="E107" i="41" s="1"/>
  <c r="E107" i="58"/>
  <c r="E91" i="58"/>
  <c r="E91" i="37"/>
  <c r="E91" i="41" s="1"/>
  <c r="E75" i="58"/>
  <c r="E75" i="37"/>
  <c r="E75" i="41" s="1"/>
  <c r="G70" i="58"/>
  <c r="G70" i="37"/>
  <c r="G62" i="58"/>
  <c r="G62" i="37"/>
  <c r="G62" i="41" s="1"/>
  <c r="G54" i="58"/>
  <c r="G54" i="37"/>
  <c r="G54" i="41" s="1"/>
  <c r="G46" i="37"/>
  <c r="G46" i="58"/>
  <c r="G38" i="58"/>
  <c r="G38" i="37"/>
  <c r="G38" i="41" s="1"/>
  <c r="G30" i="58"/>
  <c r="G30" i="37"/>
  <c r="G30" i="41" s="1"/>
  <c r="G22" i="37"/>
  <c r="G22" i="41" s="1"/>
  <c r="G22" i="58"/>
  <c r="G18" i="37"/>
  <c r="G18" i="41" s="1"/>
  <c r="G18" i="58"/>
  <c r="E430" i="37"/>
  <c r="E430" i="41" s="1"/>
  <c r="E430" i="58"/>
  <c r="E205" i="37"/>
  <c r="E205" i="41" s="1"/>
  <c r="E205" i="58"/>
  <c r="J436" i="58"/>
  <c r="J436" i="37"/>
  <c r="G9" i="37"/>
  <c r="G9" i="41" s="1"/>
  <c r="G9" i="58"/>
  <c r="G80" i="58"/>
  <c r="G80" i="37"/>
  <c r="G80" i="41" s="1"/>
  <c r="G88" i="58"/>
  <c r="G88" i="37"/>
  <c r="G88" i="41" s="1"/>
  <c r="G96" i="37"/>
  <c r="G96" i="41" s="1"/>
  <c r="G96" i="58"/>
  <c r="G104" i="58"/>
  <c r="G104" i="37"/>
  <c r="G104" i="41" s="1"/>
  <c r="G112" i="58"/>
  <c r="G112" i="37"/>
  <c r="G112" i="41" s="1"/>
  <c r="G121" i="58"/>
  <c r="G121" i="37"/>
  <c r="G121" i="41" s="1"/>
  <c r="G164" i="37"/>
  <c r="G164" i="41" s="1"/>
  <c r="G164" i="58"/>
  <c r="G317" i="37"/>
  <c r="G317" i="41" s="1"/>
  <c r="G317" i="58"/>
  <c r="G402" i="37"/>
  <c r="G402" i="41" s="1"/>
  <c r="G402" i="58"/>
  <c r="G411" i="37"/>
  <c r="G411" i="41" s="1"/>
  <c r="G411" i="58"/>
  <c r="G419" i="58"/>
  <c r="G419" i="37"/>
  <c r="G419" i="41" s="1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73" i="41" s="1"/>
  <c r="G69" i="37"/>
  <c r="G69" i="41" s="1"/>
  <c r="G69" i="58"/>
  <c r="G65" i="58"/>
  <c r="G65" i="37"/>
  <c r="G65" i="41" s="1"/>
  <c r="G61" i="37"/>
  <c r="G61" i="41" s="1"/>
  <c r="G61" i="58"/>
  <c r="G57" i="58"/>
  <c r="G57" i="37"/>
  <c r="G53" i="37"/>
  <c r="G53" i="41" s="1"/>
  <c r="G53" i="58"/>
  <c r="G49" i="37"/>
  <c r="G49" i="41" s="1"/>
  <c r="G49" i="58"/>
  <c r="G45" i="58"/>
  <c r="G45" i="37"/>
  <c r="G45" i="41" s="1"/>
  <c r="G41" i="37"/>
  <c r="G41" i="41" s="1"/>
  <c r="G41" i="58"/>
  <c r="G37" i="37"/>
  <c r="G37" i="41" s="1"/>
  <c r="G37" i="58"/>
  <c r="G33" i="37"/>
  <c r="G33" i="41" s="1"/>
  <c r="G33" i="58"/>
  <c r="G29" i="58"/>
  <c r="G29" i="37"/>
  <c r="G29" i="41" s="1"/>
  <c r="G25" i="58"/>
  <c r="G25" i="37"/>
  <c r="G25" i="41" s="1"/>
  <c r="G21" i="58"/>
  <c r="G21" i="37"/>
  <c r="G21" i="41" s="1"/>
  <c r="G17" i="37"/>
  <c r="G17" i="41" s="1"/>
  <c r="G17" i="58"/>
  <c r="G13" i="58"/>
  <c r="G13" i="37"/>
  <c r="G468" i="37"/>
  <c r="G468" i="41" s="1"/>
  <c r="G468" i="58"/>
  <c r="E429" i="37"/>
  <c r="E429" i="41" s="1"/>
  <c r="E429" i="58"/>
  <c r="G225" i="58"/>
  <c r="G225" i="37"/>
  <c r="G225" i="41" s="1"/>
  <c r="G471" i="37"/>
  <c r="G471" i="41" s="1"/>
  <c r="G471" i="58"/>
  <c r="H8" i="37"/>
  <c r="H8" i="58"/>
  <c r="E225" i="38"/>
  <c r="E270" i="38"/>
  <c r="H440" i="37"/>
  <c r="H440" i="58"/>
  <c r="E198" i="38"/>
  <c r="E243" i="38"/>
  <c r="E190" i="38"/>
  <c r="E235" i="38"/>
  <c r="I441" i="37"/>
  <c r="I441" i="58"/>
  <c r="E208" i="38"/>
  <c r="E253" i="38"/>
  <c r="E251" i="38"/>
  <c r="E206" i="38"/>
  <c r="H440" i="41" l="1"/>
  <c r="J446" i="41"/>
  <c r="J436" i="41"/>
  <c r="J445" i="41"/>
  <c r="H436" i="41"/>
  <c r="I440" i="41"/>
  <c r="H448" i="41"/>
  <c r="I451" i="41"/>
  <c r="I163" i="41"/>
  <c r="J440" i="41"/>
  <c r="H163" i="41"/>
  <c r="J448" i="41"/>
  <c r="I450" i="41"/>
  <c r="I445" i="41"/>
  <c r="G77" i="66"/>
  <c r="I423" i="37"/>
  <c r="G285" i="66"/>
  <c r="G264" i="66"/>
  <c r="J420" i="58"/>
  <c r="H429" i="37"/>
  <c r="G10" i="66"/>
  <c r="H441" i="41"/>
  <c r="G41" i="66"/>
  <c r="H422" i="37"/>
  <c r="I418" i="37"/>
  <c r="G73" i="66"/>
  <c r="G141" i="66"/>
  <c r="G120" i="66"/>
  <c r="J420" i="37"/>
  <c r="I447" i="41"/>
  <c r="G39" i="66"/>
  <c r="H424" i="37"/>
  <c r="G87" i="66"/>
  <c r="I424" i="37"/>
  <c r="H451" i="41"/>
  <c r="H12" i="58"/>
  <c r="J12" i="58"/>
  <c r="I12" i="58"/>
  <c r="G19" i="66"/>
  <c r="H419" i="37"/>
  <c r="G107" i="66"/>
  <c r="G135" i="66"/>
  <c r="J424" i="37"/>
  <c r="I395" i="37"/>
  <c r="I395" i="58"/>
  <c r="J141" i="37"/>
  <c r="J141" i="58"/>
  <c r="J430" i="58"/>
  <c r="G257" i="66"/>
  <c r="E391" i="38"/>
  <c r="G203" i="66"/>
  <c r="G231" i="66"/>
  <c r="I424" i="58"/>
  <c r="G163" i="66"/>
  <c r="H419" i="58"/>
  <c r="H251" i="37"/>
  <c r="H251" i="58"/>
  <c r="G46" i="41"/>
  <c r="J181" i="58"/>
  <c r="J181" i="37"/>
  <c r="H175" i="58"/>
  <c r="H175" i="37"/>
  <c r="J276" i="37"/>
  <c r="J276" i="58"/>
  <c r="H152" i="58"/>
  <c r="H152" i="37"/>
  <c r="I441" i="41"/>
  <c r="G105" i="66"/>
  <c r="G143" i="66"/>
  <c r="J425" i="37"/>
  <c r="I419" i="58"/>
  <c r="G211" i="66"/>
  <c r="G265" i="66"/>
  <c r="J418" i="58"/>
  <c r="G79" i="66"/>
  <c r="I426" i="37"/>
  <c r="G165" i="66"/>
  <c r="N165" i="66" s="1"/>
  <c r="H432" i="58"/>
  <c r="N22" i="66"/>
  <c r="R22" i="66"/>
  <c r="P22" i="66"/>
  <c r="V22" i="66" s="1"/>
  <c r="S22" i="66"/>
  <c r="W22" i="66"/>
  <c r="G101" i="66"/>
  <c r="J428" i="37"/>
  <c r="G124" i="66"/>
  <c r="N124" i="66" s="1"/>
  <c r="H450" i="41"/>
  <c r="I448" i="41"/>
  <c r="G153" i="66"/>
  <c r="N153" i="66" s="1"/>
  <c r="G191" i="66"/>
  <c r="N191" i="66" s="1"/>
  <c r="H425" i="58"/>
  <c r="I438" i="41"/>
  <c r="H447" i="41"/>
  <c r="G12" i="41"/>
  <c r="J12" i="37"/>
  <c r="I12" i="37"/>
  <c r="H12" i="37"/>
  <c r="G95" i="66"/>
  <c r="I425" i="37"/>
  <c r="G160" i="66"/>
  <c r="H427" i="58"/>
  <c r="J432" i="37"/>
  <c r="G117" i="66"/>
  <c r="N117" i="66" s="1"/>
  <c r="I453" i="41"/>
  <c r="E356" i="38"/>
  <c r="K93" i="66" s="1"/>
  <c r="N93" i="66" s="1"/>
  <c r="G155" i="66"/>
  <c r="N155" i="66" s="1"/>
  <c r="G183" i="66"/>
  <c r="H424" i="58"/>
  <c r="G208" i="66"/>
  <c r="I427" i="58"/>
  <c r="G251" i="66"/>
  <c r="J424" i="58"/>
  <c r="G279" i="66"/>
  <c r="J208" i="58"/>
  <c r="J208" i="37"/>
  <c r="J341" i="58"/>
  <c r="J341" i="37"/>
  <c r="I235" i="58"/>
  <c r="I235" i="37"/>
  <c r="G249" i="66"/>
  <c r="J425" i="58"/>
  <c r="G287" i="66"/>
  <c r="N287" i="66" s="1"/>
  <c r="I157" i="37"/>
  <c r="I157" i="58"/>
  <c r="I283" i="58"/>
  <c r="I283" i="37"/>
  <c r="I213" i="58"/>
  <c r="I213" i="37"/>
  <c r="I313" i="58"/>
  <c r="I313" i="37"/>
  <c r="I379" i="58"/>
  <c r="I379" i="37"/>
  <c r="E229" i="38"/>
  <c r="E18" i="34"/>
  <c r="E274" i="38"/>
  <c r="I361" i="58"/>
  <c r="I361" i="37"/>
  <c r="I162" i="58"/>
  <c r="I162" i="37"/>
  <c r="H404" i="37"/>
  <c r="H404" i="58"/>
  <c r="F174" i="66" s="1"/>
  <c r="N174" i="66" s="1"/>
  <c r="J456" i="37"/>
  <c r="J455" i="58"/>
  <c r="E382" i="38" s="1"/>
  <c r="K251" i="66" s="1"/>
  <c r="J453" i="37"/>
  <c r="J453" i="58"/>
  <c r="E380" i="38" s="1"/>
  <c r="K285" i="66" s="1"/>
  <c r="J454" i="58"/>
  <c r="E381" i="38" s="1"/>
  <c r="K267" i="66" s="1"/>
  <c r="J454" i="37"/>
  <c r="J456" i="58"/>
  <c r="E383" i="38" s="1"/>
  <c r="K249" i="66" s="1"/>
  <c r="J455" i="37"/>
  <c r="G189" i="66"/>
  <c r="N189" i="66" s="1"/>
  <c r="G168" i="66"/>
  <c r="H420" i="58"/>
  <c r="C34" i="63"/>
  <c r="G67" i="66"/>
  <c r="I419" i="37"/>
  <c r="J418" i="37"/>
  <c r="G121" i="66"/>
  <c r="C16" i="63"/>
  <c r="I8" i="41"/>
  <c r="H162" i="41"/>
  <c r="I426" i="58"/>
  <c r="G223" i="66"/>
  <c r="N223" i="66" s="1"/>
  <c r="G21" i="66"/>
  <c r="N21" i="66" s="1"/>
  <c r="H432" i="37"/>
  <c r="I446" i="41"/>
  <c r="E387" i="38"/>
  <c r="G65" i="66"/>
  <c r="I430" i="37"/>
  <c r="G245" i="66"/>
  <c r="J428" i="58"/>
  <c r="G268" i="66"/>
  <c r="N268" i="66" s="1"/>
  <c r="G47" i="66"/>
  <c r="N47" i="66" s="1"/>
  <c r="H425" i="37"/>
  <c r="G169" i="66"/>
  <c r="H418" i="58"/>
  <c r="J423" i="58"/>
  <c r="G269" i="66"/>
  <c r="G201" i="66"/>
  <c r="I425" i="58"/>
  <c r="G239" i="66"/>
  <c r="N239" i="66" s="1"/>
  <c r="G16" i="66"/>
  <c r="H427" i="37"/>
  <c r="G261" i="66"/>
  <c r="N261" i="66" s="1"/>
  <c r="J432" i="58"/>
  <c r="I456" i="41"/>
  <c r="E359" i="38"/>
  <c r="K57" i="66" s="1"/>
  <c r="N57" i="66" s="1"/>
  <c r="I13" i="58"/>
  <c r="J13" i="58"/>
  <c r="H13" i="58"/>
  <c r="G171" i="66"/>
  <c r="N171" i="66" s="1"/>
  <c r="G185" i="66"/>
  <c r="H422" i="58"/>
  <c r="H420" i="37"/>
  <c r="G24" i="66"/>
  <c r="H8" i="41"/>
  <c r="C7" i="63"/>
  <c r="H421" i="58"/>
  <c r="G148" i="66"/>
  <c r="G127" i="66"/>
  <c r="J426" i="37"/>
  <c r="C43" i="63"/>
  <c r="G197" i="66"/>
  <c r="G220" i="66"/>
  <c r="N220" i="66" s="1"/>
  <c r="I428" i="58"/>
  <c r="J419" i="37"/>
  <c r="G115" i="66"/>
  <c r="I430" i="58"/>
  <c r="E390" i="38"/>
  <c r="G209" i="66"/>
  <c r="J438" i="41"/>
  <c r="J421" i="58"/>
  <c r="G244" i="66"/>
  <c r="J11" i="58"/>
  <c r="H11" i="58"/>
  <c r="I11" i="58"/>
  <c r="G123" i="66"/>
  <c r="J422" i="37"/>
  <c r="G137" i="66"/>
  <c r="G72" i="66"/>
  <c r="I420" i="37"/>
  <c r="H430" i="58"/>
  <c r="G161" i="66"/>
  <c r="E389" i="38"/>
  <c r="H418" i="37"/>
  <c r="G25" i="66"/>
  <c r="G125" i="66"/>
  <c r="J423" i="37"/>
  <c r="G91" i="66"/>
  <c r="N91" i="66" s="1"/>
  <c r="I431" i="37"/>
  <c r="H438" i="41"/>
  <c r="J451" i="41"/>
  <c r="E357" i="38"/>
  <c r="K75" i="66" s="1"/>
  <c r="N75" i="66" s="1"/>
  <c r="I454" i="41"/>
  <c r="G166" i="66"/>
  <c r="N166" i="66" s="1"/>
  <c r="H429" i="58"/>
  <c r="G154" i="66"/>
  <c r="J235" i="58"/>
  <c r="J235" i="37"/>
  <c r="G4" i="66"/>
  <c r="H421" i="37"/>
  <c r="J426" i="58"/>
  <c r="G271" i="66"/>
  <c r="N271" i="66" s="1"/>
  <c r="G76" i="66"/>
  <c r="N76" i="66" s="1"/>
  <c r="I428" i="37"/>
  <c r="G259" i="66"/>
  <c r="J419" i="58"/>
  <c r="D18" i="34"/>
  <c r="E214" i="38"/>
  <c r="E259" i="38"/>
  <c r="G100" i="66"/>
  <c r="J421" i="37"/>
  <c r="J11" i="37"/>
  <c r="H11" i="37"/>
  <c r="I11" i="37"/>
  <c r="G11" i="41"/>
  <c r="G267" i="66"/>
  <c r="G281" i="66"/>
  <c r="J422" i="58"/>
  <c r="G237" i="66"/>
  <c r="G216" i="66"/>
  <c r="I420" i="58"/>
  <c r="G17" i="66"/>
  <c r="E386" i="38"/>
  <c r="H430" i="37"/>
  <c r="H426" i="58"/>
  <c r="G175" i="66"/>
  <c r="N175" i="66" s="1"/>
  <c r="G139" i="66"/>
  <c r="N139" i="66" s="1"/>
  <c r="J431" i="37"/>
  <c r="G235" i="66"/>
  <c r="N235" i="66" s="1"/>
  <c r="I431" i="58"/>
  <c r="I230" i="37"/>
  <c r="I230" i="58"/>
  <c r="I363" i="37"/>
  <c r="I363" i="58"/>
  <c r="I421" i="37"/>
  <c r="G52" i="66"/>
  <c r="G57" i="41"/>
  <c r="H290" i="58"/>
  <c r="H290" i="37"/>
  <c r="J8" i="58"/>
  <c r="J8" i="37"/>
  <c r="G196" i="66"/>
  <c r="I421" i="58"/>
  <c r="H428" i="37"/>
  <c r="G28" i="66"/>
  <c r="N28" i="66" s="1"/>
  <c r="G70" i="41"/>
  <c r="G187" i="66"/>
  <c r="N187" i="66" s="1"/>
  <c r="H431" i="58"/>
  <c r="G213" i="66"/>
  <c r="N213" i="66" s="1"/>
  <c r="I432" i="58"/>
  <c r="G112" i="66"/>
  <c r="J427" i="37"/>
  <c r="H446" i="41"/>
  <c r="G173" i="66"/>
  <c r="H423" i="58"/>
  <c r="G15" i="41"/>
  <c r="H445" i="41"/>
  <c r="G219" i="66"/>
  <c r="G233" i="66"/>
  <c r="I422" i="58"/>
  <c r="G31" i="66"/>
  <c r="N31" i="66" s="1"/>
  <c r="H426" i="37"/>
  <c r="G283" i="66"/>
  <c r="N283" i="66" s="1"/>
  <c r="J431" i="58"/>
  <c r="I455" i="41"/>
  <c r="E358" i="38"/>
  <c r="K59" i="66" s="1"/>
  <c r="N59" i="66" s="1"/>
  <c r="I418" i="58"/>
  <c r="I418" i="41" s="1"/>
  <c r="G217" i="66"/>
  <c r="I357" i="37"/>
  <c r="I357" i="58"/>
  <c r="G149" i="66"/>
  <c r="G172" i="66"/>
  <c r="N172" i="66" s="1"/>
  <c r="H428" i="58"/>
  <c r="I208" i="58"/>
  <c r="I208" i="37"/>
  <c r="I298" i="37"/>
  <c r="I298" i="58"/>
  <c r="I256" i="58"/>
  <c r="I256" i="37"/>
  <c r="I423" i="58"/>
  <c r="G221" i="66"/>
  <c r="G13" i="41"/>
  <c r="I13" i="37"/>
  <c r="J13" i="37"/>
  <c r="H13" i="37"/>
  <c r="G43" i="66"/>
  <c r="N43" i="66" s="1"/>
  <c r="H431" i="37"/>
  <c r="G69" i="66"/>
  <c r="N69" i="66" s="1"/>
  <c r="I432" i="37"/>
  <c r="J427" i="58"/>
  <c r="G256" i="66"/>
  <c r="G113" i="66"/>
  <c r="E388" i="38"/>
  <c r="J430" i="37"/>
  <c r="H423" i="37"/>
  <c r="G29" i="66"/>
  <c r="J447" i="41"/>
  <c r="J441" i="41"/>
  <c r="R166" i="66"/>
  <c r="S166" i="66"/>
  <c r="P166" i="66"/>
  <c r="V166" i="66" s="1"/>
  <c r="W166" i="66"/>
  <c r="I422" i="37"/>
  <c r="G89" i="66"/>
  <c r="I436" i="41"/>
  <c r="I427" i="37"/>
  <c r="G64" i="66"/>
  <c r="J450" i="41"/>
  <c r="H432" i="41" l="1"/>
  <c r="O166" i="66"/>
  <c r="Q166" i="66" s="1"/>
  <c r="I432" i="41"/>
  <c r="H425" i="41"/>
  <c r="N285" i="66"/>
  <c r="G12" i="39"/>
  <c r="I427" i="41"/>
  <c r="J430" i="41"/>
  <c r="I298" i="41"/>
  <c r="I395" i="41"/>
  <c r="H426" i="41"/>
  <c r="H423" i="41"/>
  <c r="H427" i="41"/>
  <c r="J418" i="41"/>
  <c r="N251" i="66"/>
  <c r="J420" i="41"/>
  <c r="H420" i="41"/>
  <c r="I313" i="41"/>
  <c r="J421" i="41"/>
  <c r="H175" i="41"/>
  <c r="I428" i="41"/>
  <c r="N249" i="66"/>
  <c r="I431" i="41"/>
  <c r="I379" i="41"/>
  <c r="I420" i="41"/>
  <c r="J181" i="41"/>
  <c r="I422" i="41"/>
  <c r="H290" i="41"/>
  <c r="O175" i="66"/>
  <c r="Q175" i="66" s="1"/>
  <c r="I419" i="41"/>
  <c r="I361" i="41"/>
  <c r="I235" i="41"/>
  <c r="J141" i="41"/>
  <c r="I256" i="41"/>
  <c r="J422" i="41"/>
  <c r="I424" i="41"/>
  <c r="I357" i="41"/>
  <c r="I283" i="41"/>
  <c r="J276" i="41"/>
  <c r="H428" i="41"/>
  <c r="I463" i="58"/>
  <c r="I463" i="37"/>
  <c r="H138" i="37"/>
  <c r="H138" i="58"/>
  <c r="I331" i="58"/>
  <c r="I331" i="37"/>
  <c r="H198" i="37"/>
  <c r="H198" i="58"/>
  <c r="I228" i="37"/>
  <c r="I228" i="58"/>
  <c r="H291" i="37"/>
  <c r="H291" i="58"/>
  <c r="I294" i="37"/>
  <c r="I294" i="58"/>
  <c r="I321" i="58"/>
  <c r="I321" i="37"/>
  <c r="I217" i="37"/>
  <c r="I217" i="58"/>
  <c r="I400" i="37"/>
  <c r="I400" i="58"/>
  <c r="H300" i="37"/>
  <c r="H300" i="58"/>
  <c r="H197" i="37"/>
  <c r="H197" i="58"/>
  <c r="H223" i="58"/>
  <c r="H223" i="37"/>
  <c r="H325" i="58"/>
  <c r="H325" i="37"/>
  <c r="H269" i="37"/>
  <c r="H269" i="58"/>
  <c r="H177" i="37"/>
  <c r="H177" i="58"/>
  <c r="I293" i="37"/>
  <c r="I293" i="58"/>
  <c r="H144" i="37"/>
  <c r="H144" i="58"/>
  <c r="H379" i="58"/>
  <c r="H379" i="37"/>
  <c r="I299" i="58"/>
  <c r="I299" i="37"/>
  <c r="I329" i="37"/>
  <c r="I329" i="58"/>
  <c r="J390" i="58"/>
  <c r="J390" i="37"/>
  <c r="I125" i="58"/>
  <c r="I125" i="37"/>
  <c r="I258" i="58"/>
  <c r="I258" i="37"/>
  <c r="J323" i="37"/>
  <c r="J323" i="58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H194" i="37"/>
  <c r="H194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I181" i="58"/>
  <c r="I181" i="37"/>
  <c r="I307" i="58"/>
  <c r="I307" i="37"/>
  <c r="J175" i="37"/>
  <c r="J175" i="58"/>
  <c r="I276" i="37"/>
  <c r="I276" i="58"/>
  <c r="Z43" i="66"/>
  <c r="Y43" i="66"/>
  <c r="Y187" i="66"/>
  <c r="Z187" i="66"/>
  <c r="I13" i="41"/>
  <c r="N219" i="66"/>
  <c r="O219" i="66" s="1"/>
  <c r="F13" i="39"/>
  <c r="C52" i="63"/>
  <c r="Z283" i="66"/>
  <c r="Y139" i="66"/>
  <c r="Z139" i="66"/>
  <c r="Y283" i="66"/>
  <c r="M16" i="66"/>
  <c r="H469" i="37"/>
  <c r="H468" i="37"/>
  <c r="H470" i="37"/>
  <c r="N267" i="66"/>
  <c r="O155" i="66"/>
  <c r="O11" i="66"/>
  <c r="Y11" i="66"/>
  <c r="Z155" i="66"/>
  <c r="Z11" i="66"/>
  <c r="Y155" i="66"/>
  <c r="I12" i="41"/>
  <c r="Y153" i="66"/>
  <c r="Z9" i="66"/>
  <c r="Z153" i="66"/>
  <c r="O153" i="66"/>
  <c r="O9" i="66"/>
  <c r="Y9" i="66"/>
  <c r="T22" i="66"/>
  <c r="G16" i="39"/>
  <c r="H424" i="41"/>
  <c r="I289" i="58"/>
  <c r="I289" i="37"/>
  <c r="H232" i="37"/>
  <c r="H232" i="58"/>
  <c r="H400" i="58"/>
  <c r="H400" i="37"/>
  <c r="J241" i="58"/>
  <c r="J241" i="37"/>
  <c r="J299" i="37"/>
  <c r="J299" i="58"/>
  <c r="I340" i="37"/>
  <c r="I340" i="58"/>
  <c r="I337" i="37"/>
  <c r="I337" i="58"/>
  <c r="J137" i="58"/>
  <c r="J137" i="37"/>
  <c r="J288" i="37"/>
  <c r="J288" i="58"/>
  <c r="H369" i="58"/>
  <c r="H369" i="37"/>
  <c r="H149" i="58"/>
  <c r="H149" i="37"/>
  <c r="H339" i="58"/>
  <c r="H339" i="37"/>
  <c r="I277" i="58"/>
  <c r="I277" i="37"/>
  <c r="I203" i="37"/>
  <c r="I203" i="58"/>
  <c r="J363" i="58"/>
  <c r="J363" i="37"/>
  <c r="J347" i="37"/>
  <c r="J347" i="58"/>
  <c r="H219" i="37"/>
  <c r="H219" i="58"/>
  <c r="H326" i="37"/>
  <c r="H326" i="58"/>
  <c r="H146" i="37"/>
  <c r="H146" i="58"/>
  <c r="H399" i="58"/>
  <c r="H399" i="37"/>
  <c r="J398" i="58"/>
  <c r="J398" i="37"/>
  <c r="I161" i="37"/>
  <c r="I161" i="58"/>
  <c r="H168" i="58"/>
  <c r="H168" i="37"/>
  <c r="J212" i="37"/>
  <c r="J212" i="58"/>
  <c r="I224" i="37"/>
  <c r="I224" i="58"/>
  <c r="J125" i="37"/>
  <c r="J125" i="58"/>
  <c r="I264" i="37"/>
  <c r="I264" i="58"/>
  <c r="I205" i="58"/>
  <c r="I205" i="37"/>
  <c r="I150" i="37"/>
  <c r="I150" i="58"/>
  <c r="H244" i="37"/>
  <c r="H244" i="58"/>
  <c r="I245" i="37"/>
  <c r="I245" i="58"/>
  <c r="H381" i="58"/>
  <c r="H381" i="37"/>
  <c r="I241" i="58"/>
  <c r="I241" i="37"/>
  <c r="H338" i="58"/>
  <c r="H338" i="37"/>
  <c r="H246" i="58"/>
  <c r="H246" i="37"/>
  <c r="H302" i="37"/>
  <c r="H302" i="58"/>
  <c r="J148" i="58"/>
  <c r="J148" i="37"/>
  <c r="I327" i="37"/>
  <c r="I327" i="58"/>
  <c r="H125" i="37"/>
  <c r="H125" i="58"/>
  <c r="I123" i="58"/>
  <c r="I123" i="37"/>
  <c r="H273" i="37"/>
  <c r="H273" i="58"/>
  <c r="J171" i="58"/>
  <c r="J171" i="37"/>
  <c r="I300" i="37"/>
  <c r="I300" i="58"/>
  <c r="J198" i="58"/>
  <c r="J198" i="37"/>
  <c r="I297" i="58"/>
  <c r="I297" i="37"/>
  <c r="J209" i="58"/>
  <c r="J209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J245" i="37"/>
  <c r="J245" i="58"/>
  <c r="I314" i="37"/>
  <c r="I314" i="58"/>
  <c r="H308" i="37"/>
  <c r="H308" i="58"/>
  <c r="J353" i="58"/>
  <c r="J353" i="37"/>
  <c r="J389" i="37"/>
  <c r="J389" i="58"/>
  <c r="H323" i="58"/>
  <c r="H323" i="37"/>
  <c r="I248" i="58"/>
  <c r="I248" i="37"/>
  <c r="H368" i="58"/>
  <c r="H368" i="37"/>
  <c r="H218" i="58"/>
  <c r="H218" i="37"/>
  <c r="I275" i="58"/>
  <c r="I275" i="37"/>
  <c r="I383" i="58"/>
  <c r="I383" i="37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I262" i="58"/>
  <c r="I262" i="37"/>
  <c r="I308" i="58"/>
  <c r="I308" i="37"/>
  <c r="H164" i="37"/>
  <c r="H164" i="58"/>
  <c r="I404" i="58"/>
  <c r="F222" i="66" s="1"/>
  <c r="N222" i="66" s="1"/>
  <c r="I404" i="37"/>
  <c r="J427" i="41"/>
  <c r="G214" i="66"/>
  <c r="G202" i="66"/>
  <c r="I429" i="58"/>
  <c r="Z27" i="66"/>
  <c r="Y27" i="66"/>
  <c r="Y171" i="66"/>
  <c r="Z171" i="66"/>
  <c r="O171" i="66"/>
  <c r="O27" i="66"/>
  <c r="J12" i="41"/>
  <c r="Z166" i="66"/>
  <c r="Z22" i="66"/>
  <c r="Y22" i="66"/>
  <c r="O22" i="66"/>
  <c r="Y166" i="66"/>
  <c r="N203" i="66"/>
  <c r="O203" i="66" s="1"/>
  <c r="F14" i="39"/>
  <c r="J424" i="41"/>
  <c r="H429" i="41"/>
  <c r="I207" i="58"/>
  <c r="I207" i="37"/>
  <c r="I286" i="37"/>
  <c r="I286" i="58"/>
  <c r="H253" i="37"/>
  <c r="H253" i="58"/>
  <c r="J378" i="37"/>
  <c r="J378" i="58"/>
  <c r="J224" i="37"/>
  <c r="J224" i="58"/>
  <c r="J345" i="58"/>
  <c r="J345" i="37"/>
  <c r="I305" i="58"/>
  <c r="I305" i="37"/>
  <c r="I231" i="37"/>
  <c r="I231" i="58"/>
  <c r="I151" i="37"/>
  <c r="I151" i="58"/>
  <c r="I170" i="37"/>
  <c r="I170" i="58"/>
  <c r="J306" i="37"/>
  <c r="J306" i="58"/>
  <c r="H314" i="58"/>
  <c r="H314" i="37"/>
  <c r="N237" i="66"/>
  <c r="O237" i="66" s="1"/>
  <c r="F12" i="39"/>
  <c r="J318" i="37"/>
  <c r="J318" i="58"/>
  <c r="J244" i="58"/>
  <c r="J244" i="37"/>
  <c r="J311" i="58"/>
  <c r="J311" i="37"/>
  <c r="H296" i="37"/>
  <c r="H296" i="58"/>
  <c r="H217" i="37"/>
  <c r="H217" i="58"/>
  <c r="J176" i="37"/>
  <c r="J176" i="58"/>
  <c r="H330" i="37"/>
  <c r="H330" i="58"/>
  <c r="I212" i="37"/>
  <c r="I212" i="58"/>
  <c r="J252" i="37"/>
  <c r="J252" i="58"/>
  <c r="J372" i="37"/>
  <c r="J372" i="58"/>
  <c r="H212" i="37"/>
  <c r="H212" i="58"/>
  <c r="H171" i="58"/>
  <c r="H171" i="37"/>
  <c r="H281" i="37"/>
  <c r="H281" i="58"/>
  <c r="I388" i="58"/>
  <c r="I388" i="37"/>
  <c r="J331" i="58"/>
  <c r="J331" i="37"/>
  <c r="I172" i="58"/>
  <c r="I172" i="37"/>
  <c r="I318" i="58"/>
  <c r="I318" i="37"/>
  <c r="H206" i="58"/>
  <c r="H206" i="37"/>
  <c r="H398" i="37"/>
  <c r="H398" i="58"/>
  <c r="I323" i="37"/>
  <c r="I323" i="58"/>
  <c r="H268" i="37"/>
  <c r="H268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183" i="58"/>
  <c r="I183" i="37"/>
  <c r="I195" i="37"/>
  <c r="I195" i="58"/>
  <c r="I378" i="58"/>
  <c r="I378" i="37"/>
  <c r="H156" i="58"/>
  <c r="H156" i="37"/>
  <c r="I192" i="37"/>
  <c r="I192" i="58"/>
  <c r="I136" i="37"/>
  <c r="I136" i="58"/>
  <c r="J231" i="37"/>
  <c r="J231" i="58"/>
  <c r="I133" i="37"/>
  <c r="I133" i="58"/>
  <c r="I132" i="37"/>
  <c r="I132" i="58"/>
  <c r="I364" i="58"/>
  <c r="I364" i="37"/>
  <c r="H279" i="58"/>
  <c r="H279" i="37"/>
  <c r="I377" i="58"/>
  <c r="I377" i="37"/>
  <c r="H386" i="37"/>
  <c r="H386" i="58"/>
  <c r="J160" i="37"/>
  <c r="J160" i="58"/>
  <c r="J251" i="37"/>
  <c r="J251" i="58"/>
  <c r="H233" i="58"/>
  <c r="H233" i="37"/>
  <c r="I295" i="37"/>
  <c r="I295" i="58"/>
  <c r="J215" i="37"/>
  <c r="J215" i="58"/>
  <c r="I236" i="58"/>
  <c r="I236" i="37"/>
  <c r="J269" i="37"/>
  <c r="J269" i="58"/>
  <c r="H174" i="58"/>
  <c r="H174" i="37"/>
  <c r="H160" i="37"/>
  <c r="H160" i="58"/>
  <c r="J250" i="58"/>
  <c r="J250" i="37"/>
  <c r="J210" i="37"/>
  <c r="J210" i="58"/>
  <c r="I167" i="37"/>
  <c r="I167" i="58"/>
  <c r="H317" i="37"/>
  <c r="H317" i="58"/>
  <c r="H320" i="37"/>
  <c r="H320" i="58"/>
  <c r="I358" i="37"/>
  <c r="I358" i="58"/>
  <c r="I250" i="37"/>
  <c r="I250" i="58"/>
  <c r="I254" i="37"/>
  <c r="I254" i="58"/>
  <c r="H310" i="37"/>
  <c r="H310" i="58"/>
  <c r="H183" i="37"/>
  <c r="H183" i="58"/>
  <c r="I342" i="58"/>
  <c r="I342" i="37"/>
  <c r="H248" i="58"/>
  <c r="H248" i="37"/>
  <c r="I122" i="37"/>
  <c r="I122" i="58"/>
  <c r="J346" i="37"/>
  <c r="J346" i="58"/>
  <c r="J281" i="58"/>
  <c r="J281" i="37"/>
  <c r="H301" i="58"/>
  <c r="H301" i="37"/>
  <c r="H211" i="37"/>
  <c r="H211" i="58"/>
  <c r="J352" i="58"/>
  <c r="J352" i="37"/>
  <c r="J191" i="37"/>
  <c r="J191" i="58"/>
  <c r="H373" i="58"/>
  <c r="H373" i="37"/>
  <c r="I315" i="37"/>
  <c r="I315" i="58"/>
  <c r="H272" i="58"/>
  <c r="H272" i="37"/>
  <c r="H277" i="58"/>
  <c r="H277" i="37"/>
  <c r="J159" i="58"/>
  <c r="J159" i="37"/>
  <c r="I285" i="58"/>
  <c r="I285" i="37"/>
  <c r="H261" i="58"/>
  <c r="H261" i="37"/>
  <c r="J129" i="58"/>
  <c r="J129" i="37"/>
  <c r="I171" i="37"/>
  <c r="I171" i="58"/>
  <c r="J309" i="37"/>
  <c r="J309" i="58"/>
  <c r="I282" i="58"/>
  <c r="I282" i="37"/>
  <c r="I156" i="58"/>
  <c r="I156" i="37"/>
  <c r="J180" i="58"/>
  <c r="J180" i="37"/>
  <c r="I168" i="37"/>
  <c r="I168" i="58"/>
  <c r="J320" i="37"/>
  <c r="J320" i="58"/>
  <c r="I336" i="37"/>
  <c r="I336" i="58"/>
  <c r="H324" i="58"/>
  <c r="H324" i="37"/>
  <c r="J192" i="37"/>
  <c r="J192" i="58"/>
  <c r="I221" i="37"/>
  <c r="I221" i="58"/>
  <c r="J332" i="58"/>
  <c r="J332" i="37"/>
  <c r="J136" i="37"/>
  <c r="J136" i="58"/>
  <c r="I165" i="58"/>
  <c r="I165" i="37"/>
  <c r="I333" i="37"/>
  <c r="I333" i="58"/>
  <c r="H378" i="58"/>
  <c r="H378" i="37"/>
  <c r="I304" i="58"/>
  <c r="I304" i="37"/>
  <c r="J381" i="37"/>
  <c r="J381" i="58"/>
  <c r="I288" i="37"/>
  <c r="I288" i="58"/>
  <c r="I120" i="37"/>
  <c r="I120" i="58"/>
  <c r="J243" i="58"/>
  <c r="J243" i="37"/>
  <c r="I143" i="58"/>
  <c r="I143" i="37"/>
  <c r="I218" i="37"/>
  <c r="I218" i="58"/>
  <c r="H126" i="37"/>
  <c r="H126" i="58"/>
  <c r="J268" i="58"/>
  <c r="J268" i="37"/>
  <c r="H150" i="58"/>
  <c r="H150" i="37"/>
  <c r="H303" i="58"/>
  <c r="H303" i="37"/>
  <c r="I190" i="58"/>
  <c r="I190" i="37"/>
  <c r="H289" i="37"/>
  <c r="H289" i="58"/>
  <c r="I158" i="37"/>
  <c r="I158" i="58"/>
  <c r="H216" i="58"/>
  <c r="H216" i="37"/>
  <c r="H355" i="37"/>
  <c r="H355" i="58"/>
  <c r="H247" i="58"/>
  <c r="H247" i="37"/>
  <c r="I169" i="58"/>
  <c r="I169" i="37"/>
  <c r="J185" i="37"/>
  <c r="J185" i="58"/>
  <c r="H249" i="58"/>
  <c r="H249" i="37"/>
  <c r="I215" i="58"/>
  <c r="I215" i="37"/>
  <c r="J310" i="37"/>
  <c r="J310" i="58"/>
  <c r="H186" i="58"/>
  <c r="H186" i="37"/>
  <c r="H361" i="58"/>
  <c r="H361" i="37"/>
  <c r="I290" i="37"/>
  <c r="I290" i="58"/>
  <c r="H265" i="37"/>
  <c r="H265" i="58"/>
  <c r="H151" i="37"/>
  <c r="H151" i="58"/>
  <c r="H266" i="58"/>
  <c r="H266" i="37"/>
  <c r="H201" i="58"/>
  <c r="H201" i="37"/>
  <c r="H154" i="37"/>
  <c r="H154" i="58"/>
  <c r="J277" i="58"/>
  <c r="J277" i="37"/>
  <c r="H260" i="37"/>
  <c r="H260" i="58"/>
  <c r="H293" i="58"/>
  <c r="H293" i="37"/>
  <c r="H184" i="58"/>
  <c r="H184" i="37"/>
  <c r="J400" i="58"/>
  <c r="J400" i="37"/>
  <c r="H187" i="37"/>
  <c r="H187" i="58"/>
  <c r="I126" i="37"/>
  <c r="I126" i="58"/>
  <c r="I392" i="58"/>
  <c r="I392" i="37"/>
  <c r="I240" i="58"/>
  <c r="I240" i="37"/>
  <c r="I219" i="58"/>
  <c r="I219" i="37"/>
  <c r="J373" i="58"/>
  <c r="J373" i="37"/>
  <c r="H294" i="58"/>
  <c r="H294" i="37"/>
  <c r="J157" i="37"/>
  <c r="J157" i="58"/>
  <c r="I390" i="58"/>
  <c r="I390" i="37"/>
  <c r="J308" i="37"/>
  <c r="J308" i="58"/>
  <c r="I421" i="41"/>
  <c r="G58" i="66"/>
  <c r="I429" i="37"/>
  <c r="H421" i="41"/>
  <c r="J235" i="41"/>
  <c r="J423" i="41"/>
  <c r="J453" i="41"/>
  <c r="E362" i="38"/>
  <c r="K141" i="66" s="1"/>
  <c r="N141" i="66" s="1"/>
  <c r="I213" i="41"/>
  <c r="I425" i="41"/>
  <c r="H251" i="41"/>
  <c r="M256" i="66"/>
  <c r="J470" i="58"/>
  <c r="J469" i="58"/>
  <c r="F250" i="66" s="1"/>
  <c r="J468" i="58"/>
  <c r="F257" i="66" s="1"/>
  <c r="N257" i="66" s="1"/>
  <c r="I226" i="58"/>
  <c r="I226" i="37"/>
  <c r="J184" i="58"/>
  <c r="J184" i="37"/>
  <c r="I164" i="58"/>
  <c r="I164" i="37"/>
  <c r="H370" i="58"/>
  <c r="H370" i="37"/>
  <c r="H346" i="37"/>
  <c r="H346" i="58"/>
  <c r="H371" i="37"/>
  <c r="H371" i="58"/>
  <c r="H208" i="37"/>
  <c r="H208" i="58"/>
  <c r="H224" i="58"/>
  <c r="H224" i="37"/>
  <c r="J344" i="58"/>
  <c r="J344" i="37"/>
  <c r="J328" i="37"/>
  <c r="J328" i="58"/>
  <c r="H123" i="58"/>
  <c r="H123" i="37"/>
  <c r="H264" i="58"/>
  <c r="H264" i="37"/>
  <c r="H345" i="58"/>
  <c r="H345" i="37"/>
  <c r="H120" i="58"/>
  <c r="H120" i="37"/>
  <c r="J226" i="58"/>
  <c r="J226" i="37"/>
  <c r="H395" i="58"/>
  <c r="H395" i="37"/>
  <c r="I334" i="37"/>
  <c r="I334" i="58"/>
  <c r="H276" i="58"/>
  <c r="H276" i="37"/>
  <c r="J280" i="58"/>
  <c r="J280" i="37"/>
  <c r="I134" i="58"/>
  <c r="I134" i="37"/>
  <c r="H359" i="58"/>
  <c r="H359" i="37"/>
  <c r="I182" i="58"/>
  <c r="I182" i="37"/>
  <c r="H344" i="37"/>
  <c r="H344" i="58"/>
  <c r="I312" i="37"/>
  <c r="I312" i="58"/>
  <c r="I209" i="58"/>
  <c r="I209" i="37"/>
  <c r="J220" i="58"/>
  <c r="J220" i="37"/>
  <c r="I344" i="58"/>
  <c r="I344" i="37"/>
  <c r="I174" i="37"/>
  <c r="I174" i="58"/>
  <c r="I176" i="37"/>
  <c r="I176" i="58"/>
  <c r="H182" i="37"/>
  <c r="H182" i="58"/>
  <c r="I253" i="58"/>
  <c r="I253" i="37"/>
  <c r="H329" i="58"/>
  <c r="H329" i="37"/>
  <c r="I222" i="37"/>
  <c r="I222" i="58"/>
  <c r="H210" i="58"/>
  <c r="H210" i="37"/>
  <c r="H335" i="58"/>
  <c r="H335" i="37"/>
  <c r="J463" i="58"/>
  <c r="J463" i="37"/>
  <c r="H239" i="58"/>
  <c r="H239" i="37"/>
  <c r="J290" i="37"/>
  <c r="J290" i="58"/>
  <c r="H318" i="37"/>
  <c r="H318" i="58"/>
  <c r="H285" i="37"/>
  <c r="H285" i="58"/>
  <c r="H173" i="58"/>
  <c r="H173" i="37"/>
  <c r="H170" i="58"/>
  <c r="H170" i="37"/>
  <c r="I391" i="37"/>
  <c r="I391" i="58"/>
  <c r="H391" i="58"/>
  <c r="H391" i="37"/>
  <c r="I185" i="37"/>
  <c r="I185" i="58"/>
  <c r="H365" i="37"/>
  <c r="H365" i="58"/>
  <c r="H153" i="58"/>
  <c r="H153" i="37"/>
  <c r="H130" i="37"/>
  <c r="H130" i="58"/>
  <c r="J263" i="58"/>
  <c r="J263" i="37"/>
  <c r="H367" i="37"/>
  <c r="H367" i="58"/>
  <c r="H231" i="37"/>
  <c r="H231" i="58"/>
  <c r="I146" i="37"/>
  <c r="I146" i="58"/>
  <c r="J149" i="58"/>
  <c r="J149" i="37"/>
  <c r="I155" i="58"/>
  <c r="I155" i="37"/>
  <c r="I284" i="37"/>
  <c r="I284" i="58"/>
  <c r="H383" i="58"/>
  <c r="H383" i="37"/>
  <c r="H347" i="58"/>
  <c r="H347" i="37"/>
  <c r="I356" i="58"/>
  <c r="I356" i="37"/>
  <c r="H193" i="58"/>
  <c r="H193" i="37"/>
  <c r="I326" i="37"/>
  <c r="I326" i="58"/>
  <c r="J365" i="58"/>
  <c r="J365" i="37"/>
  <c r="H333" i="58"/>
  <c r="H333" i="37"/>
  <c r="J316" i="58"/>
  <c r="J316" i="37"/>
  <c r="I243" i="37"/>
  <c r="I243" i="58"/>
  <c r="H237" i="37"/>
  <c r="H237" i="58"/>
  <c r="I399" i="58"/>
  <c r="I399" i="37"/>
  <c r="I159" i="58"/>
  <c r="I159" i="37"/>
  <c r="J267" i="37"/>
  <c r="J267" i="58"/>
  <c r="I128" i="37"/>
  <c r="I128" i="58"/>
  <c r="H243" i="37"/>
  <c r="H243" i="58"/>
  <c r="I396" i="37"/>
  <c r="I396" i="58"/>
  <c r="I140" i="58"/>
  <c r="I140" i="37"/>
  <c r="J305" i="37"/>
  <c r="J305" i="58"/>
  <c r="I309" i="58"/>
  <c r="I309" i="37"/>
  <c r="H316" i="37"/>
  <c r="H316" i="58"/>
  <c r="I166" i="37"/>
  <c r="I166" i="58"/>
  <c r="I360" i="37"/>
  <c r="I360" i="58"/>
  <c r="I137" i="37"/>
  <c r="I137" i="58"/>
  <c r="I320" i="37"/>
  <c r="I320" i="58"/>
  <c r="H255" i="58"/>
  <c r="H255" i="37"/>
  <c r="J189" i="37"/>
  <c r="J189" i="58"/>
  <c r="I246" i="58"/>
  <c r="I246" i="37"/>
  <c r="J340" i="58"/>
  <c r="J340" i="37"/>
  <c r="I273" i="37"/>
  <c r="I273" i="58"/>
  <c r="H387" i="58"/>
  <c r="H387" i="37"/>
  <c r="J127" i="37"/>
  <c r="J127" i="58"/>
  <c r="J190" i="37"/>
  <c r="J190" i="58"/>
  <c r="I223" i="37"/>
  <c r="I223" i="58"/>
  <c r="H319" i="37"/>
  <c r="H319" i="58"/>
  <c r="H259" i="58"/>
  <c r="H259" i="37"/>
  <c r="H129" i="37"/>
  <c r="H129" i="58"/>
  <c r="J259" i="37"/>
  <c r="J259" i="58"/>
  <c r="I394" i="58"/>
  <c r="I394" i="37"/>
  <c r="I367" i="58"/>
  <c r="I367" i="37"/>
  <c r="H236" i="37"/>
  <c r="H236" i="58"/>
  <c r="H172" i="58"/>
  <c r="H172" i="37"/>
  <c r="I138" i="37"/>
  <c r="I138" i="58"/>
  <c r="J383" i="37"/>
  <c r="J383" i="58"/>
  <c r="H376" i="37"/>
  <c r="H376" i="58"/>
  <c r="H315" i="37"/>
  <c r="H315" i="58"/>
  <c r="J172" i="37"/>
  <c r="J172" i="58"/>
  <c r="I263" i="37"/>
  <c r="I263" i="58"/>
  <c r="I196" i="37"/>
  <c r="I196" i="58"/>
  <c r="I130" i="37"/>
  <c r="I130" i="58"/>
  <c r="H213" i="58"/>
  <c r="H213" i="37"/>
  <c r="H209" i="58"/>
  <c r="H209" i="37"/>
  <c r="J260" i="37"/>
  <c r="J260" i="58"/>
  <c r="I310" i="58"/>
  <c r="I310" i="37"/>
  <c r="H350" i="37"/>
  <c r="H350" i="58"/>
  <c r="H254" i="37"/>
  <c r="H254" i="58"/>
  <c r="I274" i="58"/>
  <c r="I274" i="37"/>
  <c r="I194" i="58"/>
  <c r="I194" i="37"/>
  <c r="I211" i="58"/>
  <c r="I211" i="37"/>
  <c r="H375" i="58"/>
  <c r="H375" i="37"/>
  <c r="H241" i="37"/>
  <c r="H241" i="58"/>
  <c r="H354" i="58"/>
  <c r="H354" i="37"/>
  <c r="H292" i="37"/>
  <c r="H292" i="58"/>
  <c r="H161" i="58"/>
  <c r="H161" i="37"/>
  <c r="H240" i="58"/>
  <c r="H240" i="37"/>
  <c r="I287" i="37"/>
  <c r="I287" i="58"/>
  <c r="H221" i="37"/>
  <c r="H221" i="58"/>
  <c r="J319" i="58"/>
  <c r="J319" i="37"/>
  <c r="I152" i="37"/>
  <c r="I152" i="58"/>
  <c r="I225" i="37"/>
  <c r="I225" i="58"/>
  <c r="Y213" i="66"/>
  <c r="Z213" i="66"/>
  <c r="Z69" i="66"/>
  <c r="Y69" i="66"/>
  <c r="I11" i="41"/>
  <c r="I470" i="58"/>
  <c r="I468" i="58"/>
  <c r="F209" i="66" s="1"/>
  <c r="N209" i="66" s="1"/>
  <c r="M208" i="66"/>
  <c r="I469" i="58"/>
  <c r="F202" i="66" s="1"/>
  <c r="M64" i="66"/>
  <c r="I468" i="37"/>
  <c r="I470" i="37"/>
  <c r="I469" i="37"/>
  <c r="Y45" i="66"/>
  <c r="Z45" i="66"/>
  <c r="O45" i="66"/>
  <c r="Y189" i="66"/>
  <c r="Z189" i="66"/>
  <c r="O189" i="66"/>
  <c r="G250" i="66"/>
  <c r="J429" i="58"/>
  <c r="J341" i="41"/>
  <c r="N95" i="66"/>
  <c r="F28" i="39"/>
  <c r="G14" i="39"/>
  <c r="E365" i="38"/>
  <c r="K105" i="66" s="1"/>
  <c r="N105" i="66" s="1"/>
  <c r="J456" i="41"/>
  <c r="Y124" i="66"/>
  <c r="Y268" i="66"/>
  <c r="Z268" i="66"/>
  <c r="Z124" i="66"/>
  <c r="H419" i="41"/>
  <c r="H422" i="41"/>
  <c r="H327" i="37"/>
  <c r="H327" i="58"/>
  <c r="H140" i="37"/>
  <c r="H140" i="58"/>
  <c r="H280" i="58"/>
  <c r="H280" i="37"/>
  <c r="I335" i="37"/>
  <c r="I335" i="58"/>
  <c r="I384" i="37"/>
  <c r="I384" i="58"/>
  <c r="J140" i="37"/>
  <c r="J140" i="58"/>
  <c r="I153" i="37"/>
  <c r="I153" i="58"/>
  <c r="J174" i="37"/>
  <c r="J174" i="58"/>
  <c r="I233" i="58"/>
  <c r="I233" i="37"/>
  <c r="H353" i="37"/>
  <c r="H353" i="58"/>
  <c r="I229" i="37"/>
  <c r="I229" i="58"/>
  <c r="I175" i="58"/>
  <c r="I175" i="37"/>
  <c r="J307" i="37"/>
  <c r="J307" i="58"/>
  <c r="I257" i="37"/>
  <c r="I257" i="58"/>
  <c r="J147" i="58"/>
  <c r="J147" i="37"/>
  <c r="J152" i="37"/>
  <c r="J152" i="58"/>
  <c r="I386" i="58"/>
  <c r="I386" i="37"/>
  <c r="M160" i="66"/>
  <c r="H468" i="58"/>
  <c r="F161" i="66" s="1"/>
  <c r="N161" i="66" s="1"/>
  <c r="H470" i="58"/>
  <c r="H469" i="58"/>
  <c r="F154" i="66" s="1"/>
  <c r="N154" i="66" s="1"/>
  <c r="J271" i="37"/>
  <c r="J271" i="58"/>
  <c r="J391" i="37"/>
  <c r="J391" i="58"/>
  <c r="H202" i="37"/>
  <c r="H202" i="58"/>
  <c r="J211" i="37"/>
  <c r="J211" i="58"/>
  <c r="J272" i="37"/>
  <c r="J272" i="58"/>
  <c r="H134" i="37"/>
  <c r="H134" i="58"/>
  <c r="H242" i="37"/>
  <c r="H242" i="58"/>
  <c r="H397" i="37"/>
  <c r="H397" i="58"/>
  <c r="H189" i="58"/>
  <c r="H189" i="37"/>
  <c r="J183" i="37"/>
  <c r="J183" i="58"/>
  <c r="I324" i="58"/>
  <c r="I324" i="37"/>
  <c r="H166" i="37"/>
  <c r="H166" i="58"/>
  <c r="J221" i="37"/>
  <c r="J221" i="58"/>
  <c r="I279" i="37"/>
  <c r="I279" i="58"/>
  <c r="J304" i="58"/>
  <c r="J304" i="37"/>
  <c r="J124" i="37"/>
  <c r="J124" i="58"/>
  <c r="I124" i="58"/>
  <c r="I124" i="37"/>
  <c r="J317" i="58"/>
  <c r="J317" i="37"/>
  <c r="I291" i="58"/>
  <c r="I291" i="37"/>
  <c r="H288" i="37"/>
  <c r="H288" i="58"/>
  <c r="I261" i="58"/>
  <c r="I261" i="37"/>
  <c r="J354" i="58"/>
  <c r="J354" i="37"/>
  <c r="I121" i="37"/>
  <c r="I121" i="58"/>
  <c r="J258" i="58"/>
  <c r="J258" i="37"/>
  <c r="I216" i="58"/>
  <c r="I216" i="37"/>
  <c r="H180" i="37"/>
  <c r="H180" i="58"/>
  <c r="I387" i="37"/>
  <c r="I387" i="58"/>
  <c r="J380" i="37"/>
  <c r="J380" i="58"/>
  <c r="I338" i="37"/>
  <c r="I338" i="58"/>
  <c r="J392" i="37"/>
  <c r="J392" i="58"/>
  <c r="H271" i="37"/>
  <c r="H271" i="58"/>
  <c r="I188" i="58"/>
  <c r="I188" i="37"/>
  <c r="J203" i="37"/>
  <c r="J203" i="58"/>
  <c r="I238" i="37"/>
  <c r="I238" i="58"/>
  <c r="I353" i="58"/>
  <c r="I353" i="37"/>
  <c r="H382" i="37"/>
  <c r="H382" i="58"/>
  <c r="H295" i="37"/>
  <c r="H295" i="58"/>
  <c r="I202" i="37"/>
  <c r="I202" i="58"/>
  <c r="H349" i="37"/>
  <c r="H349" i="58"/>
  <c r="I382" i="58"/>
  <c r="I382" i="37"/>
  <c r="H226" i="37"/>
  <c r="H226" i="58"/>
  <c r="H155" i="37"/>
  <c r="H155" i="58"/>
  <c r="J161" i="58"/>
  <c r="J161" i="37"/>
  <c r="I179" i="58"/>
  <c r="I179" i="37"/>
  <c r="H142" i="58"/>
  <c r="H142" i="37"/>
  <c r="H328" i="37"/>
  <c r="H328" i="58"/>
  <c r="H306" i="37"/>
  <c r="H306" i="58"/>
  <c r="J200" i="58"/>
  <c r="J200" i="37"/>
  <c r="J289" i="37"/>
  <c r="J289" i="58"/>
  <c r="I210" i="58"/>
  <c r="I210" i="37"/>
  <c r="J227" i="37"/>
  <c r="J227" i="58"/>
  <c r="H204" i="58"/>
  <c r="H204" i="37"/>
  <c r="H199" i="58"/>
  <c r="H199" i="37"/>
  <c r="I359" i="58"/>
  <c r="I359" i="37"/>
  <c r="H307" i="37"/>
  <c r="H307" i="58"/>
  <c r="H275" i="58"/>
  <c r="H275" i="37"/>
  <c r="H196" i="58"/>
  <c r="H196" i="37"/>
  <c r="H122" i="58"/>
  <c r="H122" i="37"/>
  <c r="H343" i="37"/>
  <c r="H343" i="58"/>
  <c r="H390" i="37"/>
  <c r="H390" i="58"/>
  <c r="I251" i="58"/>
  <c r="I251" i="37"/>
  <c r="J213" i="37"/>
  <c r="J213" i="58"/>
  <c r="J225" i="37"/>
  <c r="J225" i="58"/>
  <c r="I375" i="37"/>
  <c r="I375" i="58"/>
  <c r="J401" i="37"/>
  <c r="J401" i="58"/>
  <c r="H287" i="37"/>
  <c r="H287" i="58"/>
  <c r="X166" i="66"/>
  <c r="M112" i="66"/>
  <c r="J469" i="37"/>
  <c r="J468" i="37"/>
  <c r="J470" i="37"/>
  <c r="I208" i="41"/>
  <c r="I363" i="41"/>
  <c r="J11" i="41"/>
  <c r="Y91" i="66"/>
  <c r="Z91" i="66"/>
  <c r="Z235" i="66"/>
  <c r="Y235" i="66"/>
  <c r="H418" i="41"/>
  <c r="G13" i="39"/>
  <c r="J426" i="41"/>
  <c r="N201" i="66"/>
  <c r="O201" i="66" s="1"/>
  <c r="F16" i="39"/>
  <c r="H7" i="6"/>
  <c r="Z47" i="66"/>
  <c r="Z191" i="66"/>
  <c r="Y47" i="66"/>
  <c r="Y191" i="66"/>
  <c r="O47" i="66"/>
  <c r="J455" i="41"/>
  <c r="E364" i="38"/>
  <c r="K107" i="66" s="1"/>
  <c r="N107" i="66" s="1"/>
  <c r="G106" i="66"/>
  <c r="J429" i="37"/>
  <c r="J208" i="41"/>
  <c r="J428" i="41"/>
  <c r="I426" i="41"/>
  <c r="H152" i="41"/>
  <c r="H133" i="37"/>
  <c r="H133" i="58"/>
  <c r="I355" i="37"/>
  <c r="I355" i="58"/>
  <c r="J335" i="58"/>
  <c r="J335" i="37"/>
  <c r="H132" i="37"/>
  <c r="H132" i="58"/>
  <c r="H348" i="58"/>
  <c r="H348" i="37"/>
  <c r="H262" i="58"/>
  <c r="H262" i="37"/>
  <c r="J382" i="37"/>
  <c r="J382" i="58"/>
  <c r="H384" i="58"/>
  <c r="H384" i="37"/>
  <c r="I346" i="58"/>
  <c r="I346" i="37"/>
  <c r="H222" i="58"/>
  <c r="H222" i="37"/>
  <c r="H195" i="58"/>
  <c r="H195" i="37"/>
  <c r="H214" i="58"/>
  <c r="H214" i="37"/>
  <c r="H145" i="58"/>
  <c r="H145" i="37"/>
  <c r="H392" i="58"/>
  <c r="H392" i="37"/>
  <c r="J351" i="58"/>
  <c r="J351" i="37"/>
  <c r="I186" i="58"/>
  <c r="I186" i="37"/>
  <c r="I129" i="37"/>
  <c r="I129" i="58"/>
  <c r="J360" i="58"/>
  <c r="J360" i="37"/>
  <c r="H334" i="37"/>
  <c r="H334" i="58"/>
  <c r="H188" i="58"/>
  <c r="H188" i="37"/>
  <c r="I259" i="37"/>
  <c r="I259" i="58"/>
  <c r="I268" i="37"/>
  <c r="I268" i="58"/>
  <c r="I319" i="58"/>
  <c r="I319" i="37"/>
  <c r="J298" i="58"/>
  <c r="J298" i="37"/>
  <c r="J388" i="37"/>
  <c r="J388" i="58"/>
  <c r="H299" i="58"/>
  <c r="H299" i="37"/>
  <c r="H362" i="58"/>
  <c r="H362" i="37"/>
  <c r="H298" i="37"/>
  <c r="H298" i="58"/>
  <c r="J202" i="37"/>
  <c r="J202" i="58"/>
  <c r="I339" i="58"/>
  <c r="I339" i="37"/>
  <c r="H192" i="58"/>
  <c r="H192" i="37"/>
  <c r="I354" i="58"/>
  <c r="I354" i="37"/>
  <c r="H159" i="37"/>
  <c r="H159" i="58"/>
  <c r="J156" i="58"/>
  <c r="J156" i="37"/>
  <c r="I366" i="37"/>
  <c r="I366" i="58"/>
  <c r="I267" i="37"/>
  <c r="I267" i="58"/>
  <c r="J249" i="58"/>
  <c r="J249" i="37"/>
  <c r="H340" i="58"/>
  <c r="H340" i="37"/>
  <c r="H270" i="58"/>
  <c r="H270" i="37"/>
  <c r="I204" i="37"/>
  <c r="I204" i="58"/>
  <c r="J201" i="58"/>
  <c r="J201" i="37"/>
  <c r="I371" i="58"/>
  <c r="I371" i="37"/>
  <c r="H356" i="37"/>
  <c r="H356" i="58"/>
  <c r="H179" i="58"/>
  <c r="H179" i="37"/>
  <c r="J222" i="37"/>
  <c r="J222" i="58"/>
  <c r="H234" i="58"/>
  <c r="H234" i="37"/>
  <c r="J138" i="58"/>
  <c r="J138" i="37"/>
  <c r="H283" i="37"/>
  <c r="H283" i="58"/>
  <c r="I184" i="58"/>
  <c r="I184" i="37"/>
  <c r="H331" i="58"/>
  <c r="H331" i="37"/>
  <c r="I193" i="58"/>
  <c r="I193" i="37"/>
  <c r="H311" i="58"/>
  <c r="H311" i="37"/>
  <c r="I244" i="37"/>
  <c r="I244" i="58"/>
  <c r="I350" i="37"/>
  <c r="I350" i="58"/>
  <c r="H235" i="58"/>
  <c r="H235" i="37"/>
  <c r="H309" i="58"/>
  <c r="H309" i="37"/>
  <c r="H228" i="58"/>
  <c r="H228" i="37"/>
  <c r="I292" i="37"/>
  <c r="I292" i="58"/>
  <c r="H13" i="41"/>
  <c r="G27" i="39"/>
  <c r="N127" i="66"/>
  <c r="O271" i="66" s="1"/>
  <c r="H404" i="41"/>
  <c r="F30" i="66"/>
  <c r="N30" i="66" s="1"/>
  <c r="Z261" i="66"/>
  <c r="Y261" i="66"/>
  <c r="Y117" i="66"/>
  <c r="Z117" i="66"/>
  <c r="N79" i="66"/>
  <c r="O223" i="66" s="1"/>
  <c r="F27" i="39"/>
  <c r="J425" i="41"/>
  <c r="I423" i="41"/>
  <c r="I380" i="37"/>
  <c r="I380" i="58"/>
  <c r="I227" i="37"/>
  <c r="I227" i="58"/>
  <c r="H176" i="37"/>
  <c r="H176" i="58"/>
  <c r="I144" i="37"/>
  <c r="I144" i="58"/>
  <c r="H258" i="37"/>
  <c r="H258" i="58"/>
  <c r="J151" i="58"/>
  <c r="J151" i="37"/>
  <c r="J199" i="58"/>
  <c r="J199" i="37"/>
  <c r="I145" i="58"/>
  <c r="I145" i="37"/>
  <c r="I141" i="37"/>
  <c r="I141" i="58"/>
  <c r="H11" i="41"/>
  <c r="H463" i="58"/>
  <c r="H463" i="37"/>
  <c r="J236" i="58"/>
  <c r="J236" i="37"/>
  <c r="H305" i="58"/>
  <c r="H305" i="37"/>
  <c r="J374" i="58"/>
  <c r="J374" i="37"/>
  <c r="H167" i="37"/>
  <c r="H167" i="58"/>
  <c r="I330" i="58"/>
  <c r="I330" i="37"/>
  <c r="J126" i="37"/>
  <c r="J126" i="58"/>
  <c r="H137" i="37"/>
  <c r="H137" i="58"/>
  <c r="H282" i="37"/>
  <c r="H282" i="58"/>
  <c r="I149" i="58"/>
  <c r="I149" i="37"/>
  <c r="H245" i="58"/>
  <c r="H245" i="37"/>
  <c r="I369" i="58"/>
  <c r="I369" i="37"/>
  <c r="I328" i="37"/>
  <c r="I328" i="58"/>
  <c r="I381" i="37"/>
  <c r="I381" i="58"/>
  <c r="H165" i="37"/>
  <c r="H165" i="58"/>
  <c r="I374" i="37"/>
  <c r="I374" i="58"/>
  <c r="H284" i="37"/>
  <c r="H284" i="58"/>
  <c r="H396" i="37"/>
  <c r="H396" i="58"/>
  <c r="J356" i="37"/>
  <c r="J356" i="58"/>
  <c r="I199" i="58"/>
  <c r="I199" i="37"/>
  <c r="J240" i="58"/>
  <c r="J240" i="37"/>
  <c r="I376" i="58"/>
  <c r="I376" i="37"/>
  <c r="J355" i="37"/>
  <c r="J355" i="58"/>
  <c r="H200" i="37"/>
  <c r="H200" i="58"/>
  <c r="I343" i="58"/>
  <c r="I343" i="37"/>
  <c r="I311" i="37"/>
  <c r="I311" i="58"/>
  <c r="I271" i="58"/>
  <c r="I271" i="37"/>
  <c r="H286" i="37"/>
  <c r="H286" i="58"/>
  <c r="I349" i="58"/>
  <c r="I349" i="37"/>
  <c r="H267" i="58"/>
  <c r="H267" i="37"/>
  <c r="J297" i="58"/>
  <c r="J297" i="37"/>
  <c r="H393" i="37"/>
  <c r="H393" i="58"/>
  <c r="I270" i="37"/>
  <c r="I270" i="58"/>
  <c r="H252" i="58"/>
  <c r="H252" i="37"/>
  <c r="J321" i="37"/>
  <c r="J321" i="58"/>
  <c r="J399" i="37"/>
  <c r="J399" i="58"/>
  <c r="I237" i="58"/>
  <c r="I237" i="37"/>
  <c r="I393" i="37"/>
  <c r="I393" i="58"/>
  <c r="J261" i="58"/>
  <c r="J261" i="37"/>
  <c r="I234" i="58"/>
  <c r="I234" i="37"/>
  <c r="J329" i="37"/>
  <c r="J329" i="58"/>
  <c r="H321" i="58"/>
  <c r="H321" i="37"/>
  <c r="I201" i="37"/>
  <c r="I201" i="58"/>
  <c r="I316" i="37"/>
  <c r="I316" i="58"/>
  <c r="J361" i="58"/>
  <c r="J361" i="37"/>
  <c r="H332" i="58"/>
  <c r="H332" i="37"/>
  <c r="I178" i="58"/>
  <c r="I178" i="37"/>
  <c r="H121" i="58"/>
  <c r="H121" i="37"/>
  <c r="J287" i="58"/>
  <c r="J287" i="37"/>
  <c r="J362" i="58"/>
  <c r="J362" i="37"/>
  <c r="H230" i="37"/>
  <c r="H230" i="58"/>
  <c r="H178" i="58"/>
  <c r="H178" i="37"/>
  <c r="H377" i="58"/>
  <c r="H377" i="37"/>
  <c r="J182" i="37"/>
  <c r="J182" i="58"/>
  <c r="H203" i="58"/>
  <c r="H203" i="37"/>
  <c r="J158" i="37"/>
  <c r="J158" i="58"/>
  <c r="H191" i="58"/>
  <c r="H191" i="37"/>
  <c r="J397" i="37"/>
  <c r="J397" i="58"/>
  <c r="I296" i="37"/>
  <c r="I296" i="58"/>
  <c r="I325" i="37"/>
  <c r="I325" i="58"/>
  <c r="J379" i="37"/>
  <c r="J379" i="58"/>
  <c r="I272" i="37"/>
  <c r="I272" i="58"/>
  <c r="J343" i="58"/>
  <c r="J343" i="37"/>
  <c r="I365" i="58"/>
  <c r="I365" i="37"/>
  <c r="H225" i="37"/>
  <c r="H225" i="58"/>
  <c r="H181" i="37"/>
  <c r="H181" i="58"/>
  <c r="I278" i="58"/>
  <c r="I278" i="37"/>
  <c r="H374" i="58"/>
  <c r="H374" i="37"/>
  <c r="H388" i="37"/>
  <c r="H388" i="58"/>
  <c r="I302" i="58"/>
  <c r="I302" i="37"/>
  <c r="J370" i="37"/>
  <c r="J370" i="58"/>
  <c r="I281" i="37"/>
  <c r="I281" i="58"/>
  <c r="I214" i="37"/>
  <c r="I214" i="58"/>
  <c r="H357" i="58"/>
  <c r="H357" i="37"/>
  <c r="H312" i="37"/>
  <c r="H312" i="58"/>
  <c r="I389" i="58"/>
  <c r="I389" i="37"/>
  <c r="J286" i="37"/>
  <c r="J286" i="58"/>
  <c r="I322" i="37"/>
  <c r="I322" i="58"/>
  <c r="J322" i="58"/>
  <c r="J322" i="37"/>
  <c r="H380" i="58"/>
  <c r="H380" i="37"/>
  <c r="H128" i="37"/>
  <c r="H128" i="58"/>
  <c r="I191" i="37"/>
  <c r="I191" i="58"/>
  <c r="J295" i="58"/>
  <c r="J295" i="37"/>
  <c r="H351" i="37"/>
  <c r="H351" i="58"/>
  <c r="H304" i="37"/>
  <c r="H304" i="58"/>
  <c r="I341" i="58"/>
  <c r="I341" i="37"/>
  <c r="H360" i="37"/>
  <c r="H360" i="58"/>
  <c r="I255" i="37"/>
  <c r="I255" i="58"/>
  <c r="J369" i="58"/>
  <c r="J369" i="37"/>
  <c r="J128" i="58"/>
  <c r="J128" i="37"/>
  <c r="J294" i="37"/>
  <c r="J294" i="58"/>
  <c r="I351" i="58"/>
  <c r="I351" i="37"/>
  <c r="J279" i="58"/>
  <c r="J279" i="37"/>
  <c r="I252" i="37"/>
  <c r="I252" i="58"/>
  <c r="J387" i="58"/>
  <c r="J387" i="37"/>
  <c r="I180" i="37"/>
  <c r="I180" i="58"/>
  <c r="J234" i="58"/>
  <c r="J234" i="37"/>
  <c r="I348" i="37"/>
  <c r="I348" i="58"/>
  <c r="H297" i="58"/>
  <c r="H297" i="37"/>
  <c r="I220" i="37"/>
  <c r="I220" i="58"/>
  <c r="J396" i="58"/>
  <c r="J396" i="37"/>
  <c r="I177" i="58"/>
  <c r="I177" i="37"/>
  <c r="I372" i="58"/>
  <c r="I372" i="37"/>
  <c r="H313" i="37"/>
  <c r="H313" i="58"/>
  <c r="I189" i="37"/>
  <c r="I189" i="58"/>
  <c r="I301" i="37"/>
  <c r="I301" i="58"/>
  <c r="I362" i="37"/>
  <c r="I362" i="58"/>
  <c r="I352" i="37"/>
  <c r="I352" i="58"/>
  <c r="H227" i="37"/>
  <c r="H227" i="58"/>
  <c r="H363" i="37"/>
  <c r="H363" i="58"/>
  <c r="J330" i="37"/>
  <c r="J330" i="58"/>
  <c r="J233" i="37"/>
  <c r="J233" i="58"/>
  <c r="I142" i="58"/>
  <c r="I142" i="37"/>
  <c r="H352" i="58"/>
  <c r="H352" i="37"/>
  <c r="H250" i="58"/>
  <c r="H250" i="37"/>
  <c r="H238" i="37"/>
  <c r="H238" i="58"/>
  <c r="I247" i="37"/>
  <c r="I247" i="58"/>
  <c r="H157" i="37"/>
  <c r="H157" i="58"/>
  <c r="I368" i="58"/>
  <c r="I368" i="37"/>
  <c r="H366" i="58"/>
  <c r="H366" i="37"/>
  <c r="H278" i="58"/>
  <c r="H278" i="37"/>
  <c r="I232" i="58"/>
  <c r="I232" i="37"/>
  <c r="I398" i="37"/>
  <c r="I398" i="58"/>
  <c r="H215" i="58"/>
  <c r="H215" i="37"/>
  <c r="H147" i="58"/>
  <c r="H147" i="37"/>
  <c r="J173" i="37"/>
  <c r="J173" i="58"/>
  <c r="J262" i="58"/>
  <c r="J262" i="37"/>
  <c r="H158" i="58"/>
  <c r="H158" i="37"/>
  <c r="H385" i="37"/>
  <c r="H385" i="58"/>
  <c r="H256" i="58"/>
  <c r="H256" i="37"/>
  <c r="J214" i="37"/>
  <c r="J214" i="58"/>
  <c r="I306" i="58"/>
  <c r="I306" i="37"/>
  <c r="J334" i="37"/>
  <c r="J334" i="58"/>
  <c r="J364" i="58"/>
  <c r="J364" i="37"/>
  <c r="H342" i="37"/>
  <c r="H342" i="58"/>
  <c r="H229" i="37"/>
  <c r="H229" i="58"/>
  <c r="I269" i="58"/>
  <c r="I269" i="37"/>
  <c r="H389" i="58"/>
  <c r="H389" i="37"/>
  <c r="J278" i="37"/>
  <c r="J278" i="58"/>
  <c r="I187" i="37"/>
  <c r="I187" i="58"/>
  <c r="I147" i="58"/>
  <c r="I147" i="37"/>
  <c r="I373" i="58"/>
  <c r="I373" i="37"/>
  <c r="J253" i="37"/>
  <c r="J253" i="58"/>
  <c r="I347" i="58"/>
  <c r="I347" i="37"/>
  <c r="I266" i="37"/>
  <c r="I266" i="58"/>
  <c r="T166" i="66"/>
  <c r="H431" i="41"/>
  <c r="J13" i="41"/>
  <c r="O31" i="66"/>
  <c r="Y175" i="66"/>
  <c r="H6" i="6"/>
  <c r="Z31" i="66"/>
  <c r="Z175" i="66"/>
  <c r="Y31" i="66"/>
  <c r="Z172" i="66"/>
  <c r="Z28" i="66"/>
  <c r="Y172" i="66"/>
  <c r="Y28" i="66"/>
  <c r="J8" i="41"/>
  <c r="C25" i="63"/>
  <c r="I230" i="41"/>
  <c r="J431" i="41"/>
  <c r="H430" i="41"/>
  <c r="Z220" i="66"/>
  <c r="Y220" i="66"/>
  <c r="Y76" i="66"/>
  <c r="Z76" i="66"/>
  <c r="J419" i="41"/>
  <c r="Y165" i="66"/>
  <c r="Z165" i="66"/>
  <c r="Z21" i="66"/>
  <c r="Y21" i="66"/>
  <c r="E363" i="38"/>
  <c r="K123" i="66" s="1"/>
  <c r="N123" i="66" s="1"/>
  <c r="J454" i="41"/>
  <c r="I162" i="41"/>
  <c r="I157" i="41"/>
  <c r="J432" i="41"/>
  <c r="H12" i="41"/>
  <c r="O191" i="66"/>
  <c r="X22" i="66"/>
  <c r="G28" i="39"/>
  <c r="N143" i="66"/>
  <c r="U175" i="66" l="1"/>
  <c r="U166" i="66"/>
  <c r="N202" i="66"/>
  <c r="Z203" i="66"/>
  <c r="O251" i="66"/>
  <c r="Q251" i="66" s="1"/>
  <c r="R251" i="66" s="1"/>
  <c r="T251" i="66" s="1"/>
  <c r="Y93" i="66"/>
  <c r="Z59" i="66"/>
  <c r="J429" i="41"/>
  <c r="I321" i="41"/>
  <c r="I463" i="41"/>
  <c r="J129" i="41"/>
  <c r="H277" i="41"/>
  <c r="J281" i="41"/>
  <c r="I342" i="41"/>
  <c r="I236" i="41"/>
  <c r="H279" i="41"/>
  <c r="H156" i="41"/>
  <c r="I183" i="41"/>
  <c r="J331" i="41"/>
  <c r="H171" i="41"/>
  <c r="Y203" i="66"/>
  <c r="H325" i="41"/>
  <c r="Z237" i="66"/>
  <c r="Z93" i="66"/>
  <c r="Z219" i="66"/>
  <c r="I294" i="41"/>
  <c r="O93" i="66"/>
  <c r="Q93" i="66" s="1"/>
  <c r="R93" i="66" s="1"/>
  <c r="T93" i="66" s="1"/>
  <c r="Z75" i="66"/>
  <c r="Y237" i="66"/>
  <c r="O75" i="66"/>
  <c r="U75" i="66" s="1"/>
  <c r="I280" i="41"/>
  <c r="H269" i="41"/>
  <c r="I217" i="41"/>
  <c r="H138" i="41"/>
  <c r="H172" i="41"/>
  <c r="H387" i="41"/>
  <c r="J365" i="41"/>
  <c r="H347" i="41"/>
  <c r="J149" i="41"/>
  <c r="H153" i="41"/>
  <c r="H391" i="41"/>
  <c r="J463" i="41"/>
  <c r="I209" i="41"/>
  <c r="H359" i="41"/>
  <c r="H345" i="41"/>
  <c r="J184" i="41"/>
  <c r="J373" i="41"/>
  <c r="H293" i="41"/>
  <c r="H201" i="41"/>
  <c r="I190" i="41"/>
  <c r="J180" i="41"/>
  <c r="I285" i="41"/>
  <c r="J250" i="41"/>
  <c r="I378" i="41"/>
  <c r="I198" i="41"/>
  <c r="I318" i="41"/>
  <c r="J311" i="41"/>
  <c r="I305" i="41"/>
  <c r="H137" i="41"/>
  <c r="J401" i="41"/>
  <c r="J213" i="41"/>
  <c r="H343" i="41"/>
  <c r="H307" i="41"/>
  <c r="J227" i="41"/>
  <c r="H306" i="41"/>
  <c r="H349" i="41"/>
  <c r="H271" i="41"/>
  <c r="Y59" i="66"/>
  <c r="O59" i="66"/>
  <c r="V59" i="66" s="1"/>
  <c r="X59" i="66" s="1"/>
  <c r="Z201" i="66"/>
  <c r="Y75" i="66"/>
  <c r="J173" i="41"/>
  <c r="J330" i="41"/>
  <c r="I362" i="41"/>
  <c r="I189" i="41"/>
  <c r="I180" i="41"/>
  <c r="J286" i="41"/>
  <c r="I214" i="41"/>
  <c r="H388" i="41"/>
  <c r="J397" i="41"/>
  <c r="J329" i="41"/>
  <c r="I311" i="41"/>
  <c r="H396" i="41"/>
  <c r="I381" i="41"/>
  <c r="J126" i="41"/>
  <c r="H235" i="41"/>
  <c r="I193" i="41"/>
  <c r="H270" i="41"/>
  <c r="I354" i="41"/>
  <c r="H145" i="41"/>
  <c r="H222" i="41"/>
  <c r="H262" i="41"/>
  <c r="H241" i="41"/>
  <c r="I130" i="41"/>
  <c r="H315" i="41"/>
  <c r="H319" i="41"/>
  <c r="I137" i="41"/>
  <c r="I128" i="41"/>
  <c r="H237" i="41"/>
  <c r="H231" i="41"/>
  <c r="H130" i="41"/>
  <c r="I185" i="41"/>
  <c r="H182" i="41"/>
  <c r="H208" i="41"/>
  <c r="H154" i="41"/>
  <c r="H265" i="41"/>
  <c r="J310" i="41"/>
  <c r="H289" i="41"/>
  <c r="J192" i="41"/>
  <c r="J346" i="41"/>
  <c r="H183" i="41"/>
  <c r="I358" i="41"/>
  <c r="J210" i="41"/>
  <c r="J215" i="41"/>
  <c r="J160" i="41"/>
  <c r="J231" i="41"/>
  <c r="I323" i="41"/>
  <c r="I212" i="41"/>
  <c r="H296" i="41"/>
  <c r="I231" i="41"/>
  <c r="J378" i="41"/>
  <c r="I260" i="41"/>
  <c r="J296" i="41"/>
  <c r="H257" i="41"/>
  <c r="I125" i="41"/>
  <c r="I299" i="41"/>
  <c r="Y57" i="66"/>
  <c r="I375" i="41"/>
  <c r="H328" i="41"/>
  <c r="H155" i="41"/>
  <c r="I202" i="41"/>
  <c r="I238" i="41"/>
  <c r="J392" i="41"/>
  <c r="I387" i="41"/>
  <c r="H288" i="41"/>
  <c r="J124" i="41"/>
  <c r="H166" i="41"/>
  <c r="J272" i="41"/>
  <c r="J271" i="41"/>
  <c r="J307" i="41"/>
  <c r="H353" i="41"/>
  <c r="J174" i="41"/>
  <c r="I384" i="41"/>
  <c r="H327" i="41"/>
  <c r="H185" i="41"/>
  <c r="H308" i="41"/>
  <c r="I327" i="41"/>
  <c r="H244" i="41"/>
  <c r="J212" i="41"/>
  <c r="J347" i="41"/>
  <c r="I337" i="41"/>
  <c r="J151" i="41"/>
  <c r="H309" i="41"/>
  <c r="H311" i="41"/>
  <c r="I371" i="41"/>
  <c r="H299" i="41"/>
  <c r="J360" i="41"/>
  <c r="H392" i="41"/>
  <c r="H195" i="41"/>
  <c r="J335" i="41"/>
  <c r="J242" i="41"/>
  <c r="J342" i="41"/>
  <c r="I275" i="41"/>
  <c r="H323" i="41"/>
  <c r="I332" i="41"/>
  <c r="I297" i="41"/>
  <c r="J148" i="41"/>
  <c r="I241" i="41"/>
  <c r="I277" i="41"/>
  <c r="H369" i="41"/>
  <c r="H287" i="41"/>
  <c r="H390" i="41"/>
  <c r="H382" i="41"/>
  <c r="I279" i="41"/>
  <c r="H242" i="41"/>
  <c r="H202" i="41"/>
  <c r="I401" i="41"/>
  <c r="J223" i="41"/>
  <c r="H207" i="41"/>
  <c r="H263" i="41"/>
  <c r="J389" i="41"/>
  <c r="J245" i="41"/>
  <c r="I345" i="41"/>
  <c r="H302" i="41"/>
  <c r="I150" i="41"/>
  <c r="I224" i="41"/>
  <c r="I161" i="41"/>
  <c r="H326" i="41"/>
  <c r="J288" i="41"/>
  <c r="J299" i="41"/>
  <c r="J253" i="41"/>
  <c r="J334" i="41"/>
  <c r="H385" i="41"/>
  <c r="H157" i="41"/>
  <c r="H363" i="41"/>
  <c r="I255" i="41"/>
  <c r="I281" i="41"/>
  <c r="J379" i="41"/>
  <c r="J182" i="41"/>
  <c r="H230" i="41"/>
  <c r="I316" i="41"/>
  <c r="J399" i="41"/>
  <c r="I270" i="41"/>
  <c r="H284" i="41"/>
  <c r="I328" i="41"/>
  <c r="I145" i="41"/>
  <c r="H331" i="41"/>
  <c r="J138" i="41"/>
  <c r="H179" i="41"/>
  <c r="J201" i="41"/>
  <c r="H340" i="41"/>
  <c r="H192" i="41"/>
  <c r="J298" i="41"/>
  <c r="H188" i="41"/>
  <c r="H214" i="41"/>
  <c r="I346" i="41"/>
  <c r="J258" i="41"/>
  <c r="I261" i="41"/>
  <c r="I124" i="41"/>
  <c r="N250" i="66"/>
  <c r="I225" i="41"/>
  <c r="H221" i="41"/>
  <c r="H254" i="41"/>
  <c r="J260" i="41"/>
  <c r="I196" i="41"/>
  <c r="I262" i="41"/>
  <c r="H190" i="41"/>
  <c r="H358" i="41"/>
  <c r="H368" i="41"/>
  <c r="J353" i="41"/>
  <c r="J150" i="41"/>
  <c r="I205" i="41"/>
  <c r="J398" i="41"/>
  <c r="H149" i="41"/>
  <c r="J137" i="41"/>
  <c r="J241" i="41"/>
  <c r="H148" i="41"/>
  <c r="H401" i="41"/>
  <c r="I239" i="41"/>
  <c r="I187" i="41"/>
  <c r="H229" i="41"/>
  <c r="I247" i="41"/>
  <c r="H227" i="41"/>
  <c r="I301" i="41"/>
  <c r="H313" i="41"/>
  <c r="J294" i="41"/>
  <c r="H304" i="41"/>
  <c r="I191" i="41"/>
  <c r="H312" i="41"/>
  <c r="J370" i="41"/>
  <c r="H181" i="41"/>
  <c r="I325" i="41"/>
  <c r="J158" i="41"/>
  <c r="I201" i="41"/>
  <c r="J321" i="41"/>
  <c r="H393" i="41"/>
  <c r="H286" i="41"/>
  <c r="H200" i="41"/>
  <c r="I374" i="41"/>
  <c r="H167" i="41"/>
  <c r="J199" i="41"/>
  <c r="I184" i="41"/>
  <c r="H234" i="41"/>
  <c r="J249" i="41"/>
  <c r="J156" i="41"/>
  <c r="I339" i="41"/>
  <c r="H362" i="41"/>
  <c r="I319" i="41"/>
  <c r="J351" i="41"/>
  <c r="H384" i="41"/>
  <c r="H292" i="41"/>
  <c r="H350" i="41"/>
  <c r="I263" i="41"/>
  <c r="J383" i="41"/>
  <c r="H236" i="41"/>
  <c r="H129" i="41"/>
  <c r="J190" i="41"/>
  <c r="I273" i="41"/>
  <c r="H243" i="41"/>
  <c r="I326" i="41"/>
  <c r="I146" i="41"/>
  <c r="H365" i="41"/>
  <c r="I391" i="41"/>
  <c r="H318" i="41"/>
  <c r="I174" i="41"/>
  <c r="I312" i="41"/>
  <c r="H346" i="41"/>
  <c r="H187" i="41"/>
  <c r="H260" i="41"/>
  <c r="I218" i="41"/>
  <c r="I288" i="41"/>
  <c r="I336" i="41"/>
  <c r="I171" i="41"/>
  <c r="I254" i="41"/>
  <c r="H317" i="41"/>
  <c r="I133" i="41"/>
  <c r="I192" i="41"/>
  <c r="I195" i="41"/>
  <c r="H398" i="41"/>
  <c r="J372" i="41"/>
  <c r="J176" i="41"/>
  <c r="H253" i="41"/>
  <c r="I181" i="41"/>
  <c r="I303" i="41"/>
  <c r="H274" i="41"/>
  <c r="J232" i="41"/>
  <c r="J390" i="41"/>
  <c r="H354" i="41"/>
  <c r="I194" i="41"/>
  <c r="H213" i="41"/>
  <c r="I367" i="41"/>
  <c r="H259" i="41"/>
  <c r="J340" i="41"/>
  <c r="I399" i="41"/>
  <c r="J316" i="41"/>
  <c r="H193" i="41"/>
  <c r="J263" i="41"/>
  <c r="H170" i="41"/>
  <c r="H210" i="41"/>
  <c r="I253" i="41"/>
  <c r="I344" i="41"/>
  <c r="J280" i="41"/>
  <c r="J226" i="41"/>
  <c r="H224" i="41"/>
  <c r="H370" i="41"/>
  <c r="I240" i="41"/>
  <c r="J400" i="41"/>
  <c r="J277" i="41"/>
  <c r="I215" i="41"/>
  <c r="H150" i="41"/>
  <c r="I143" i="41"/>
  <c r="J278" i="41"/>
  <c r="J233" i="41"/>
  <c r="H128" i="41"/>
  <c r="H225" i="41"/>
  <c r="I296" i="41"/>
  <c r="J356" i="41"/>
  <c r="I266" i="41"/>
  <c r="H342" i="41"/>
  <c r="J214" i="41"/>
  <c r="I398" i="41"/>
  <c r="H238" i="41"/>
  <c r="I352" i="41"/>
  <c r="I220" i="41"/>
  <c r="I252" i="41"/>
  <c r="H360" i="41"/>
  <c r="H351" i="41"/>
  <c r="I322" i="41"/>
  <c r="I272" i="41"/>
  <c r="I393" i="41"/>
  <c r="J355" i="41"/>
  <c r="H165" i="41"/>
  <c r="J225" i="41"/>
  <c r="J289" i="41"/>
  <c r="H226" i="41"/>
  <c r="H295" i="41"/>
  <c r="J203" i="41"/>
  <c r="I338" i="41"/>
  <c r="H180" i="41"/>
  <c r="H397" i="41"/>
  <c r="J211" i="41"/>
  <c r="J152" i="41"/>
  <c r="I153" i="41"/>
  <c r="I335" i="41"/>
  <c r="I276" i="41"/>
  <c r="H341" i="41"/>
  <c r="I329" i="41"/>
  <c r="I293" i="41"/>
  <c r="Q271" i="66"/>
  <c r="R271" i="66" s="1"/>
  <c r="T271" i="66" s="1"/>
  <c r="U271" i="66"/>
  <c r="V271" i="66"/>
  <c r="X271" i="66" s="1"/>
  <c r="Q223" i="66"/>
  <c r="R223" i="66" s="1"/>
  <c r="T223" i="66" s="1"/>
  <c r="V223" i="66"/>
  <c r="X223" i="66" s="1"/>
  <c r="U223" i="66"/>
  <c r="F196" i="66"/>
  <c r="N196" i="66" s="1"/>
  <c r="D55" i="57"/>
  <c r="F104" i="66"/>
  <c r="E44" i="39"/>
  <c r="E127" i="38" s="1"/>
  <c r="J470" i="41"/>
  <c r="E17" i="39" s="1"/>
  <c r="J139" i="37"/>
  <c r="J139" i="58"/>
  <c r="C50" i="63" s="1"/>
  <c r="Q31" i="66"/>
  <c r="U31" i="66"/>
  <c r="I347" i="41"/>
  <c r="I147" i="41"/>
  <c r="H389" i="41"/>
  <c r="J364" i="41"/>
  <c r="H256" i="41"/>
  <c r="I368" i="41"/>
  <c r="H250" i="41"/>
  <c r="J279" i="41"/>
  <c r="J369" i="41"/>
  <c r="I341" i="41"/>
  <c r="J295" i="41"/>
  <c r="H380" i="41"/>
  <c r="I278" i="41"/>
  <c r="H203" i="41"/>
  <c r="H115" i="66"/>
  <c r="E2" i="53"/>
  <c r="H121" i="41"/>
  <c r="F19" i="66"/>
  <c r="H67" i="66"/>
  <c r="H19" i="66"/>
  <c r="J361" i="41"/>
  <c r="I237" i="41"/>
  <c r="H252" i="41"/>
  <c r="H267" i="41"/>
  <c r="I376" i="41"/>
  <c r="I149" i="41"/>
  <c r="H305" i="41"/>
  <c r="I227" i="41"/>
  <c r="J222" i="41"/>
  <c r="I204" i="41"/>
  <c r="D16" i="57"/>
  <c r="F52" i="66"/>
  <c r="N52" i="66" s="1"/>
  <c r="H159" i="41"/>
  <c r="J202" i="41"/>
  <c r="I268" i="41"/>
  <c r="J382" i="41"/>
  <c r="O57" i="66"/>
  <c r="F113" i="66"/>
  <c r="N113" i="66" s="1"/>
  <c r="J468" i="41"/>
  <c r="I251" i="41"/>
  <c r="H122" i="41"/>
  <c r="I359" i="41"/>
  <c r="I210" i="41"/>
  <c r="E20" i="53"/>
  <c r="F211" i="66"/>
  <c r="H189" i="41"/>
  <c r="I386" i="41"/>
  <c r="I469" i="41"/>
  <c r="F58" i="66"/>
  <c r="N58" i="66" s="1"/>
  <c r="J319" i="41"/>
  <c r="H240" i="41"/>
  <c r="I274" i="41"/>
  <c r="I310" i="41"/>
  <c r="I394" i="41"/>
  <c r="I246" i="41"/>
  <c r="D23" i="57"/>
  <c r="F62" i="66"/>
  <c r="N62" i="66" s="1"/>
  <c r="I140" i="41"/>
  <c r="H333" i="41"/>
  <c r="I356" i="41"/>
  <c r="I155" i="41"/>
  <c r="H173" i="41"/>
  <c r="H239" i="41"/>
  <c r="J220" i="41"/>
  <c r="I182" i="41"/>
  <c r="H276" i="41"/>
  <c r="H120" i="41"/>
  <c r="D2" i="57"/>
  <c r="F25" i="66"/>
  <c r="H123" i="41"/>
  <c r="I164" i="41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I364" i="41"/>
  <c r="J254" i="41"/>
  <c r="H206" i="41"/>
  <c r="I388" i="41"/>
  <c r="I207" i="41"/>
  <c r="Q22" i="66"/>
  <c r="U22" i="66"/>
  <c r="Q27" i="66"/>
  <c r="U27" i="66"/>
  <c r="I404" i="41"/>
  <c r="F78" i="66"/>
  <c r="N78" i="66" s="1"/>
  <c r="J371" i="41"/>
  <c r="J193" i="41"/>
  <c r="I383" i="41"/>
  <c r="I248" i="41"/>
  <c r="I317" i="41"/>
  <c r="I249" i="41"/>
  <c r="J209" i="41"/>
  <c r="J171" i="41"/>
  <c r="H338" i="41"/>
  <c r="D63" i="57"/>
  <c r="F225" i="66"/>
  <c r="N225" i="66" s="1"/>
  <c r="H399" i="41"/>
  <c r="H400" i="41"/>
  <c r="H471" i="37"/>
  <c r="E392" i="38"/>
  <c r="M38" i="66" s="1"/>
  <c r="D4" i="57"/>
  <c r="H300" i="41"/>
  <c r="F38" i="66"/>
  <c r="H472" i="37"/>
  <c r="I131" i="58"/>
  <c r="C42" i="63" s="1"/>
  <c r="I131" i="37"/>
  <c r="J469" i="41"/>
  <c r="F106" i="66"/>
  <c r="N106" i="66" s="1"/>
  <c r="I121" i="41"/>
  <c r="E14" i="53"/>
  <c r="F67" i="66"/>
  <c r="Q189" i="66"/>
  <c r="U189" i="66"/>
  <c r="F56" i="66"/>
  <c r="D44" i="39"/>
  <c r="E110" i="38" s="1"/>
  <c r="I470" i="41"/>
  <c r="D17" i="39" s="1"/>
  <c r="D62" i="57"/>
  <c r="F206" i="66"/>
  <c r="N206" i="66" s="1"/>
  <c r="F169" i="66"/>
  <c r="D41" i="57"/>
  <c r="I168" i="41"/>
  <c r="F72" i="66"/>
  <c r="N72" i="66" s="1"/>
  <c r="D20" i="57"/>
  <c r="D61" i="57"/>
  <c r="F221" i="66"/>
  <c r="Q171" i="66"/>
  <c r="U171" i="66"/>
  <c r="F81" i="66"/>
  <c r="N81" i="66" s="1"/>
  <c r="D24" i="57"/>
  <c r="I264" i="41"/>
  <c r="H127" i="58"/>
  <c r="H127" i="37"/>
  <c r="J7" i="6"/>
  <c r="Y143" i="66"/>
  <c r="Z287" i="66"/>
  <c r="Y287" i="66"/>
  <c r="Z143" i="66"/>
  <c r="O143" i="66"/>
  <c r="F178" i="66"/>
  <c r="E10" i="53"/>
  <c r="F10" i="53" s="1"/>
  <c r="D53" i="57"/>
  <c r="F163" i="66"/>
  <c r="H259" i="66"/>
  <c r="E8" i="53"/>
  <c r="H211" i="66"/>
  <c r="H163" i="66"/>
  <c r="J131" i="58"/>
  <c r="J131" i="37"/>
  <c r="H131" i="58"/>
  <c r="H131" i="37"/>
  <c r="Q191" i="66"/>
  <c r="U191" i="66"/>
  <c r="O267" i="66"/>
  <c r="Z123" i="66"/>
  <c r="Z267" i="66"/>
  <c r="Y123" i="66"/>
  <c r="O123" i="66"/>
  <c r="Y267" i="66"/>
  <c r="I269" i="41"/>
  <c r="H147" i="41"/>
  <c r="I232" i="41"/>
  <c r="H352" i="41"/>
  <c r="I177" i="41"/>
  <c r="H297" i="41"/>
  <c r="I351" i="41"/>
  <c r="I389" i="41"/>
  <c r="H374" i="41"/>
  <c r="I365" i="41"/>
  <c r="H191" i="41"/>
  <c r="I234" i="41"/>
  <c r="I349" i="41"/>
  <c r="I343" i="41"/>
  <c r="J240" i="41"/>
  <c r="D48" i="57"/>
  <c r="F173" i="66"/>
  <c r="I330" i="41"/>
  <c r="J236" i="41"/>
  <c r="I141" i="41"/>
  <c r="H258" i="41"/>
  <c r="I380" i="41"/>
  <c r="I292" i="41"/>
  <c r="H283" i="41"/>
  <c r="I267" i="41"/>
  <c r="H298" i="41"/>
  <c r="J388" i="41"/>
  <c r="I259" i="41"/>
  <c r="I129" i="41"/>
  <c r="I355" i="41"/>
  <c r="Y201" i="66"/>
  <c r="H196" i="41"/>
  <c r="H199" i="41"/>
  <c r="H142" i="41"/>
  <c r="I291" i="41"/>
  <c r="J304" i="41"/>
  <c r="D25" i="57"/>
  <c r="F61" i="66"/>
  <c r="N61" i="66" s="1"/>
  <c r="I324" i="41"/>
  <c r="F65" i="66"/>
  <c r="N65" i="66" s="1"/>
  <c r="I468" i="41"/>
  <c r="F200" i="66"/>
  <c r="L44" i="39"/>
  <c r="E161" i="38" s="1"/>
  <c r="H161" i="41"/>
  <c r="H375" i="41"/>
  <c r="F248" i="66"/>
  <c r="M44" i="39"/>
  <c r="E178" i="38" s="1"/>
  <c r="F217" i="66"/>
  <c r="D54" i="57"/>
  <c r="F13" i="66"/>
  <c r="N13" i="66" s="1"/>
  <c r="H324" i="41"/>
  <c r="D12" i="57"/>
  <c r="H168" i="41"/>
  <c r="D7" i="57"/>
  <c r="F24" i="66"/>
  <c r="N24" i="66" s="1"/>
  <c r="Q9" i="66"/>
  <c r="U9" i="66"/>
  <c r="J175" i="41"/>
  <c r="I385" i="41"/>
  <c r="I265" i="41"/>
  <c r="I160" i="41"/>
  <c r="H322" i="41"/>
  <c r="H194" i="41"/>
  <c r="J323" i="41"/>
  <c r="H177" i="41"/>
  <c r="I400" i="41"/>
  <c r="H291" i="41"/>
  <c r="H376" i="41"/>
  <c r="J259" i="41"/>
  <c r="I223" i="41"/>
  <c r="J189" i="41"/>
  <c r="I360" i="41"/>
  <c r="H316" i="41"/>
  <c r="I396" i="41"/>
  <c r="J267" i="41"/>
  <c r="I243" i="41"/>
  <c r="H367" i="41"/>
  <c r="H285" i="41"/>
  <c r="I222" i="41"/>
  <c r="I176" i="41"/>
  <c r="I334" i="41"/>
  <c r="J328" i="41"/>
  <c r="H371" i="41"/>
  <c r="J308" i="41"/>
  <c r="I126" i="41"/>
  <c r="I290" i="41"/>
  <c r="J185" i="41"/>
  <c r="H355" i="41"/>
  <c r="H126" i="41"/>
  <c r="I120" i="41"/>
  <c r="F73" i="66"/>
  <c r="D15" i="57"/>
  <c r="J136" i="41"/>
  <c r="D51" i="57"/>
  <c r="F157" i="66"/>
  <c r="N157" i="66" s="1"/>
  <c r="J309" i="41"/>
  <c r="I315" i="41"/>
  <c r="H211" i="41"/>
  <c r="I122" i="41"/>
  <c r="H310" i="41"/>
  <c r="H320" i="41"/>
  <c r="J269" i="41"/>
  <c r="I295" i="41"/>
  <c r="H386" i="41"/>
  <c r="I132" i="41"/>
  <c r="I136" i="41"/>
  <c r="J194" i="41"/>
  <c r="H281" i="41"/>
  <c r="H212" i="41"/>
  <c r="H330" i="41"/>
  <c r="Q237" i="66"/>
  <c r="R237" i="66" s="1"/>
  <c r="T237" i="66" s="1"/>
  <c r="V237" i="66"/>
  <c r="X237" i="66" s="1"/>
  <c r="U237" i="66"/>
  <c r="I170" i="41"/>
  <c r="F19" i="39"/>
  <c r="N214" i="66"/>
  <c r="H164" i="41"/>
  <c r="I242" i="41"/>
  <c r="H124" i="41"/>
  <c r="I314" i="41"/>
  <c r="H372" i="41"/>
  <c r="H273" i="41"/>
  <c r="J125" i="41"/>
  <c r="D46" i="57"/>
  <c r="F168" i="66"/>
  <c r="N168" i="66" s="1"/>
  <c r="H146" i="41"/>
  <c r="I340" i="41"/>
  <c r="H232" i="41"/>
  <c r="Q153" i="66"/>
  <c r="U153" i="66"/>
  <c r="H470" i="41"/>
  <c r="C17" i="39" s="1"/>
  <c r="F8" i="66"/>
  <c r="C44" i="39"/>
  <c r="E93" i="38" s="1"/>
  <c r="I307" i="41"/>
  <c r="H169" i="41"/>
  <c r="H220" i="41"/>
  <c r="J130" i="41"/>
  <c r="I258" i="41"/>
  <c r="H379" i="41"/>
  <c r="H223" i="41"/>
  <c r="D60" i="57"/>
  <c r="F233" i="66"/>
  <c r="N3" i="58"/>
  <c r="J143" i="37"/>
  <c r="J143" i="58"/>
  <c r="Z30" i="66"/>
  <c r="Y174" i="66"/>
  <c r="Y30" i="66"/>
  <c r="Z174" i="66"/>
  <c r="D64" i="57"/>
  <c r="F205" i="66"/>
  <c r="N205" i="66" s="1"/>
  <c r="Y95" i="66"/>
  <c r="Z95" i="66"/>
  <c r="O95" i="66"/>
  <c r="I7" i="6"/>
  <c r="Z239" i="66"/>
  <c r="Y239" i="66"/>
  <c r="I127" i="58"/>
  <c r="I127" i="37"/>
  <c r="I306" i="41"/>
  <c r="H158" i="41"/>
  <c r="H215" i="41"/>
  <c r="H278" i="41"/>
  <c r="I142" i="41"/>
  <c r="J396" i="41"/>
  <c r="D65" i="57"/>
  <c r="F215" i="66"/>
  <c r="N215" i="66" s="1"/>
  <c r="J387" i="41"/>
  <c r="J322" i="41"/>
  <c r="J343" i="41"/>
  <c r="H377" i="41"/>
  <c r="J362" i="41"/>
  <c r="I178" i="41"/>
  <c r="J261" i="41"/>
  <c r="I199" i="41"/>
  <c r="I369" i="41"/>
  <c r="H463" i="41"/>
  <c r="F66" i="66"/>
  <c r="N66" i="66" s="1"/>
  <c r="D19" i="57"/>
  <c r="I144" i="41"/>
  <c r="I350" i="41"/>
  <c r="I366" i="41"/>
  <c r="E16" i="53"/>
  <c r="F16" i="53" s="1"/>
  <c r="D27" i="57"/>
  <c r="F82" i="66"/>
  <c r="F208" i="66"/>
  <c r="D57" i="57"/>
  <c r="F167" i="66"/>
  <c r="N167" i="66" s="1"/>
  <c r="D52" i="57"/>
  <c r="H133" i="41"/>
  <c r="Y107" i="66"/>
  <c r="Y251" i="66"/>
  <c r="Z251" i="66"/>
  <c r="Z107" i="66"/>
  <c r="O107" i="66"/>
  <c r="H275" i="41"/>
  <c r="F4" i="66"/>
  <c r="N4" i="66" s="1"/>
  <c r="D3" i="57"/>
  <c r="H204" i="41"/>
  <c r="J200" i="41"/>
  <c r="I179" i="41"/>
  <c r="I382" i="41"/>
  <c r="I188" i="41"/>
  <c r="I216" i="41"/>
  <c r="J354" i="41"/>
  <c r="J317" i="41"/>
  <c r="J147" i="41"/>
  <c r="I175" i="41"/>
  <c r="I233" i="41"/>
  <c r="H280" i="41"/>
  <c r="Q45" i="66"/>
  <c r="U45" i="66"/>
  <c r="O239" i="66"/>
  <c r="I211" i="41"/>
  <c r="H209" i="41"/>
  <c r="H255" i="41"/>
  <c r="I309" i="41"/>
  <c r="I159" i="41"/>
  <c r="H383" i="41"/>
  <c r="H335" i="41"/>
  <c r="H329" i="41"/>
  <c r="I134" i="41"/>
  <c r="H395" i="41"/>
  <c r="J344" i="41"/>
  <c r="I226" i="41"/>
  <c r="I390" i="41"/>
  <c r="I219" i="41"/>
  <c r="H266" i="41"/>
  <c r="H361" i="41"/>
  <c r="I169" i="41"/>
  <c r="H216" i="41"/>
  <c r="H303" i="41"/>
  <c r="H378" i="41"/>
  <c r="J332" i="41"/>
  <c r="I156" i="41"/>
  <c r="J159" i="41"/>
  <c r="H373" i="41"/>
  <c r="H301" i="41"/>
  <c r="H248" i="41"/>
  <c r="H233" i="41"/>
  <c r="I377" i="41"/>
  <c r="H336" i="41"/>
  <c r="I370" i="41"/>
  <c r="I172" i="41"/>
  <c r="J244" i="41"/>
  <c r="H314" i="41"/>
  <c r="J345" i="41"/>
  <c r="I308" i="41"/>
  <c r="I173" i="41"/>
  <c r="H218" i="41"/>
  <c r="J333" i="41"/>
  <c r="J198" i="41"/>
  <c r="I123" i="41"/>
  <c r="H381" i="41"/>
  <c r="J363" i="41"/>
  <c r="H339" i="41"/>
  <c r="I289" i="41"/>
  <c r="F17" i="66"/>
  <c r="N17" i="66" s="1"/>
  <c r="H468" i="41"/>
  <c r="N3" i="37"/>
  <c r="F89" i="66"/>
  <c r="D21" i="57"/>
  <c r="I228" i="41"/>
  <c r="F210" i="66"/>
  <c r="N210" i="66" s="1"/>
  <c r="D58" i="57"/>
  <c r="E22" i="53"/>
  <c r="F22" i="53" s="1"/>
  <c r="D66" i="57"/>
  <c r="F226" i="66"/>
  <c r="D13" i="57"/>
  <c r="F23" i="66"/>
  <c r="N23" i="66" s="1"/>
  <c r="H348" i="41"/>
  <c r="I135" i="37"/>
  <c r="I135" i="58"/>
  <c r="C40" i="63" s="1"/>
  <c r="H139" i="58"/>
  <c r="H139" i="37"/>
  <c r="J404" i="37"/>
  <c r="J404" i="58"/>
  <c r="F270" i="66" s="1"/>
  <c r="N270" i="66" s="1"/>
  <c r="D26" i="57"/>
  <c r="I348" i="41"/>
  <c r="F71" i="66"/>
  <c r="N71" i="66" s="1"/>
  <c r="Q201" i="66"/>
  <c r="R201" i="66" s="1"/>
  <c r="T201" i="66" s="1"/>
  <c r="V201" i="66"/>
  <c r="X201" i="66" s="1"/>
  <c r="U201" i="66"/>
  <c r="D42" i="57"/>
  <c r="F148" i="66"/>
  <c r="N148" i="66" s="1"/>
  <c r="K44" i="39"/>
  <c r="E144" i="38" s="1"/>
  <c r="F152" i="66"/>
  <c r="O287" i="66"/>
  <c r="Q11" i="66"/>
  <c r="U11" i="66"/>
  <c r="H469" i="41"/>
  <c r="F10" i="66"/>
  <c r="N10" i="66" s="1"/>
  <c r="F162" i="66"/>
  <c r="N162" i="66" s="1"/>
  <c r="D45" i="57"/>
  <c r="I139" i="58"/>
  <c r="I139" i="37"/>
  <c r="H282" i="41"/>
  <c r="F29" i="66"/>
  <c r="D9" i="57"/>
  <c r="F64" i="66"/>
  <c r="D18" i="57"/>
  <c r="I186" i="41"/>
  <c r="H228" i="41"/>
  <c r="F41" i="66"/>
  <c r="D8" i="57"/>
  <c r="M3" i="37"/>
  <c r="H135" i="37"/>
  <c r="H135" i="58"/>
  <c r="C31" i="63" s="1"/>
  <c r="H143" i="37"/>
  <c r="H143" i="58"/>
  <c r="I373" i="41"/>
  <c r="J262" i="41"/>
  <c r="E4" i="53"/>
  <c r="F4" i="53" s="1"/>
  <c r="H10" i="53" s="1"/>
  <c r="F34" i="66"/>
  <c r="H366" i="41"/>
  <c r="D14" i="57"/>
  <c r="I372" i="41"/>
  <c r="J234" i="41"/>
  <c r="J128" i="41"/>
  <c r="H357" i="41"/>
  <c r="I302" i="41"/>
  <c r="H178" i="41"/>
  <c r="J287" i="41"/>
  <c r="H332" i="41"/>
  <c r="H321" i="41"/>
  <c r="J297" i="41"/>
  <c r="I271" i="41"/>
  <c r="H245" i="41"/>
  <c r="J374" i="41"/>
  <c r="H176" i="41"/>
  <c r="Z223" i="66"/>
  <c r="Y223" i="66"/>
  <c r="I6" i="6"/>
  <c r="Z79" i="66"/>
  <c r="Y79" i="66"/>
  <c r="O79" i="66"/>
  <c r="Y127" i="66"/>
  <c r="Y271" i="66"/>
  <c r="Z271" i="66"/>
  <c r="Z127" i="66"/>
  <c r="O127" i="66"/>
  <c r="J6" i="6"/>
  <c r="Q203" i="66"/>
  <c r="R203" i="66" s="1"/>
  <c r="T203" i="66" s="1"/>
  <c r="U203" i="66"/>
  <c r="V203" i="66"/>
  <c r="X203" i="66" s="1"/>
  <c r="D47" i="57"/>
  <c r="M3" i="58"/>
  <c r="F185" i="66"/>
  <c r="I244" i="41"/>
  <c r="H356" i="41"/>
  <c r="H334" i="41"/>
  <c r="H132" i="41"/>
  <c r="Q47" i="66"/>
  <c r="U47" i="66"/>
  <c r="Z57" i="66"/>
  <c r="J161" i="41"/>
  <c r="I353" i="41"/>
  <c r="O249" i="66"/>
  <c r="O105" i="66"/>
  <c r="Z105" i="66"/>
  <c r="Y249" i="66"/>
  <c r="Y105" i="66"/>
  <c r="Z249" i="66"/>
  <c r="F33" i="66"/>
  <c r="N33" i="66" s="1"/>
  <c r="H264" i="41"/>
  <c r="D11" i="57"/>
  <c r="H186" i="41"/>
  <c r="D5" i="57"/>
  <c r="F16" i="66"/>
  <c r="D56" i="57"/>
  <c r="E396" i="38"/>
  <c r="M230" i="66" s="1"/>
  <c r="I472" i="58"/>
  <c r="I471" i="58"/>
  <c r="F231" i="66" s="1"/>
  <c r="N231" i="66" s="1"/>
  <c r="F230" i="66"/>
  <c r="D10" i="57"/>
  <c r="F14" i="66"/>
  <c r="N14" i="66" s="1"/>
  <c r="H246" i="41"/>
  <c r="Q155" i="66"/>
  <c r="U155" i="66"/>
  <c r="Q219" i="66"/>
  <c r="R219" i="66" s="1"/>
  <c r="T219" i="66" s="1"/>
  <c r="U219" i="66"/>
  <c r="V219" i="66"/>
  <c r="X219" i="66" s="1"/>
  <c r="H337" i="41"/>
  <c r="I197" i="41"/>
  <c r="H394" i="41"/>
  <c r="I397" i="41"/>
  <c r="F18" i="66"/>
  <c r="N18" i="66" s="1"/>
  <c r="H144" i="41"/>
  <c r="D6" i="57"/>
  <c r="H197" i="41"/>
  <c r="H198" i="41"/>
  <c r="J380" i="41"/>
  <c r="J221" i="41"/>
  <c r="J183" i="41"/>
  <c r="H134" i="41"/>
  <c r="J391" i="41"/>
  <c r="I257" i="41"/>
  <c r="I229" i="41"/>
  <c r="J140" i="41"/>
  <c r="H140" i="41"/>
  <c r="I152" i="41"/>
  <c r="I287" i="41"/>
  <c r="J172" i="41"/>
  <c r="I138" i="41"/>
  <c r="J127" i="41"/>
  <c r="I320" i="41"/>
  <c r="I166" i="41"/>
  <c r="J305" i="41"/>
  <c r="I284" i="41"/>
  <c r="J290" i="41"/>
  <c r="H344" i="41"/>
  <c r="F177" i="66"/>
  <c r="N177" i="66" s="1"/>
  <c r="D50" i="57"/>
  <c r="Z141" i="66"/>
  <c r="Z285" i="66"/>
  <c r="Y285" i="66"/>
  <c r="Y141" i="66"/>
  <c r="O141" i="66"/>
  <c r="J157" i="41"/>
  <c r="H151" i="41"/>
  <c r="F160" i="66"/>
  <c r="D44" i="57"/>
  <c r="I158" i="41"/>
  <c r="J381" i="41"/>
  <c r="I333" i="41"/>
  <c r="I221" i="41"/>
  <c r="J320" i="41"/>
  <c r="J191" i="41"/>
  <c r="I250" i="41"/>
  <c r="I167" i="41"/>
  <c r="H160" i="41"/>
  <c r="J251" i="41"/>
  <c r="H136" i="41"/>
  <c r="H268" i="41"/>
  <c r="J252" i="41"/>
  <c r="H217" i="41"/>
  <c r="J318" i="41"/>
  <c r="J306" i="41"/>
  <c r="I151" i="41"/>
  <c r="J224" i="41"/>
  <c r="I286" i="41"/>
  <c r="O285" i="66"/>
  <c r="J270" i="41"/>
  <c r="I206" i="41"/>
  <c r="J142" i="41"/>
  <c r="J285" i="41"/>
  <c r="I300" i="41"/>
  <c r="E393" i="38"/>
  <c r="M86" i="66" s="1"/>
  <c r="D17" i="57"/>
  <c r="I471" i="37"/>
  <c r="I472" i="37"/>
  <c r="F86" i="66"/>
  <c r="H125" i="41"/>
  <c r="F158" i="66"/>
  <c r="N158" i="66" s="1"/>
  <c r="D49" i="57"/>
  <c r="I245" i="41"/>
  <c r="H219" i="41"/>
  <c r="I203" i="41"/>
  <c r="Y219" i="66"/>
  <c r="H141" i="41"/>
  <c r="I148" i="41"/>
  <c r="I154" i="41"/>
  <c r="H205" i="41"/>
  <c r="I200" i="41"/>
  <c r="H364" i="41"/>
  <c r="H471" i="58"/>
  <c r="F183" i="66" s="1"/>
  <c r="N183" i="66" s="1"/>
  <c r="D43" i="57"/>
  <c r="E395" i="38"/>
  <c r="M182" i="66" s="1"/>
  <c r="H472" i="58"/>
  <c r="F182" i="66"/>
  <c r="I331" i="41"/>
  <c r="V251" i="66" l="1"/>
  <c r="X251" i="66" s="1"/>
  <c r="Q75" i="66"/>
  <c r="R75" i="66" s="1"/>
  <c r="T75" i="66" s="1"/>
  <c r="Q59" i="66"/>
  <c r="R59" i="66" s="1"/>
  <c r="T59" i="66" s="1"/>
  <c r="U59" i="66"/>
  <c r="V75" i="66"/>
  <c r="X75" i="66" s="1"/>
  <c r="U251" i="66"/>
  <c r="U93" i="66"/>
  <c r="V93" i="66"/>
  <c r="X93" i="66" s="1"/>
  <c r="H139" i="41"/>
  <c r="L50" i="39"/>
  <c r="E165" i="38" s="1"/>
  <c r="J221" i="66" s="1"/>
  <c r="N86" i="66"/>
  <c r="K51" i="39"/>
  <c r="E149" i="38" s="1"/>
  <c r="J185" i="66" s="1"/>
  <c r="L51" i="39"/>
  <c r="E166" i="38" s="1"/>
  <c r="J233" i="66" s="1"/>
  <c r="N233" i="66" s="1"/>
  <c r="L48" i="39"/>
  <c r="E163" i="38" s="1"/>
  <c r="J217" i="66" s="1"/>
  <c r="N217" i="66" s="1"/>
  <c r="K49" i="39"/>
  <c r="E147" i="38" s="1"/>
  <c r="H435" i="58" s="1"/>
  <c r="D48" i="39"/>
  <c r="E112" i="38" s="1"/>
  <c r="I434" i="37" s="1"/>
  <c r="C51" i="39"/>
  <c r="E98" i="38" s="1"/>
  <c r="J41" i="66" s="1"/>
  <c r="J143" i="41"/>
  <c r="M7" i="41"/>
  <c r="D50" i="39"/>
  <c r="E114" i="38" s="1"/>
  <c r="I442" i="37" s="1"/>
  <c r="D49" i="39"/>
  <c r="E113" i="38" s="1"/>
  <c r="J64" i="66" s="1"/>
  <c r="N64" i="66" s="1"/>
  <c r="K50" i="39"/>
  <c r="E148" i="38" s="1"/>
  <c r="H442" i="58" s="1"/>
  <c r="E399" i="38"/>
  <c r="I475" i="37" s="1"/>
  <c r="C49" i="39"/>
  <c r="E96" i="38" s="1"/>
  <c r="J16" i="66" s="1"/>
  <c r="D51" i="39"/>
  <c r="E115" i="38" s="1"/>
  <c r="I443" i="37" s="1"/>
  <c r="K47" i="39"/>
  <c r="E145" i="38" s="1"/>
  <c r="J163" i="66" s="1"/>
  <c r="K48" i="39"/>
  <c r="E146" i="38" s="1"/>
  <c r="J169" i="66" s="1"/>
  <c r="N182" i="66"/>
  <c r="N38" i="66"/>
  <c r="L47" i="39"/>
  <c r="E162" i="38" s="1"/>
  <c r="J211" i="66" s="1"/>
  <c r="C48" i="39"/>
  <c r="E95" i="38" s="1"/>
  <c r="H434" i="37" s="1"/>
  <c r="C47" i="39"/>
  <c r="E94" i="38" s="1"/>
  <c r="J19" i="66" s="1"/>
  <c r="H135" i="41"/>
  <c r="E401" i="38"/>
  <c r="H475" i="58" s="1"/>
  <c r="J152" i="66"/>
  <c r="N152" i="66" s="1"/>
  <c r="H449" i="58"/>
  <c r="E9" i="53"/>
  <c r="F9" i="53" s="1"/>
  <c r="F184" i="66"/>
  <c r="Z33" i="66"/>
  <c r="Y33" i="66"/>
  <c r="Z177" i="66"/>
  <c r="Y177" i="66"/>
  <c r="Q105" i="66"/>
  <c r="R105" i="66" s="1"/>
  <c r="T105" i="66" s="1"/>
  <c r="U105" i="66"/>
  <c r="V105" i="66"/>
  <c r="X105" i="66" s="1"/>
  <c r="I139" i="41"/>
  <c r="Q107" i="66"/>
  <c r="R107" i="66" s="1"/>
  <c r="T107" i="66" s="1"/>
  <c r="U107" i="66"/>
  <c r="V107" i="66"/>
  <c r="X107" i="66" s="1"/>
  <c r="L49" i="39"/>
  <c r="E164" i="38" s="1"/>
  <c r="I127" i="41"/>
  <c r="C14" i="63"/>
  <c r="P17" i="39"/>
  <c r="C32" i="39"/>
  <c r="C33" i="39" s="1"/>
  <c r="C29" i="39"/>
  <c r="C30" i="39" s="1"/>
  <c r="H4" i="53"/>
  <c r="G4" i="53" s="1"/>
  <c r="G10" i="53"/>
  <c r="H127" i="41"/>
  <c r="C5" i="63"/>
  <c r="J56" i="66"/>
  <c r="N56" i="66" s="1"/>
  <c r="I449" i="37"/>
  <c r="Q249" i="66"/>
  <c r="R249" i="66" s="1"/>
  <c r="T249" i="66" s="1"/>
  <c r="V249" i="66"/>
  <c r="X249" i="66" s="1"/>
  <c r="U249" i="66"/>
  <c r="Q79" i="66"/>
  <c r="R79" i="66" s="1"/>
  <c r="T79" i="66" s="1"/>
  <c r="V79" i="66"/>
  <c r="X79" i="66" s="1"/>
  <c r="U79" i="66"/>
  <c r="C41" i="63"/>
  <c r="Q95" i="66"/>
  <c r="R95" i="66" s="1"/>
  <c r="T95" i="66" s="1"/>
  <c r="V95" i="66"/>
  <c r="X95" i="66" s="1"/>
  <c r="U95" i="66"/>
  <c r="Y168" i="66"/>
  <c r="Z24" i="66"/>
  <c r="Y24" i="66"/>
  <c r="Z168" i="66"/>
  <c r="Y65" i="66"/>
  <c r="Z209" i="66"/>
  <c r="Y209" i="66"/>
  <c r="Z65" i="66"/>
  <c r="C32" i="63"/>
  <c r="Y250" i="66"/>
  <c r="Y106" i="66"/>
  <c r="Z106" i="66"/>
  <c r="Z250" i="66"/>
  <c r="E402" i="38"/>
  <c r="Y196" i="66"/>
  <c r="Y52" i="66"/>
  <c r="Z52" i="66"/>
  <c r="Z196" i="66"/>
  <c r="I5" i="6"/>
  <c r="C23" i="63"/>
  <c r="J139" i="41"/>
  <c r="O8" i="41" s="1"/>
  <c r="D29" i="39"/>
  <c r="D30" i="39" s="1"/>
  <c r="D32" i="39"/>
  <c r="D33" i="39" s="1"/>
  <c r="Z206" i="66"/>
  <c r="Y206" i="66"/>
  <c r="Y62" i="66"/>
  <c r="Z62" i="66"/>
  <c r="Y71" i="66"/>
  <c r="Y215" i="66"/>
  <c r="Z215" i="66"/>
  <c r="Z71" i="66"/>
  <c r="C13" i="63"/>
  <c r="I135" i="41"/>
  <c r="H16" i="53"/>
  <c r="G16" i="53" s="1"/>
  <c r="J449" i="58"/>
  <c r="J248" i="66"/>
  <c r="H131" i="41"/>
  <c r="C6" i="63"/>
  <c r="Q143" i="66"/>
  <c r="R143" i="66" s="1"/>
  <c r="T143" i="66" s="1"/>
  <c r="U143" i="66"/>
  <c r="V143" i="66"/>
  <c r="X143" i="66" s="1"/>
  <c r="Y113" i="66"/>
  <c r="Y257" i="66"/>
  <c r="Z257" i="66"/>
  <c r="Z113" i="66"/>
  <c r="E32" i="39"/>
  <c r="E33" i="39" s="1"/>
  <c r="E29" i="39"/>
  <c r="E30" i="39" s="1"/>
  <c r="F232" i="66"/>
  <c r="E21" i="53"/>
  <c r="F21" i="53" s="1"/>
  <c r="Q267" i="66"/>
  <c r="R267" i="66" s="1"/>
  <c r="T267" i="66" s="1"/>
  <c r="U267" i="66"/>
  <c r="V267" i="66"/>
  <c r="X267" i="66" s="1"/>
  <c r="E15" i="53"/>
  <c r="F15" i="53" s="1"/>
  <c r="I472" i="41"/>
  <c r="F88" i="66"/>
  <c r="F87" i="66"/>
  <c r="N87" i="66" s="1"/>
  <c r="I471" i="41"/>
  <c r="Q285" i="66"/>
  <c r="R285" i="66" s="1"/>
  <c r="T285" i="66" s="1"/>
  <c r="U285" i="66"/>
  <c r="V285" i="66"/>
  <c r="X285" i="66" s="1"/>
  <c r="Z14" i="66"/>
  <c r="Z158" i="66"/>
  <c r="Y158" i="66"/>
  <c r="Y14" i="66"/>
  <c r="Q239" i="66"/>
  <c r="R239" i="66" s="1"/>
  <c r="T239" i="66" s="1"/>
  <c r="U239" i="66"/>
  <c r="V239" i="66"/>
  <c r="X239" i="66" s="1"/>
  <c r="Z66" i="66"/>
  <c r="Z210" i="66"/>
  <c r="Y66" i="66"/>
  <c r="Y210" i="66"/>
  <c r="Y205" i="66"/>
  <c r="Z205" i="66"/>
  <c r="Z61" i="66"/>
  <c r="Y61" i="66"/>
  <c r="Q123" i="66"/>
  <c r="R123" i="66" s="1"/>
  <c r="T123" i="66" s="1"/>
  <c r="V123" i="66"/>
  <c r="X123" i="66" s="1"/>
  <c r="U123" i="66"/>
  <c r="C33" i="63"/>
  <c r="Z216" i="66"/>
  <c r="Y72" i="66"/>
  <c r="Y216" i="66"/>
  <c r="Z72" i="66"/>
  <c r="I131" i="41"/>
  <c r="N9" i="41" s="1"/>
  <c r="C15" i="63"/>
  <c r="H471" i="41"/>
  <c r="F39" i="66"/>
  <c r="N39" i="66" s="1"/>
  <c r="Q57" i="66"/>
  <c r="R57" i="66" s="1"/>
  <c r="T57" i="66" s="1"/>
  <c r="U57" i="66"/>
  <c r="V57" i="66"/>
  <c r="X57" i="66" s="1"/>
  <c r="J449" i="37"/>
  <c r="J104" i="66"/>
  <c r="C4" i="63"/>
  <c r="Q127" i="66"/>
  <c r="R127" i="66" s="1"/>
  <c r="T127" i="66" s="1"/>
  <c r="U127" i="66"/>
  <c r="V127" i="66"/>
  <c r="X127" i="66" s="1"/>
  <c r="C50" i="39"/>
  <c r="E97" i="38" s="1"/>
  <c r="Y154" i="66"/>
  <c r="Y10" i="66"/>
  <c r="Z154" i="66"/>
  <c r="Z10" i="66"/>
  <c r="J131" i="41"/>
  <c r="C24" i="63"/>
  <c r="Z81" i="66"/>
  <c r="Z225" i="66"/>
  <c r="Y225" i="66"/>
  <c r="Y81" i="66"/>
  <c r="D47" i="39"/>
  <c r="E111" i="38" s="1"/>
  <c r="Z202" i="66"/>
  <c r="Y58" i="66"/>
  <c r="Y202" i="66"/>
  <c r="Z58" i="66"/>
  <c r="O214" i="66"/>
  <c r="Y70" i="66"/>
  <c r="O70" i="66"/>
  <c r="Z70" i="66"/>
  <c r="Z214" i="66"/>
  <c r="Y214" i="66"/>
  <c r="Y18" i="66"/>
  <c r="Z162" i="66"/>
  <c r="Z18" i="66"/>
  <c r="Y162" i="66"/>
  <c r="N230" i="66"/>
  <c r="H143" i="41"/>
  <c r="Q287" i="66"/>
  <c r="R287" i="66" s="1"/>
  <c r="T287" i="66" s="1"/>
  <c r="V287" i="66"/>
  <c r="X287" i="66" s="1"/>
  <c r="U287" i="66"/>
  <c r="Y17" i="66"/>
  <c r="Y161" i="66"/>
  <c r="Z161" i="66"/>
  <c r="Z17" i="66"/>
  <c r="Z4" i="66"/>
  <c r="Y4" i="66"/>
  <c r="H5" i="6"/>
  <c r="Y148" i="66"/>
  <c r="Z148" i="66"/>
  <c r="H22" i="53"/>
  <c r="G22" i="53" s="1"/>
  <c r="C51" i="63"/>
  <c r="E398" i="38"/>
  <c r="Q141" i="66"/>
  <c r="R141" i="66" s="1"/>
  <c r="T141" i="66" s="1"/>
  <c r="V141" i="66"/>
  <c r="X141" i="66" s="1"/>
  <c r="U141" i="66"/>
  <c r="J404" i="41"/>
  <c r="F126" i="66"/>
  <c r="N126" i="66" s="1"/>
  <c r="Y23" i="66"/>
  <c r="Z23" i="66"/>
  <c r="Z167" i="66"/>
  <c r="Y167" i="66"/>
  <c r="H449" i="37"/>
  <c r="J8" i="66"/>
  <c r="N8" i="66" s="1"/>
  <c r="Y157" i="66"/>
  <c r="Z13" i="66"/>
  <c r="Y13" i="66"/>
  <c r="Z157" i="66"/>
  <c r="J200" i="66"/>
  <c r="I449" i="58"/>
  <c r="H472" i="41"/>
  <c r="E3" i="53"/>
  <c r="F3" i="53" s="1"/>
  <c r="H9" i="53" s="1"/>
  <c r="F40" i="66"/>
  <c r="Y222" i="66"/>
  <c r="Z78" i="66"/>
  <c r="Y78" i="66"/>
  <c r="Z222" i="66"/>
  <c r="N7" i="41"/>
  <c r="H443" i="37" l="1"/>
  <c r="J160" i="66"/>
  <c r="M8" i="41"/>
  <c r="I442" i="58"/>
  <c r="I442" i="41" s="1"/>
  <c r="J73" i="66"/>
  <c r="N73" i="66" s="1"/>
  <c r="Z73" i="66" s="1"/>
  <c r="I474" i="37"/>
  <c r="E407" i="38" s="1"/>
  <c r="J173" i="66"/>
  <c r="S173" i="66" s="1"/>
  <c r="H449" i="41"/>
  <c r="O9" i="41"/>
  <c r="H474" i="58"/>
  <c r="Z230" i="66"/>
  <c r="J89" i="66"/>
  <c r="N89" i="66" s="1"/>
  <c r="O233" i="66" s="1"/>
  <c r="Q233" i="66" s="1"/>
  <c r="R233" i="66" s="1"/>
  <c r="Z38" i="66"/>
  <c r="H473" i="58"/>
  <c r="C37" i="63" s="1"/>
  <c r="Y182" i="66"/>
  <c r="Z182" i="66"/>
  <c r="J449" i="41"/>
  <c r="Y38" i="66"/>
  <c r="H443" i="58"/>
  <c r="H443" i="41" s="1"/>
  <c r="I434" i="58"/>
  <c r="I434" i="41" s="1"/>
  <c r="J25" i="66"/>
  <c r="N25" i="66" s="1"/>
  <c r="I435" i="37"/>
  <c r="I473" i="37"/>
  <c r="J77" i="66"/>
  <c r="N77" i="66" s="1"/>
  <c r="F17" i="39"/>
  <c r="I443" i="58"/>
  <c r="I443" i="41" s="1"/>
  <c r="H433" i="58"/>
  <c r="D8" i="53"/>
  <c r="F8" i="53" s="1"/>
  <c r="H2" i="53" s="1"/>
  <c r="H435" i="37"/>
  <c r="H435" i="41" s="1"/>
  <c r="I433" i="58"/>
  <c r="H434" i="58"/>
  <c r="H434" i="41" s="1"/>
  <c r="H433" i="37"/>
  <c r="M9" i="41"/>
  <c r="E310" i="38"/>
  <c r="E304" i="38"/>
  <c r="Y8" i="66"/>
  <c r="O8" i="66"/>
  <c r="Y152" i="66"/>
  <c r="Z8" i="66"/>
  <c r="Z152" i="66"/>
  <c r="E316" i="38"/>
  <c r="E322" i="38"/>
  <c r="M226" i="66" s="1"/>
  <c r="P104" i="66"/>
  <c r="S104" i="66"/>
  <c r="W104" i="66"/>
  <c r="H15" i="53"/>
  <c r="G15" i="53" s="1"/>
  <c r="E286" i="38"/>
  <c r="E280" i="38"/>
  <c r="J208" i="66"/>
  <c r="F22" i="39" s="1"/>
  <c r="I435" i="58"/>
  <c r="S221" i="66"/>
  <c r="P221" i="66"/>
  <c r="W221" i="66"/>
  <c r="S200" i="66"/>
  <c r="P200" i="66"/>
  <c r="W200" i="66"/>
  <c r="Q70" i="66"/>
  <c r="R70" i="66" s="1"/>
  <c r="T70" i="66" s="1"/>
  <c r="V70" i="66"/>
  <c r="X70" i="66" s="1"/>
  <c r="U70" i="66"/>
  <c r="N185" i="66"/>
  <c r="P185" i="66"/>
  <c r="V185" i="66" s="1"/>
  <c r="S185" i="66"/>
  <c r="R185" i="66"/>
  <c r="W185" i="66"/>
  <c r="H473" i="37"/>
  <c r="H474" i="37"/>
  <c r="H475" i="37"/>
  <c r="J29" i="66"/>
  <c r="H442" i="37"/>
  <c r="H442" i="41" s="1"/>
  <c r="S217" i="66"/>
  <c r="P217" i="66"/>
  <c r="W217" i="66"/>
  <c r="S233" i="66"/>
  <c r="P233" i="66"/>
  <c r="W233" i="66"/>
  <c r="P64" i="66"/>
  <c r="S64" i="66"/>
  <c r="W64" i="66"/>
  <c r="O152" i="66"/>
  <c r="Q214" i="66"/>
  <c r="R214" i="66" s="1"/>
  <c r="T214" i="66" s="1"/>
  <c r="U214" i="66"/>
  <c r="V214" i="66"/>
  <c r="X214" i="66" s="1"/>
  <c r="H21" i="53"/>
  <c r="G21" i="53" s="1"/>
  <c r="K21" i="39"/>
  <c r="K15" i="39"/>
  <c r="AB6" i="39"/>
  <c r="K24" i="39"/>
  <c r="K14" i="39"/>
  <c r="K19" i="39"/>
  <c r="D31" i="39"/>
  <c r="K22" i="39"/>
  <c r="K23" i="39"/>
  <c r="K13" i="39"/>
  <c r="K16" i="39"/>
  <c r="K27" i="39"/>
  <c r="K12" i="39"/>
  <c r="AB5" i="39"/>
  <c r="K25" i="39"/>
  <c r="K28" i="39"/>
  <c r="K18" i="39"/>
  <c r="K26" i="39"/>
  <c r="K20" i="39"/>
  <c r="Y230" i="66"/>
  <c r="I449" i="41"/>
  <c r="J17" i="39"/>
  <c r="J27" i="39"/>
  <c r="AA5" i="39"/>
  <c r="J22" i="39"/>
  <c r="J24" i="39"/>
  <c r="J15" i="39"/>
  <c r="J20" i="39"/>
  <c r="J28" i="39"/>
  <c r="J26" i="39"/>
  <c r="J14" i="39"/>
  <c r="C31" i="39"/>
  <c r="AA6" i="39"/>
  <c r="J25" i="39"/>
  <c r="J18" i="39"/>
  <c r="J19" i="39"/>
  <c r="J21" i="39"/>
  <c r="J16" i="39"/>
  <c r="J23" i="39"/>
  <c r="J13" i="39"/>
  <c r="J12" i="39"/>
  <c r="N41" i="66"/>
  <c r="P41" i="66"/>
  <c r="V41" i="66" s="1"/>
  <c r="R41" i="66"/>
  <c r="S41" i="66"/>
  <c r="W41" i="66"/>
  <c r="G9" i="53"/>
  <c r="H3" i="53"/>
  <c r="G3" i="53" s="1"/>
  <c r="F179" i="66"/>
  <c r="E410" i="38"/>
  <c r="S163" i="66"/>
  <c r="W163" i="66"/>
  <c r="S211" i="66"/>
  <c r="W211" i="66"/>
  <c r="N169" i="66"/>
  <c r="S169" i="66"/>
  <c r="P169" i="66"/>
  <c r="V169" i="66" s="1"/>
  <c r="R169" i="66"/>
  <c r="W169" i="66"/>
  <c r="Y73" i="66"/>
  <c r="I433" i="37"/>
  <c r="J67" i="66"/>
  <c r="D14" i="53"/>
  <c r="F14" i="53" s="1"/>
  <c r="Y183" i="66"/>
  <c r="Z39" i="66"/>
  <c r="Y39" i="66"/>
  <c r="Z183" i="66"/>
  <c r="Z87" i="66"/>
  <c r="Y231" i="66"/>
  <c r="Y87" i="66"/>
  <c r="Z231" i="66"/>
  <c r="I475" i="58"/>
  <c r="I475" i="41" s="1"/>
  <c r="I474" i="58"/>
  <c r="I473" i="58"/>
  <c r="Z86" i="66"/>
  <c r="P56" i="66"/>
  <c r="S56" i="66"/>
  <c r="W56" i="66"/>
  <c r="R152" i="66"/>
  <c r="S152" i="66"/>
  <c r="P152" i="66"/>
  <c r="V152" i="66" s="1"/>
  <c r="W152" i="66"/>
  <c r="E411" i="38"/>
  <c r="F180" i="66"/>
  <c r="Y86" i="66"/>
  <c r="N221" i="66"/>
  <c r="Q17" i="39"/>
  <c r="P29" i="39"/>
  <c r="Q29" i="39" s="1"/>
  <c r="F24" i="39"/>
  <c r="W89" i="66"/>
  <c r="D2" i="53"/>
  <c r="F2" i="53" s="1"/>
  <c r="D20" i="53"/>
  <c r="F20" i="53" s="1"/>
  <c r="R8" i="66"/>
  <c r="S8" i="66"/>
  <c r="P8" i="66"/>
  <c r="V8" i="66" s="1"/>
  <c r="W8" i="66"/>
  <c r="R160" i="66"/>
  <c r="S160" i="66"/>
  <c r="P160" i="66"/>
  <c r="V160" i="66" s="1"/>
  <c r="W160" i="66"/>
  <c r="N104" i="66"/>
  <c r="N248" i="66"/>
  <c r="S248" i="66"/>
  <c r="P248" i="66"/>
  <c r="W248" i="66"/>
  <c r="S19" i="66"/>
  <c r="W19" i="66"/>
  <c r="L17" i="39"/>
  <c r="L25" i="39"/>
  <c r="L14" i="39"/>
  <c r="L26" i="39"/>
  <c r="L27" i="39"/>
  <c r="L15" i="39"/>
  <c r="L23" i="39"/>
  <c r="L12" i="39"/>
  <c r="E31" i="39"/>
  <c r="L13" i="39"/>
  <c r="L24" i="39"/>
  <c r="L16" i="39"/>
  <c r="L28" i="39"/>
  <c r="L18" i="39"/>
  <c r="L22" i="39"/>
  <c r="L21" i="39"/>
  <c r="L19" i="39"/>
  <c r="L20" i="39"/>
  <c r="AC6" i="39"/>
  <c r="AC5" i="39"/>
  <c r="N160" i="66"/>
  <c r="Y89" i="66"/>
  <c r="Y233" i="66"/>
  <c r="N16" i="66"/>
  <c r="P16" i="66"/>
  <c r="V16" i="66" s="1"/>
  <c r="S16" i="66"/>
  <c r="R16" i="66"/>
  <c r="W16" i="66"/>
  <c r="G17" i="39"/>
  <c r="Y126" i="66"/>
  <c r="Z270" i="66"/>
  <c r="Z126" i="66"/>
  <c r="Y270" i="66"/>
  <c r="K17" i="39"/>
  <c r="E292" i="38"/>
  <c r="E298" i="38"/>
  <c r="M178" i="66" s="1"/>
  <c r="N8" i="41"/>
  <c r="N200" i="66"/>
  <c r="O200" i="66" s="1"/>
  <c r="E406" i="38"/>
  <c r="F83" i="66"/>
  <c r="F21" i="39"/>
  <c r="S73" i="66"/>
  <c r="O217" i="66" l="1"/>
  <c r="Q217" i="66" s="1"/>
  <c r="R217" i="66" s="1"/>
  <c r="T217" i="66" s="1"/>
  <c r="Y217" i="66"/>
  <c r="O73" i="66"/>
  <c r="U73" i="66" s="1"/>
  <c r="W73" i="66"/>
  <c r="Z217" i="66"/>
  <c r="P73" i="66"/>
  <c r="Z233" i="66"/>
  <c r="C19" i="63"/>
  <c r="P89" i="66"/>
  <c r="Z89" i="66"/>
  <c r="S89" i="66"/>
  <c r="I473" i="41"/>
  <c r="O89" i="66"/>
  <c r="Q89" i="66" s="1"/>
  <c r="R89" i="66" s="1"/>
  <c r="N173" i="66"/>
  <c r="I435" i="41"/>
  <c r="F84" i="66"/>
  <c r="P173" i="66"/>
  <c r="V173" i="66" s="1"/>
  <c r="R173" i="66"/>
  <c r="T173" i="66" s="1"/>
  <c r="I474" i="41"/>
  <c r="W173" i="66"/>
  <c r="O169" i="66"/>
  <c r="U169" i="66" s="1"/>
  <c r="P77" i="66"/>
  <c r="H433" i="41"/>
  <c r="W25" i="66"/>
  <c r="W77" i="66"/>
  <c r="S77" i="66"/>
  <c r="O221" i="66"/>
  <c r="V221" i="66" s="1"/>
  <c r="X221" i="66" s="1"/>
  <c r="S25" i="66"/>
  <c r="R25" i="66"/>
  <c r="P25" i="66"/>
  <c r="V25" i="66" s="1"/>
  <c r="F23" i="39"/>
  <c r="Z169" i="66"/>
  <c r="I433" i="41"/>
  <c r="U233" i="66"/>
  <c r="X8" i="66"/>
  <c r="X16" i="66"/>
  <c r="T169" i="66"/>
  <c r="X41" i="66"/>
  <c r="V233" i="66"/>
  <c r="X233" i="66" s="1"/>
  <c r="T185" i="66"/>
  <c r="X160" i="66"/>
  <c r="R29" i="66"/>
  <c r="P29" i="66"/>
  <c r="V29" i="66" s="1"/>
  <c r="S29" i="66"/>
  <c r="W29" i="66"/>
  <c r="N29" i="66"/>
  <c r="O173" i="66" s="1"/>
  <c r="L226" i="66"/>
  <c r="I461" i="58"/>
  <c r="Y16" i="66"/>
  <c r="Z16" i="66"/>
  <c r="Z160" i="66"/>
  <c r="O16" i="66"/>
  <c r="Y160" i="66"/>
  <c r="T160" i="66"/>
  <c r="L179" i="66"/>
  <c r="N179" i="66" s="1"/>
  <c r="H466" i="58"/>
  <c r="O185" i="66"/>
  <c r="O41" i="66"/>
  <c r="Z185" i="66"/>
  <c r="Z41" i="66"/>
  <c r="Y41" i="66"/>
  <c r="Y185" i="66"/>
  <c r="H475" i="41"/>
  <c r="E404" i="38"/>
  <c r="F35" i="66"/>
  <c r="S208" i="66"/>
  <c r="P208" i="66"/>
  <c r="W208" i="66"/>
  <c r="N208" i="66"/>
  <c r="E315" i="38"/>
  <c r="E321" i="38"/>
  <c r="M232" i="66" s="1"/>
  <c r="Y169" i="66"/>
  <c r="Q200" i="66"/>
  <c r="R200" i="66" s="1"/>
  <c r="T200" i="66" s="1"/>
  <c r="V200" i="66"/>
  <c r="X200" i="66" s="1"/>
  <c r="U200" i="66"/>
  <c r="Y25" i="66"/>
  <c r="J29" i="39"/>
  <c r="Y200" i="66"/>
  <c r="F36" i="66"/>
  <c r="H474" i="41"/>
  <c r="E405" i="38"/>
  <c r="L34" i="66"/>
  <c r="H461" i="37"/>
  <c r="Y77" i="66"/>
  <c r="L29" i="39"/>
  <c r="Z25" i="66"/>
  <c r="C46" i="63"/>
  <c r="E285" i="38"/>
  <c r="E279" i="38"/>
  <c r="Z200" i="66"/>
  <c r="H473" i="41"/>
  <c r="C10" i="63"/>
  <c r="M34" i="66"/>
  <c r="B19" i="8"/>
  <c r="Y221" i="66"/>
  <c r="L84" i="66"/>
  <c r="P84" i="66" s="1"/>
  <c r="I465" i="37"/>
  <c r="O25" i="66"/>
  <c r="H14" i="53"/>
  <c r="G14" i="53" s="1"/>
  <c r="X152" i="66"/>
  <c r="F228" i="66"/>
  <c r="E413" i="38"/>
  <c r="E297" i="38"/>
  <c r="M184" i="66" s="1"/>
  <c r="E291" i="38"/>
  <c r="Y56" i="66"/>
  <c r="Z221" i="66"/>
  <c r="Q8" i="66"/>
  <c r="U8" i="66"/>
  <c r="L83" i="66"/>
  <c r="P83" i="66" s="1"/>
  <c r="I466" i="37"/>
  <c r="Y104" i="66"/>
  <c r="Z248" i="66"/>
  <c r="Y248" i="66"/>
  <c r="O104" i="66"/>
  <c r="Z104" i="66"/>
  <c r="T8" i="66"/>
  <c r="H8" i="53"/>
  <c r="G8" i="53" s="1"/>
  <c r="G2" i="53"/>
  <c r="L180" i="66"/>
  <c r="H465" i="58"/>
  <c r="F227" i="66"/>
  <c r="E412" i="38"/>
  <c r="E303" i="38"/>
  <c r="E309" i="38"/>
  <c r="Q152" i="66"/>
  <c r="U152" i="66"/>
  <c r="O56" i="66"/>
  <c r="O77" i="66"/>
  <c r="L178" i="66"/>
  <c r="H461" i="58"/>
  <c r="T16" i="66"/>
  <c r="O160" i="66"/>
  <c r="T152" i="66"/>
  <c r="H20" i="53"/>
  <c r="G20" i="53" s="1"/>
  <c r="X169" i="66"/>
  <c r="K29" i="39"/>
  <c r="Z56" i="66"/>
  <c r="Z77" i="66"/>
  <c r="L82" i="66"/>
  <c r="I461" i="37"/>
  <c r="O248" i="66"/>
  <c r="S67" i="66"/>
  <c r="W67" i="66"/>
  <c r="T41" i="66"/>
  <c r="X185" i="66"/>
  <c r="T233" i="66"/>
  <c r="M82" i="66"/>
  <c r="C19" i="8"/>
  <c r="U217" i="66" l="1"/>
  <c r="V217" i="66"/>
  <c r="X217" i="66" s="1"/>
  <c r="Q73" i="66"/>
  <c r="R73" i="66" s="1"/>
  <c r="T73" i="66" s="1"/>
  <c r="T89" i="66"/>
  <c r="V73" i="66"/>
  <c r="X73" i="66" s="1"/>
  <c r="U89" i="66"/>
  <c r="V89" i="66"/>
  <c r="X89" i="66" s="1"/>
  <c r="U221" i="66"/>
  <c r="Q221" i="66"/>
  <c r="R221" i="66" s="1"/>
  <c r="T221" i="66" s="1"/>
  <c r="X173" i="66"/>
  <c r="Q169" i="66"/>
  <c r="X25" i="66"/>
  <c r="I461" i="41"/>
  <c r="T25" i="66"/>
  <c r="T29" i="66"/>
  <c r="N83" i="66"/>
  <c r="E320" i="38"/>
  <c r="M211" i="66" s="1"/>
  <c r="E314" i="38"/>
  <c r="L184" i="66"/>
  <c r="H460" i="58"/>
  <c r="L36" i="66"/>
  <c r="N36" i="66" s="1"/>
  <c r="H465" i="37"/>
  <c r="H465" i="41" s="1"/>
  <c r="Q173" i="66"/>
  <c r="U173" i="66"/>
  <c r="P226" i="66"/>
  <c r="N226" i="66"/>
  <c r="Q248" i="66"/>
  <c r="R248" i="66" s="1"/>
  <c r="T248" i="66" s="1"/>
  <c r="U248" i="66"/>
  <c r="V248" i="66"/>
  <c r="X248" i="66" s="1"/>
  <c r="Q160" i="66"/>
  <c r="U160" i="66"/>
  <c r="E284" i="38"/>
  <c r="E278" i="38"/>
  <c r="L40" i="66"/>
  <c r="H460" i="37"/>
  <c r="R179" i="66"/>
  <c r="T179" i="66" s="1"/>
  <c r="P179" i="66"/>
  <c r="V179" i="66" s="1"/>
  <c r="X179" i="66" s="1"/>
  <c r="Q16" i="66"/>
  <c r="U16" i="66"/>
  <c r="Z29" i="66"/>
  <c r="Z173" i="66"/>
  <c r="Y173" i="66"/>
  <c r="O29" i="66"/>
  <c r="Y29" i="66"/>
  <c r="L227" i="66"/>
  <c r="P227" i="66" s="1"/>
  <c r="I466" i="58"/>
  <c r="I466" i="41" s="1"/>
  <c r="E290" i="38"/>
  <c r="E296" i="38"/>
  <c r="M163" i="66" s="1"/>
  <c r="B18" i="8"/>
  <c r="M40" i="66"/>
  <c r="E308" i="38"/>
  <c r="E302" i="38"/>
  <c r="Q25" i="66"/>
  <c r="U25" i="66"/>
  <c r="L232" i="66"/>
  <c r="I460" i="58"/>
  <c r="L35" i="66"/>
  <c r="H466" i="37"/>
  <c r="H466" i="41" s="1"/>
  <c r="Q77" i="66"/>
  <c r="R77" i="66" s="1"/>
  <c r="T77" i="66" s="1"/>
  <c r="V77" i="66"/>
  <c r="X77" i="66" s="1"/>
  <c r="U77" i="66"/>
  <c r="M88" i="66"/>
  <c r="C18" i="8"/>
  <c r="N84" i="66"/>
  <c r="X29" i="66"/>
  <c r="L88" i="66"/>
  <c r="I460" i="37"/>
  <c r="N180" i="66"/>
  <c r="R180" i="66"/>
  <c r="T180" i="66" s="1"/>
  <c r="P180" i="66"/>
  <c r="V180" i="66" s="1"/>
  <c r="X180" i="66" s="1"/>
  <c r="Q104" i="66"/>
  <c r="R104" i="66" s="1"/>
  <c r="T104" i="66" s="1"/>
  <c r="U104" i="66"/>
  <c r="V104" i="66"/>
  <c r="X104" i="66" s="1"/>
  <c r="O208" i="66"/>
  <c r="Y208" i="66"/>
  <c r="Z64" i="66"/>
  <c r="O64" i="66"/>
  <c r="Y64" i="66"/>
  <c r="Z208" i="66"/>
  <c r="P82" i="66"/>
  <c r="N82" i="66"/>
  <c r="P178" i="66"/>
  <c r="V178" i="66" s="1"/>
  <c r="X178" i="66" s="1"/>
  <c r="R178" i="66"/>
  <c r="T178" i="66" s="1"/>
  <c r="N178" i="66"/>
  <c r="Q56" i="66"/>
  <c r="R56" i="66" s="1"/>
  <c r="T56" i="66" s="1"/>
  <c r="U56" i="66"/>
  <c r="V56" i="66"/>
  <c r="X56" i="66" s="1"/>
  <c r="L228" i="66"/>
  <c r="P228" i="66" s="1"/>
  <c r="I465" i="58"/>
  <c r="I465" i="41" s="1"/>
  <c r="H461" i="41"/>
  <c r="Q41" i="66"/>
  <c r="U41" i="66"/>
  <c r="R34" i="66"/>
  <c r="T34" i="66" s="1"/>
  <c r="P34" i="66"/>
  <c r="V34" i="66" s="1"/>
  <c r="X34" i="66" s="1"/>
  <c r="N34" i="66"/>
  <c r="Q185" i="66"/>
  <c r="U185" i="66"/>
  <c r="H460" i="41" l="1"/>
  <c r="I460" i="41"/>
  <c r="P88" i="66"/>
  <c r="N88" i="66"/>
  <c r="N35" i="66"/>
  <c r="R35" i="66"/>
  <c r="T35" i="66" s="1"/>
  <c r="P35" i="66"/>
  <c r="V35" i="66" s="1"/>
  <c r="X35" i="66" s="1"/>
  <c r="N227" i="66"/>
  <c r="P36" i="66"/>
  <c r="V36" i="66" s="1"/>
  <c r="X36" i="66" s="1"/>
  <c r="R36" i="66"/>
  <c r="T36" i="66" s="1"/>
  <c r="L67" i="66"/>
  <c r="I459" i="37"/>
  <c r="Y178" i="66"/>
  <c r="O34" i="66"/>
  <c r="Z34" i="66"/>
  <c r="Y34" i="66"/>
  <c r="Z178" i="66"/>
  <c r="P232" i="66"/>
  <c r="N232" i="66"/>
  <c r="M67" i="66"/>
  <c r="F20" i="39" s="1"/>
  <c r="C17" i="8"/>
  <c r="Q29" i="66"/>
  <c r="U29" i="66"/>
  <c r="L19" i="66"/>
  <c r="H459" i="37"/>
  <c r="O178" i="66"/>
  <c r="Z82" i="66"/>
  <c r="Y226" i="66"/>
  <c r="Z226" i="66"/>
  <c r="Y82" i="66"/>
  <c r="O82" i="66"/>
  <c r="Q64" i="66"/>
  <c r="R64" i="66" s="1"/>
  <c r="T64" i="66" s="1"/>
  <c r="V64" i="66"/>
  <c r="X64" i="66" s="1"/>
  <c r="U64" i="66"/>
  <c r="L163" i="66"/>
  <c r="H459" i="58"/>
  <c r="M19" i="66"/>
  <c r="B17" i="8"/>
  <c r="O226" i="66"/>
  <c r="R184" i="66"/>
  <c r="T184" i="66" s="1"/>
  <c r="P184" i="66"/>
  <c r="V184" i="66" s="1"/>
  <c r="X184" i="66" s="1"/>
  <c r="N184" i="66"/>
  <c r="O36" i="66"/>
  <c r="Z180" i="66"/>
  <c r="Y180" i="66"/>
  <c r="Y36" i="66"/>
  <c r="Z36" i="66"/>
  <c r="Q208" i="66"/>
  <c r="R208" i="66" s="1"/>
  <c r="T208" i="66" s="1"/>
  <c r="U208" i="66"/>
  <c r="V208" i="66"/>
  <c r="X208" i="66" s="1"/>
  <c r="O180" i="66"/>
  <c r="P40" i="66"/>
  <c r="V40" i="66" s="1"/>
  <c r="X40" i="66" s="1"/>
  <c r="R40" i="66"/>
  <c r="T40" i="66" s="1"/>
  <c r="N40" i="66"/>
  <c r="L211" i="66"/>
  <c r="I459" i="58"/>
  <c r="N228" i="66"/>
  <c r="Z84" i="66" s="1"/>
  <c r="U180" i="66" l="1"/>
  <c r="Q180" i="66"/>
  <c r="Q36" i="66"/>
  <c r="U36" i="66"/>
  <c r="N163" i="66"/>
  <c r="R163" i="66"/>
  <c r="T163" i="66" s="1"/>
  <c r="P163" i="66"/>
  <c r="V163" i="66" s="1"/>
  <c r="X163" i="66" s="1"/>
  <c r="O228" i="66"/>
  <c r="O227" i="66"/>
  <c r="Y227" i="66"/>
  <c r="O83" i="66"/>
  <c r="Z83" i="66"/>
  <c r="Y83" i="66"/>
  <c r="Z227" i="66"/>
  <c r="P211" i="66"/>
  <c r="N211" i="66"/>
  <c r="O184" i="66"/>
  <c r="Q178" i="66"/>
  <c r="U178" i="66"/>
  <c r="Z184" i="66"/>
  <c r="Y40" i="66"/>
  <c r="Z40" i="66"/>
  <c r="Y184" i="66"/>
  <c r="O40" i="66"/>
  <c r="H459" i="41"/>
  <c r="O84" i="66"/>
  <c r="N19" i="66"/>
  <c r="R19" i="66"/>
  <c r="T19" i="66" s="1"/>
  <c r="P19" i="66"/>
  <c r="V19" i="66" s="1"/>
  <c r="X19" i="66" s="1"/>
  <c r="Q34" i="66"/>
  <c r="U34" i="66"/>
  <c r="Y35" i="66"/>
  <c r="Y179" i="66"/>
  <c r="Z35" i="66"/>
  <c r="Z179" i="66"/>
  <c r="O35" i="66"/>
  <c r="O179" i="66"/>
  <c r="Q226" i="66"/>
  <c r="R226" i="66" s="1"/>
  <c r="T226" i="66" s="1"/>
  <c r="U226" i="66"/>
  <c r="V226" i="66"/>
  <c r="X226" i="66" s="1"/>
  <c r="Y228" i="66"/>
  <c r="Q82" i="66"/>
  <c r="R82" i="66" s="1"/>
  <c r="T82" i="66" s="1"/>
  <c r="U82" i="66"/>
  <c r="V82" i="66"/>
  <c r="X82" i="66" s="1"/>
  <c r="O232" i="66"/>
  <c r="Y88" i="66"/>
  <c r="Z232" i="66"/>
  <c r="Z88" i="66"/>
  <c r="O88" i="66"/>
  <c r="Y232" i="66"/>
  <c r="Y84" i="66"/>
  <c r="Z228" i="66"/>
  <c r="I459" i="41"/>
  <c r="P67" i="66"/>
  <c r="N67" i="66"/>
  <c r="Y211" i="66" l="1"/>
  <c r="O67" i="66"/>
  <c r="Y67" i="66"/>
  <c r="Z67" i="66"/>
  <c r="Z211" i="66"/>
  <c r="Y163" i="66"/>
  <c r="O19" i="66"/>
  <c r="Y19" i="66"/>
  <c r="Z163" i="66"/>
  <c r="Z19" i="66"/>
  <c r="V228" i="66"/>
  <c r="X228" i="66" s="1"/>
  <c r="U228" i="66"/>
  <c r="Q228" i="66"/>
  <c r="R228" i="66" s="1"/>
  <c r="T228" i="66" s="1"/>
  <c r="V84" i="66"/>
  <c r="X84" i="66" s="1"/>
  <c r="Q84" i="66"/>
  <c r="R84" i="66" s="1"/>
  <c r="T84" i="66" s="1"/>
  <c r="U84" i="66"/>
  <c r="Q83" i="66"/>
  <c r="R83" i="66" s="1"/>
  <c r="T83" i="66" s="1"/>
  <c r="U83" i="66"/>
  <c r="V83" i="66"/>
  <c r="X83" i="66" s="1"/>
  <c r="V232" i="66"/>
  <c r="X232" i="66" s="1"/>
  <c r="U232" i="66"/>
  <c r="Q232" i="66"/>
  <c r="R232" i="66" s="1"/>
  <c r="T232" i="66" s="1"/>
  <c r="Q40" i="66"/>
  <c r="U40" i="66"/>
  <c r="O163" i="66"/>
  <c r="Q184" i="66"/>
  <c r="U184" i="66"/>
  <c r="Q227" i="66"/>
  <c r="R227" i="66" s="1"/>
  <c r="T227" i="66" s="1"/>
  <c r="U227" i="66"/>
  <c r="V227" i="66"/>
  <c r="X227" i="66" s="1"/>
  <c r="O211" i="66"/>
  <c r="Q179" i="66"/>
  <c r="U179" i="66"/>
  <c r="V88" i="66"/>
  <c r="X88" i="66" s="1"/>
  <c r="U88" i="66"/>
  <c r="Q88" i="66"/>
  <c r="R88" i="66" s="1"/>
  <c r="T88" i="66" s="1"/>
  <c r="U35" i="66"/>
  <c r="Q35" i="66"/>
  <c r="Q211" i="66" l="1"/>
  <c r="R211" i="66" s="1"/>
  <c r="T211" i="66" s="1"/>
  <c r="V211" i="66"/>
  <c r="X211" i="66" s="1"/>
  <c r="U211" i="66"/>
  <c r="Q163" i="66"/>
  <c r="U163" i="66"/>
  <c r="Q19" i="66"/>
  <c r="U19" i="66"/>
  <c r="Q67" i="66"/>
  <c r="R67" i="66" s="1"/>
  <c r="T67" i="66" s="1"/>
  <c r="U67" i="66"/>
  <c r="V67" i="66"/>
  <c r="X67" i="66" s="1"/>
  <c r="J35" i="58" l="1"/>
  <c r="J35" i="37"/>
  <c r="H50" i="37"/>
  <c r="H50" i="58"/>
  <c r="H58" i="58"/>
  <c r="H58" i="37"/>
  <c r="I71" i="58"/>
  <c r="I71" i="37"/>
  <c r="J56" i="58"/>
  <c r="J56" i="37"/>
  <c r="H66" i="58"/>
  <c r="H66" i="37"/>
  <c r="J61" i="37"/>
  <c r="J61" i="58"/>
  <c r="J70" i="58"/>
  <c r="J70" i="37"/>
  <c r="J46" i="58"/>
  <c r="J46" i="37"/>
  <c r="J22" i="58"/>
  <c r="J22" i="37"/>
  <c r="I34" i="37"/>
  <c r="I34" i="58"/>
  <c r="H70" i="37"/>
  <c r="H70" i="58"/>
  <c r="H46" i="37"/>
  <c r="H46" i="58"/>
  <c r="H34" i="58"/>
  <c r="H34" i="37"/>
  <c r="H22" i="37"/>
  <c r="H22" i="58"/>
  <c r="I57" i="37"/>
  <c r="I57" i="58"/>
  <c r="H36" i="37"/>
  <c r="H36" i="58"/>
  <c r="J37" i="37"/>
  <c r="J37" i="58"/>
  <c r="I55" i="58"/>
  <c r="I55" i="37"/>
  <c r="I31" i="37"/>
  <c r="I31" i="58"/>
  <c r="I56" i="58"/>
  <c r="I56" i="37"/>
  <c r="H59" i="37"/>
  <c r="H59" i="58"/>
  <c r="H35" i="37"/>
  <c r="H35" i="58"/>
  <c r="I49" i="58"/>
  <c r="I49" i="37"/>
  <c r="I52" i="37"/>
  <c r="I52" i="58"/>
  <c r="I28" i="37"/>
  <c r="I28" i="58"/>
  <c r="H67" i="37"/>
  <c r="H67" i="58"/>
  <c r="H55" i="37"/>
  <c r="H55" i="58"/>
  <c r="H43" i="37"/>
  <c r="H43" i="58"/>
  <c r="H31" i="37"/>
  <c r="H31" i="58"/>
  <c r="H19" i="58"/>
  <c r="H19" i="37"/>
  <c r="I54" i="37"/>
  <c r="I54" i="58"/>
  <c r="H57" i="37"/>
  <c r="H57" i="58"/>
  <c r="I73" i="58"/>
  <c r="I73" i="37"/>
  <c r="I25" i="58"/>
  <c r="I25" i="37"/>
  <c r="I53" i="58"/>
  <c r="I53" i="37"/>
  <c r="H56" i="58"/>
  <c r="H56" i="37"/>
  <c r="J59" i="37"/>
  <c r="J59" i="58"/>
  <c r="J36" i="37"/>
  <c r="J36" i="58"/>
  <c r="J73" i="58"/>
  <c r="J73" i="37"/>
  <c r="J58" i="37"/>
  <c r="J58" i="58"/>
  <c r="J34" i="37"/>
  <c r="J34" i="58"/>
  <c r="I46" i="58"/>
  <c r="I46" i="37"/>
  <c r="I22" i="37"/>
  <c r="I22" i="58"/>
  <c r="H64" i="37"/>
  <c r="H64" i="58"/>
  <c r="H52" i="37"/>
  <c r="H52" i="58"/>
  <c r="H40" i="58"/>
  <c r="H40" i="37"/>
  <c r="H28" i="58"/>
  <c r="H28" i="37"/>
  <c r="H16" i="37"/>
  <c r="H16" i="58"/>
  <c r="H54" i="37"/>
  <c r="H54" i="58"/>
  <c r="I70" i="37"/>
  <c r="I70" i="58"/>
  <c r="H73" i="37"/>
  <c r="H73" i="58"/>
  <c r="I67" i="37"/>
  <c r="I67" i="58"/>
  <c r="I43" i="37"/>
  <c r="I43" i="58"/>
  <c r="I19" i="58"/>
  <c r="I19" i="37"/>
  <c r="I50" i="58"/>
  <c r="I50" i="37"/>
  <c r="I38" i="58"/>
  <c r="I38" i="37"/>
  <c r="H53" i="58"/>
  <c r="H53" i="37"/>
  <c r="I64" i="58"/>
  <c r="I64" i="37"/>
  <c r="I40" i="37"/>
  <c r="I40" i="58"/>
  <c r="I16" i="58"/>
  <c r="I16" i="37"/>
  <c r="H61" i="37"/>
  <c r="H61" i="58"/>
  <c r="H49" i="37"/>
  <c r="H49" i="58"/>
  <c r="H37" i="58"/>
  <c r="H37" i="37"/>
  <c r="H25" i="58"/>
  <c r="H25" i="37"/>
  <c r="I36" i="37"/>
  <c r="I36" i="58"/>
  <c r="J57" i="58"/>
  <c r="J57" i="37"/>
  <c r="J49" i="37"/>
  <c r="J49" i="58"/>
  <c r="J25" i="37"/>
  <c r="J25" i="58"/>
  <c r="I61" i="58"/>
  <c r="I61" i="37"/>
  <c r="I37" i="37"/>
  <c r="I37" i="58"/>
  <c r="I59" i="37"/>
  <c r="I59" i="58"/>
  <c r="I35" i="37"/>
  <c r="I35" i="58"/>
  <c r="H38" i="58"/>
  <c r="H38" i="37"/>
  <c r="I64" i="41" l="1"/>
  <c r="I19" i="41"/>
  <c r="I25" i="41"/>
  <c r="J56" i="41"/>
  <c r="I28" i="41"/>
  <c r="H54" i="41"/>
  <c r="H67" i="41"/>
  <c r="H59" i="41"/>
  <c r="H57" i="41"/>
  <c r="H31" i="41"/>
  <c r="H53" i="41"/>
  <c r="H28" i="41"/>
  <c r="J73" i="41"/>
  <c r="J59" i="41"/>
  <c r="I73" i="41"/>
  <c r="H40" i="41"/>
  <c r="I46" i="41"/>
  <c r="J36" i="41"/>
  <c r="I67" i="41"/>
  <c r="I70" i="41"/>
  <c r="J70" i="41"/>
  <c r="H58" i="41"/>
  <c r="I40" i="41"/>
  <c r="J34" i="41"/>
  <c r="I53" i="41"/>
  <c r="H22" i="41"/>
  <c r="I34" i="41"/>
  <c r="H66" i="41"/>
  <c r="I37" i="41"/>
  <c r="H64" i="41"/>
  <c r="J58" i="41"/>
  <c r="I49" i="41"/>
  <c r="H36" i="41"/>
  <c r="I54" i="41"/>
  <c r="I31" i="41"/>
  <c r="I55" i="41"/>
  <c r="J37" i="41"/>
  <c r="J35" i="41"/>
  <c r="H17" i="37"/>
  <c r="H17" i="58"/>
  <c r="H30" i="37"/>
  <c r="H30" i="58"/>
  <c r="J33" i="37"/>
  <c r="J33" i="58"/>
  <c r="I47" i="37"/>
  <c r="I47" i="58"/>
  <c r="I35" i="41"/>
  <c r="J25" i="41"/>
  <c r="I36" i="41"/>
  <c r="H49" i="41"/>
  <c r="I22" i="41"/>
  <c r="H69" i="37"/>
  <c r="H69" i="58"/>
  <c r="H71" i="37"/>
  <c r="H71" i="58"/>
  <c r="I57" i="41"/>
  <c r="H46" i="41"/>
  <c r="J46" i="41"/>
  <c r="H65" i="58"/>
  <c r="H65" i="37"/>
  <c r="I41" i="37"/>
  <c r="I41" i="58"/>
  <c r="H33" i="37"/>
  <c r="H33" i="58"/>
  <c r="I44" i="37"/>
  <c r="I44" i="58"/>
  <c r="H23" i="37"/>
  <c r="H23" i="58"/>
  <c r="H41" i="37"/>
  <c r="H41" i="58"/>
  <c r="J44" i="58"/>
  <c r="J44" i="37"/>
  <c r="H50" i="41"/>
  <c r="H60" i="37"/>
  <c r="H60" i="58"/>
  <c r="H61" i="41"/>
  <c r="I43" i="41"/>
  <c r="H73" i="41"/>
  <c r="H70" i="41"/>
  <c r="J23" i="37"/>
  <c r="J23" i="58"/>
  <c r="I26" i="58"/>
  <c r="I26" i="37"/>
  <c r="H44" i="58"/>
  <c r="H44" i="37"/>
  <c r="I14" i="37"/>
  <c r="I14" i="58"/>
  <c r="J60" i="58"/>
  <c r="J60" i="37"/>
  <c r="J49" i="41"/>
  <c r="J57" i="41"/>
  <c r="H25" i="41"/>
  <c r="I16" i="41"/>
  <c r="I38" i="41"/>
  <c r="H52" i="41"/>
  <c r="H56" i="41"/>
  <c r="H43" i="41"/>
  <c r="I52" i="41"/>
  <c r="I56" i="41"/>
  <c r="I23" i="37"/>
  <c r="I23" i="58"/>
  <c r="H26" i="37"/>
  <c r="H26" i="58"/>
  <c r="I68" i="37"/>
  <c r="I68" i="58"/>
  <c r="I20" i="37"/>
  <c r="I20" i="58"/>
  <c r="H72" i="37"/>
  <c r="H72" i="58"/>
  <c r="I60" i="58"/>
  <c r="I60" i="37"/>
  <c r="I59" i="41"/>
  <c r="H68" i="58"/>
  <c r="H68" i="37"/>
  <c r="H20" i="37"/>
  <c r="H20" i="58"/>
  <c r="J72" i="37"/>
  <c r="J72" i="58"/>
  <c r="I51" i="37"/>
  <c r="I51" i="58"/>
  <c r="H14" i="58"/>
  <c r="H14" i="37"/>
  <c r="H38" i="41"/>
  <c r="I61" i="41"/>
  <c r="H37" i="41"/>
  <c r="I50" i="41"/>
  <c r="C35" i="63"/>
  <c r="C29" i="63"/>
  <c r="J71" i="58"/>
  <c r="J71" i="37"/>
  <c r="I66" i="58"/>
  <c r="I66" i="37"/>
  <c r="H55" i="41"/>
  <c r="H35" i="41"/>
  <c r="H34" i="41"/>
  <c r="I58" i="58"/>
  <c r="C38" i="63" s="1"/>
  <c r="I58" i="37"/>
  <c r="J61" i="41"/>
  <c r="J68" i="58"/>
  <c r="J68" i="37"/>
  <c r="J20" i="37"/>
  <c r="J20" i="58"/>
  <c r="I72" i="37"/>
  <c r="I72" i="58"/>
  <c r="H51" i="58"/>
  <c r="H51" i="37"/>
  <c r="H47" i="58"/>
  <c r="H47" i="37"/>
  <c r="I39" i="58"/>
  <c r="I39" i="37"/>
  <c r="I62" i="37"/>
  <c r="I62" i="58"/>
  <c r="H16" i="41"/>
  <c r="C8" i="63"/>
  <c r="C2" i="63"/>
  <c r="H19" i="41"/>
  <c r="H48" i="37"/>
  <c r="H48" i="58"/>
  <c r="J22" i="41"/>
  <c r="I17" i="58"/>
  <c r="I17" i="37"/>
  <c r="I65" i="58"/>
  <c r="I65" i="37"/>
  <c r="I30" i="37"/>
  <c r="I30" i="58"/>
  <c r="I33" i="58"/>
  <c r="I33" i="37"/>
  <c r="I71" i="41"/>
  <c r="J47" i="37"/>
  <c r="J47" i="58"/>
  <c r="H39" i="58"/>
  <c r="H39" i="37"/>
  <c r="H62" i="37"/>
  <c r="H62" i="58"/>
  <c r="H48" i="41" l="1"/>
  <c r="H47" i="41"/>
  <c r="J68" i="41"/>
  <c r="I30" i="41"/>
  <c r="I17" i="41"/>
  <c r="J44" i="41"/>
  <c r="J20" i="41"/>
  <c r="H39" i="41"/>
  <c r="I58" i="41"/>
  <c r="N3" i="41" s="1"/>
  <c r="I66" i="41"/>
  <c r="I41" i="41"/>
  <c r="H20" i="41"/>
  <c r="I60" i="41"/>
  <c r="I20" i="41"/>
  <c r="I51" i="41"/>
  <c r="J47" i="41"/>
  <c r="I33" i="41"/>
  <c r="J48" i="58"/>
  <c r="J48" i="37"/>
  <c r="H69" i="41"/>
  <c r="H42" i="37"/>
  <c r="H42" i="58"/>
  <c r="I42" i="58"/>
  <c r="I42" i="37"/>
  <c r="H32" i="58"/>
  <c r="H32" i="37"/>
  <c r="H27" i="58"/>
  <c r="H27" i="37"/>
  <c r="I32" i="37"/>
  <c r="I32" i="58"/>
  <c r="H68" i="41"/>
  <c r="I27" i="37"/>
  <c r="I27" i="58"/>
  <c r="J32" i="37"/>
  <c r="J32" i="58"/>
  <c r="I69" i="37"/>
  <c r="I69" i="58"/>
  <c r="H44" i="41"/>
  <c r="H41" i="41"/>
  <c r="H65" i="41"/>
  <c r="I48" i="58"/>
  <c r="I48" i="37"/>
  <c r="J69" i="58"/>
  <c r="J69" i="37"/>
  <c r="I65" i="41"/>
  <c r="I62" i="41"/>
  <c r="I72" i="41"/>
  <c r="J71" i="41"/>
  <c r="H15" i="58"/>
  <c r="H15" i="37"/>
  <c r="C44" i="63"/>
  <c r="H72" i="41"/>
  <c r="I23" i="41"/>
  <c r="I44" i="41"/>
  <c r="H30" i="41"/>
  <c r="I39" i="41"/>
  <c r="H14" i="41"/>
  <c r="I45" i="37"/>
  <c r="I45" i="58"/>
  <c r="I63" i="37"/>
  <c r="I63" i="58"/>
  <c r="H45" i="37"/>
  <c r="H45" i="58"/>
  <c r="H60" i="41"/>
  <c r="H33" i="41"/>
  <c r="H63" i="37"/>
  <c r="H63" i="58"/>
  <c r="J60" i="41"/>
  <c r="I26" i="41"/>
  <c r="J45" i="58"/>
  <c r="J45" i="37"/>
  <c r="H23" i="41"/>
  <c r="I18" i="58"/>
  <c r="I18" i="37"/>
  <c r="I29" i="37"/>
  <c r="I29" i="58"/>
  <c r="H24" i="37"/>
  <c r="H24" i="58"/>
  <c r="I47" i="41"/>
  <c r="H17" i="41"/>
  <c r="H62" i="41"/>
  <c r="H18" i="58"/>
  <c r="H18" i="37"/>
  <c r="H51" i="41"/>
  <c r="J72" i="41"/>
  <c r="I68" i="41"/>
  <c r="C11" i="63"/>
  <c r="J23" i="41"/>
  <c r="H29" i="37"/>
  <c r="H29" i="58"/>
  <c r="J24" i="37"/>
  <c r="J24" i="58"/>
  <c r="I21" i="58"/>
  <c r="I21" i="37"/>
  <c r="I15" i="58"/>
  <c r="I15" i="37"/>
  <c r="C17" i="63"/>
  <c r="I14" i="41"/>
  <c r="I24" i="37"/>
  <c r="I24" i="58"/>
  <c r="J33" i="41"/>
  <c r="H21" i="58"/>
  <c r="H21" i="37"/>
  <c r="H26" i="41"/>
  <c r="H71" i="41"/>
  <c r="J21" i="58"/>
  <c r="J21" i="37"/>
  <c r="I403" i="37" l="1"/>
  <c r="E17" i="53" s="1"/>
  <c r="F17" i="53" s="1"/>
  <c r="H23" i="53" s="1"/>
  <c r="J32" i="41"/>
  <c r="I402" i="58"/>
  <c r="F242" i="66" s="1"/>
  <c r="N242" i="66" s="1"/>
  <c r="I18" i="41"/>
  <c r="H403" i="58"/>
  <c r="E11" i="53" s="1"/>
  <c r="F11" i="53" s="1"/>
  <c r="H5" i="53" s="1"/>
  <c r="I24" i="41"/>
  <c r="I402" i="37"/>
  <c r="F98" i="66" s="1"/>
  <c r="N98" i="66" s="1"/>
  <c r="I21" i="41"/>
  <c r="J69" i="41"/>
  <c r="I32" i="41"/>
  <c r="H42" i="41"/>
  <c r="I403" i="58"/>
  <c r="E23" i="53" s="1"/>
  <c r="F23" i="53" s="1"/>
  <c r="J21" i="41"/>
  <c r="H21" i="41"/>
  <c r="I27" i="41"/>
  <c r="H18" i="41"/>
  <c r="I48" i="41"/>
  <c r="H27" i="41"/>
  <c r="H32" i="41"/>
  <c r="J48" i="41"/>
  <c r="I42" i="41"/>
  <c r="H24" i="41"/>
  <c r="I69" i="41"/>
  <c r="H29" i="41"/>
  <c r="H45" i="41"/>
  <c r="H403" i="37"/>
  <c r="I63" i="41"/>
  <c r="H402" i="37"/>
  <c r="H15" i="41"/>
  <c r="H63" i="41"/>
  <c r="H402" i="58"/>
  <c r="F194" i="66" s="1"/>
  <c r="N194" i="66" s="1"/>
  <c r="I29" i="41"/>
  <c r="J24" i="41"/>
  <c r="J45" i="41"/>
  <c r="I15" i="41"/>
  <c r="F97" i="66"/>
  <c r="I45" i="41"/>
  <c r="I4" i="37"/>
  <c r="I4" i="58"/>
  <c r="J4" i="58"/>
  <c r="J4" i="37"/>
  <c r="F193" i="66" l="1"/>
  <c r="F241" i="66"/>
  <c r="I403" i="41"/>
  <c r="I402" i="41"/>
  <c r="F49" i="66"/>
  <c r="H403" i="41"/>
  <c r="E5" i="53"/>
  <c r="F5" i="53" s="1"/>
  <c r="G23" i="53"/>
  <c r="H17" i="53"/>
  <c r="G17" i="53" s="1"/>
  <c r="Z242" i="66"/>
  <c r="Y242" i="66"/>
  <c r="Z98" i="66"/>
  <c r="Y98" i="66"/>
  <c r="F50" i="66"/>
  <c r="N50" i="66" s="1"/>
  <c r="H402" i="41"/>
  <c r="H4" i="37"/>
  <c r="H4" i="58"/>
  <c r="F101" i="66"/>
  <c r="E31" i="53"/>
  <c r="J4" i="41"/>
  <c r="E45" i="39" s="1"/>
  <c r="F245" i="66"/>
  <c r="O4" i="58"/>
  <c r="E37" i="53"/>
  <c r="E25" i="53"/>
  <c r="N4" i="58"/>
  <c r="F197" i="66"/>
  <c r="F53" i="66"/>
  <c r="E19" i="53"/>
  <c r="I4" i="41"/>
  <c r="D45" i="39" s="1"/>
  <c r="E305" i="38" l="1"/>
  <c r="E311" i="38"/>
  <c r="E317" i="38"/>
  <c r="E323" i="38"/>
  <c r="M241" i="66" s="1"/>
  <c r="Z50" i="66"/>
  <c r="Y194" i="66"/>
  <c r="Z194" i="66"/>
  <c r="Y50" i="66"/>
  <c r="H11" i="53"/>
  <c r="G11" i="53" s="1"/>
  <c r="G5" i="53"/>
  <c r="M45" i="39"/>
  <c r="E175" i="38" s="1"/>
  <c r="L45" i="39"/>
  <c r="E124" i="38"/>
  <c r="D59" i="39"/>
  <c r="D60" i="39" s="1"/>
  <c r="D56" i="39"/>
  <c r="E107" i="38"/>
  <c r="E13" i="53"/>
  <c r="F149" i="66"/>
  <c r="M4" i="58"/>
  <c r="E7" i="53"/>
  <c r="F5" i="66"/>
  <c r="H4" i="41"/>
  <c r="K45" i="39" s="1"/>
  <c r="L241" i="66" l="1"/>
  <c r="I462" i="58"/>
  <c r="M97" i="66"/>
  <c r="C20" i="8"/>
  <c r="I462" i="37"/>
  <c r="L97" i="66"/>
  <c r="E281" i="38"/>
  <c r="E287" i="38"/>
  <c r="E293" i="38"/>
  <c r="E299" i="38"/>
  <c r="M193" i="66" s="1"/>
  <c r="C45" i="39"/>
  <c r="E90" i="38" s="1"/>
  <c r="J245" i="66"/>
  <c r="J444" i="58"/>
  <c r="D37" i="53"/>
  <c r="F37" i="53" s="1"/>
  <c r="D31" i="53"/>
  <c r="F31" i="53" s="1"/>
  <c r="H37" i="53" s="1"/>
  <c r="J101" i="66"/>
  <c r="J444" i="37"/>
  <c r="E141" i="38"/>
  <c r="K56" i="39"/>
  <c r="K59" i="39"/>
  <c r="K60" i="39" s="1"/>
  <c r="I444" i="37"/>
  <c r="I452" i="37"/>
  <c r="D19" i="53"/>
  <c r="F19" i="53" s="1"/>
  <c r="H25" i="53" s="1"/>
  <c r="J53" i="66"/>
  <c r="L59" i="39"/>
  <c r="L60" i="39" s="1"/>
  <c r="L56" i="39"/>
  <c r="E158" i="38"/>
  <c r="D58" i="39"/>
  <c r="D57" i="39"/>
  <c r="P97" i="66" l="1"/>
  <c r="N97" i="66"/>
  <c r="L193" i="66"/>
  <c r="H462" i="58"/>
  <c r="I462" i="41"/>
  <c r="M49" i="66"/>
  <c r="B20" i="8"/>
  <c r="H462" i="37"/>
  <c r="L49" i="66"/>
  <c r="P241" i="66"/>
  <c r="N241" i="66"/>
  <c r="C59" i="39"/>
  <c r="C60" i="39" s="1"/>
  <c r="C56" i="39"/>
  <c r="C58" i="39" s="1"/>
  <c r="D13" i="53"/>
  <c r="F13" i="53" s="1"/>
  <c r="H7" i="53" s="1"/>
  <c r="J149" i="66"/>
  <c r="H444" i="58"/>
  <c r="H452" i="58"/>
  <c r="I444" i="58"/>
  <c r="I444" i="41" s="1"/>
  <c r="I452" i="58"/>
  <c r="J197" i="66"/>
  <c r="D25" i="53"/>
  <c r="F25" i="53" s="1"/>
  <c r="H452" i="37"/>
  <c r="H444" i="37"/>
  <c r="D7" i="53"/>
  <c r="F7" i="53" s="1"/>
  <c r="J5" i="66"/>
  <c r="J444" i="41"/>
  <c r="L58" i="39"/>
  <c r="L57" i="39"/>
  <c r="W101" i="66"/>
  <c r="S101" i="66"/>
  <c r="S53" i="66"/>
  <c r="W53" i="66"/>
  <c r="K58" i="39"/>
  <c r="K57" i="39"/>
  <c r="G37" i="53"/>
  <c r="H31" i="53"/>
  <c r="G31" i="53" s="1"/>
  <c r="F55" i="66"/>
  <c r="I457" i="37"/>
  <c r="F54" i="66"/>
  <c r="I467" i="37"/>
  <c r="S245" i="66"/>
  <c r="W245" i="66"/>
  <c r="O241" i="66" l="1"/>
  <c r="U241" i="66" s="1"/>
  <c r="Y97" i="66"/>
  <c r="Z97" i="66"/>
  <c r="Y241" i="66"/>
  <c r="Z241" i="66"/>
  <c r="O97" i="66"/>
  <c r="R193" i="66"/>
  <c r="T193" i="66" s="1"/>
  <c r="P193" i="66"/>
  <c r="V193" i="66" s="1"/>
  <c r="X193" i="66" s="1"/>
  <c r="N193" i="66"/>
  <c r="P49" i="66"/>
  <c r="V49" i="66" s="1"/>
  <c r="X49" i="66" s="1"/>
  <c r="R49" i="66"/>
  <c r="T49" i="66" s="1"/>
  <c r="N49" i="66"/>
  <c r="H462" i="41"/>
  <c r="C57" i="39"/>
  <c r="I452" i="41"/>
  <c r="I457" i="58"/>
  <c r="F199" i="66"/>
  <c r="L54" i="66"/>
  <c r="P54" i="66" s="1"/>
  <c r="I467" i="58"/>
  <c r="I467" i="41" s="1"/>
  <c r="F198" i="66"/>
  <c r="E349" i="38"/>
  <c r="M245" i="66" s="1"/>
  <c r="E343" i="38"/>
  <c r="W5" i="66"/>
  <c r="S5" i="66"/>
  <c r="G7" i="53"/>
  <c r="H13" i="53"/>
  <c r="G13" i="53" s="1"/>
  <c r="E360" i="38"/>
  <c r="K55" i="66" s="1"/>
  <c r="N55" i="66" s="1"/>
  <c r="I458" i="37"/>
  <c r="H444" i="41"/>
  <c r="F6" i="66"/>
  <c r="H467" i="37"/>
  <c r="F151" i="66"/>
  <c r="H457" i="58"/>
  <c r="F7" i="66"/>
  <c r="H457" i="37"/>
  <c r="H452" i="41"/>
  <c r="H467" i="58"/>
  <c r="F150" i="66"/>
  <c r="E331" i="38"/>
  <c r="E337" i="38"/>
  <c r="G25" i="53"/>
  <c r="H19" i="53"/>
  <c r="G19" i="53" s="1"/>
  <c r="S149" i="66"/>
  <c r="W149" i="66"/>
  <c r="W197" i="66"/>
  <c r="S197" i="66"/>
  <c r="Q241" i="66" l="1"/>
  <c r="R241" i="66" s="1"/>
  <c r="T241" i="66" s="1"/>
  <c r="V241" i="66"/>
  <c r="X241" i="66" s="1"/>
  <c r="Y193" i="66"/>
  <c r="Z49" i="66"/>
  <c r="Z193" i="66"/>
  <c r="Y49" i="66"/>
  <c r="O49" i="66"/>
  <c r="O193" i="66"/>
  <c r="V97" i="66"/>
  <c r="X97" i="66" s="1"/>
  <c r="U97" i="66"/>
  <c r="Q97" i="66"/>
  <c r="R97" i="66" s="1"/>
  <c r="T97" i="66" s="1"/>
  <c r="H467" i="41"/>
  <c r="M3" i="41" s="1"/>
  <c r="N54" i="66"/>
  <c r="E319" i="38"/>
  <c r="E325" i="38"/>
  <c r="M197" i="66" s="1"/>
  <c r="E307" i="38"/>
  <c r="E313" i="38"/>
  <c r="L6" i="66"/>
  <c r="P6" i="66" s="1"/>
  <c r="V6" i="66" s="1"/>
  <c r="X6" i="66" s="1"/>
  <c r="D22" i="8"/>
  <c r="M101" i="66"/>
  <c r="G18" i="39" s="1"/>
  <c r="J464" i="37"/>
  <c r="L101" i="66"/>
  <c r="E361" i="38"/>
  <c r="K74" i="66" s="1"/>
  <c r="N74" i="66" s="1"/>
  <c r="L245" i="66"/>
  <c r="J464" i="58"/>
  <c r="E301" i="38"/>
  <c r="M149" i="66" s="1"/>
  <c r="E295" i="38"/>
  <c r="L150" i="66"/>
  <c r="P150" i="66" s="1"/>
  <c r="V150" i="66" s="1"/>
  <c r="X150" i="66" s="1"/>
  <c r="E372" i="38"/>
  <c r="K151" i="66" s="1"/>
  <c r="N151" i="66" s="1"/>
  <c r="H458" i="58"/>
  <c r="E373" i="38" s="1"/>
  <c r="K170" i="66" s="1"/>
  <c r="N170" i="66" s="1"/>
  <c r="E289" i="38"/>
  <c r="E283" i="38"/>
  <c r="I457" i="41"/>
  <c r="I458" i="58"/>
  <c r="E379" i="38" s="1"/>
  <c r="K218" i="66" s="1"/>
  <c r="N218" i="66" s="1"/>
  <c r="E378" i="38"/>
  <c r="K199" i="66" s="1"/>
  <c r="N199" i="66" s="1"/>
  <c r="Y55" i="66" s="1"/>
  <c r="L198" i="66"/>
  <c r="P198" i="66" s="1"/>
  <c r="H457" i="41"/>
  <c r="E354" i="38"/>
  <c r="K7" i="66" s="1"/>
  <c r="N7" i="66" s="1"/>
  <c r="H458" i="37"/>
  <c r="P245" i="66" l="1"/>
  <c r="N245" i="66"/>
  <c r="Z55" i="66"/>
  <c r="Z199" i="66"/>
  <c r="P101" i="66"/>
  <c r="N101" i="66"/>
  <c r="Y199" i="66"/>
  <c r="U49" i="66"/>
  <c r="Q49" i="66"/>
  <c r="U193" i="66"/>
  <c r="Q193" i="66"/>
  <c r="N198" i="66"/>
  <c r="O198" i="66" s="1"/>
  <c r="Q198" i="66" s="1"/>
  <c r="N6" i="66"/>
  <c r="Y74" i="66"/>
  <c r="Z74" i="66"/>
  <c r="Z218" i="66"/>
  <c r="Y218" i="66"/>
  <c r="M53" i="66"/>
  <c r="F18" i="39" s="1"/>
  <c r="C22" i="8"/>
  <c r="L149" i="66"/>
  <c r="H464" i="58"/>
  <c r="Y54" i="66"/>
  <c r="I458" i="41"/>
  <c r="I464" i="37"/>
  <c r="L53" i="66"/>
  <c r="E355" i="38"/>
  <c r="K26" i="66" s="1"/>
  <c r="N26" i="66" s="1"/>
  <c r="H458" i="41"/>
  <c r="Z198" i="66"/>
  <c r="Z7" i="66"/>
  <c r="Z151" i="66"/>
  <c r="Y7" i="66"/>
  <c r="Y151" i="66"/>
  <c r="L5" i="66"/>
  <c r="H464" i="37"/>
  <c r="Y198" i="66"/>
  <c r="J464" i="41"/>
  <c r="I464" i="58"/>
  <c r="L197" i="66"/>
  <c r="B22" i="8"/>
  <c r="M5" i="66"/>
  <c r="O54" i="66"/>
  <c r="Z54" i="66"/>
  <c r="N150" i="66"/>
  <c r="O245" i="66" l="1"/>
  <c r="Q245" i="66" s="1"/>
  <c r="R245" i="66" s="1"/>
  <c r="T245" i="66" s="1"/>
  <c r="Y101" i="66"/>
  <c r="Z245" i="66"/>
  <c r="Z101" i="66"/>
  <c r="Y245" i="66"/>
  <c r="O101" i="66"/>
  <c r="P53" i="66"/>
  <c r="N53" i="66"/>
  <c r="N197" i="66"/>
  <c r="P197" i="66"/>
  <c r="R5" i="66"/>
  <c r="T5" i="66" s="1"/>
  <c r="P5" i="66"/>
  <c r="V5" i="66" s="1"/>
  <c r="X5" i="66" s="1"/>
  <c r="N5" i="66"/>
  <c r="R149" i="66"/>
  <c r="T149" i="66" s="1"/>
  <c r="P149" i="66"/>
  <c r="V149" i="66" s="1"/>
  <c r="X149" i="66" s="1"/>
  <c r="N149" i="66"/>
  <c r="V245" i="66"/>
  <c r="X245" i="66" s="1"/>
  <c r="H464" i="41"/>
  <c r="O150" i="66"/>
  <c r="Q150" i="66" s="1"/>
  <c r="Y6" i="66"/>
  <c r="U198" i="66"/>
  <c r="V198" i="66"/>
  <c r="X198" i="66" s="1"/>
  <c r="Y150" i="66"/>
  <c r="O6" i="66"/>
  <c r="Q6" i="66" s="1"/>
  <c r="I464" i="41"/>
  <c r="U54" i="66"/>
  <c r="V54" i="66"/>
  <c r="X54" i="66" s="1"/>
  <c r="Q54" i="66"/>
  <c r="Z150" i="66"/>
  <c r="Z6" i="66"/>
  <c r="Z26" i="66"/>
  <c r="Y170" i="66"/>
  <c r="Z170" i="66"/>
  <c r="Y26" i="66"/>
  <c r="U245" i="66" l="1"/>
  <c r="O149" i="66"/>
  <c r="U149" i="66" s="1"/>
  <c r="Y53" i="66"/>
  <c r="Z197" i="66"/>
  <c r="Z53" i="66"/>
  <c r="Y197" i="66"/>
  <c r="O53" i="66"/>
  <c r="Y5" i="66"/>
  <c r="Z149" i="66"/>
  <c r="Y149" i="66"/>
  <c r="Z5" i="66"/>
  <c r="O5" i="66"/>
  <c r="U101" i="66"/>
  <c r="Q101" i="66"/>
  <c r="R101" i="66" s="1"/>
  <c r="T101" i="66" s="1"/>
  <c r="V101" i="66"/>
  <c r="X101" i="66" s="1"/>
  <c r="O197" i="66"/>
  <c r="U150" i="66"/>
  <c r="U6" i="66"/>
  <c r="P36" i="9" a="1"/>
  <c r="P36" i="9" s="1"/>
  <c r="E78" i="22" s="1"/>
  <c r="P26" i="9" a="1"/>
  <c r="P26" i="9" s="1"/>
  <c r="E33" i="22" s="1"/>
  <c r="E34" i="26"/>
  <c r="P37" i="9" a="1"/>
  <c r="P37" i="9" s="1"/>
  <c r="H22" i="26" s="1"/>
  <c r="P27" i="9" a="1"/>
  <c r="P27" i="9" s="1"/>
  <c r="E35" i="26" s="1"/>
  <c r="I199" i="35" s="1"/>
  <c r="Q149" i="66" l="1"/>
  <c r="Q197" i="66"/>
  <c r="R197" i="66" s="1"/>
  <c r="T197" i="66" s="1"/>
  <c r="V197" i="66"/>
  <c r="X197" i="66" s="1"/>
  <c r="U197" i="66"/>
  <c r="U53" i="66"/>
  <c r="Q53" i="66"/>
  <c r="R53" i="66" s="1"/>
  <c r="T53" i="66" s="1"/>
  <c r="V53" i="66"/>
  <c r="X53" i="66" s="1"/>
  <c r="U5" i="66"/>
  <c r="Q5" i="66"/>
  <c r="E34" i="22"/>
  <c r="E38" i="26"/>
  <c r="D53" i="26" s="1"/>
  <c r="I198" i="35"/>
  <c r="D52" i="26"/>
  <c r="I207" i="35"/>
  <c r="J54" i="37"/>
  <c r="J53" i="37"/>
  <c r="J55" i="37"/>
  <c r="H23" i="26"/>
  <c r="I208" i="35" s="1"/>
  <c r="H35" i="26"/>
  <c r="I220" i="35" s="1"/>
  <c r="H39" i="26"/>
  <c r="I224" i="35" s="1"/>
  <c r="H27" i="26"/>
  <c r="I212" i="35" s="1"/>
  <c r="H31" i="26"/>
  <c r="I216" i="35" s="1"/>
  <c r="E79" i="22"/>
  <c r="H34" i="26"/>
  <c r="P7" i="9"/>
  <c r="H30" i="26"/>
  <c r="H38" i="26"/>
  <c r="P30" i="9"/>
  <c r="P6" i="9"/>
  <c r="H26" i="26"/>
  <c r="P40" i="9"/>
  <c r="I202" i="35"/>
  <c r="E22" i="26"/>
  <c r="E26" i="26"/>
  <c r="E39" i="26"/>
  <c r="I203" i="35" s="1"/>
  <c r="E23" i="26"/>
  <c r="I187" i="35" s="1"/>
  <c r="E27" i="26"/>
  <c r="I191" i="35" s="1"/>
  <c r="E31" i="26"/>
  <c r="I195" i="35" s="1"/>
  <c r="E30" i="26"/>
  <c r="I186" i="35" l="1"/>
  <c r="D49" i="26"/>
  <c r="I215" i="35"/>
  <c r="G51" i="26"/>
  <c r="J19" i="58"/>
  <c r="J18" i="58"/>
  <c r="J17" i="58"/>
  <c r="J64" i="37"/>
  <c r="J62" i="37"/>
  <c r="J63" i="37"/>
  <c r="J29" i="37"/>
  <c r="J30" i="37"/>
  <c r="J31" i="37"/>
  <c r="I211" i="35"/>
  <c r="G50" i="26"/>
  <c r="J43" i="58"/>
  <c r="J42" i="58"/>
  <c r="J41" i="58"/>
  <c r="G49" i="26"/>
  <c r="I194" i="35"/>
  <c r="D51" i="26"/>
  <c r="I219" i="35"/>
  <c r="G52" i="26"/>
  <c r="J17" i="37"/>
  <c r="J17" i="41" s="1"/>
  <c r="J19" i="37"/>
  <c r="J19" i="41" s="1"/>
  <c r="J18" i="37"/>
  <c r="E48" i="17" a="1"/>
  <c r="E48" i="17" s="1"/>
  <c r="P10" i="9"/>
  <c r="E49" i="17"/>
  <c r="J29" i="58"/>
  <c r="J30" i="58"/>
  <c r="J31" i="58"/>
  <c r="J15" i="58"/>
  <c r="J14" i="58"/>
  <c r="J16" i="58"/>
  <c r="J42" i="37"/>
  <c r="J43" i="37"/>
  <c r="J41" i="37"/>
  <c r="J41" i="41" s="1"/>
  <c r="J65" i="37"/>
  <c r="J67" i="37"/>
  <c r="J66" i="37"/>
  <c r="J66" i="58"/>
  <c r="J65" i="58"/>
  <c r="J67" i="58"/>
  <c r="I190" i="35"/>
  <c r="D50" i="26"/>
  <c r="I223" i="35"/>
  <c r="G53" i="26"/>
  <c r="J54" i="58"/>
  <c r="J54" i="41" s="1"/>
  <c r="J53" i="58"/>
  <c r="J53" i="41" s="1"/>
  <c r="J55" i="58"/>
  <c r="J55" i="41" s="1"/>
  <c r="J50" i="37"/>
  <c r="J51" i="37"/>
  <c r="J52" i="37"/>
  <c r="J43" i="41" l="1"/>
  <c r="J42" i="41"/>
  <c r="J30" i="41"/>
  <c r="J29" i="41"/>
  <c r="J66" i="41"/>
  <c r="J63" i="58"/>
  <c r="J63" i="41" s="1"/>
  <c r="J62" i="58"/>
  <c r="J62" i="41" s="1"/>
  <c r="J64" i="58"/>
  <c r="J64" i="41" s="1"/>
  <c r="J26" i="37"/>
  <c r="J28" i="37"/>
  <c r="J27" i="37"/>
  <c r="J51" i="58"/>
  <c r="J51" i="41" s="1"/>
  <c r="J52" i="58"/>
  <c r="J52" i="41" s="1"/>
  <c r="J50" i="58"/>
  <c r="J50" i="41" s="1"/>
  <c r="J28" i="58"/>
  <c r="J27" i="58"/>
  <c r="J26" i="58"/>
  <c r="J31" i="41"/>
  <c r="J39" i="37"/>
  <c r="J40" i="37"/>
  <c r="J38" i="37"/>
  <c r="R33" i="20"/>
  <c r="R7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R6" i="20"/>
  <c r="I6" i="20"/>
  <c r="I8" i="20" s="1"/>
  <c r="I10" i="20" s="1"/>
  <c r="I7" i="20"/>
  <c r="I9" i="20" s="1"/>
  <c r="J18" i="41"/>
  <c r="J39" i="58"/>
  <c r="J38" i="58"/>
  <c r="J403" i="58" s="1"/>
  <c r="F289" i="66" s="1"/>
  <c r="J40" i="58"/>
  <c r="J67" i="41"/>
  <c r="J65" i="41"/>
  <c r="J16" i="37"/>
  <c r="J15" i="37"/>
  <c r="J14" i="37"/>
  <c r="R9" i="20" l="1"/>
  <c r="J402" i="58"/>
  <c r="F290" i="66" s="1"/>
  <c r="N290" i="66" s="1"/>
  <c r="C53" i="63"/>
  <c r="J40" i="41"/>
  <c r="J27" i="41"/>
  <c r="I12" i="20"/>
  <c r="R12" i="20"/>
  <c r="E35" i="53"/>
  <c r="F35" i="53" s="1"/>
  <c r="I11" i="20"/>
  <c r="R11" i="20"/>
  <c r="J28" i="41"/>
  <c r="J402" i="37"/>
  <c r="J403" i="37"/>
  <c r="J403" i="41" s="1"/>
  <c r="J14" i="41"/>
  <c r="J26" i="41"/>
  <c r="J15" i="41"/>
  <c r="R10" i="20"/>
  <c r="C26" i="63"/>
  <c r="J16" i="41"/>
  <c r="I88" i="35" a="1"/>
  <c r="I88" i="35" s="1"/>
  <c r="I97" i="35" a="1"/>
  <c r="I97" i="35" s="1"/>
  <c r="I94" i="35" a="1"/>
  <c r="I94" i="35" s="1"/>
  <c r="I87" i="35" a="1"/>
  <c r="I87" i="35" s="1"/>
  <c r="I96" i="35" a="1"/>
  <c r="I96" i="35" s="1"/>
  <c r="I93" i="35" a="1"/>
  <c r="I93" i="35" s="1"/>
  <c r="I100" i="35" a="1"/>
  <c r="I100" i="35" s="1"/>
  <c r="I90" i="35" a="1"/>
  <c r="I90" i="35" s="1"/>
  <c r="I98" i="35" a="1"/>
  <c r="I98" i="35" s="1"/>
  <c r="I99" i="35" a="1"/>
  <c r="I99" i="35" s="1"/>
  <c r="I92" i="35" a="1"/>
  <c r="I92" i="35" s="1"/>
  <c r="I95" i="35" a="1"/>
  <c r="I95" i="35" s="1"/>
  <c r="G284" i="18" a="1"/>
  <c r="G284" i="18" s="1"/>
  <c r="G293" i="18" a="1"/>
  <c r="G293" i="18" s="1"/>
  <c r="G292" i="18" a="1"/>
  <c r="G292" i="18" s="1"/>
  <c r="G289" i="18" a="1"/>
  <c r="G289" i="18" s="1"/>
  <c r="G294" i="18" a="1"/>
  <c r="G294" i="18" s="1"/>
  <c r="G285" i="18" a="1"/>
  <c r="G285" i="18" s="1"/>
  <c r="I91" i="35" a="1"/>
  <c r="I91" i="35" s="1"/>
  <c r="G291" i="18" a="1"/>
  <c r="G291" i="18" s="1"/>
  <c r="I47" i="20"/>
  <c r="I89" i="35" a="1"/>
  <c r="I89" i="35" s="1"/>
  <c r="G287" i="18" a="1"/>
  <c r="G287" i="18" s="1"/>
  <c r="G282" i="18" a="1"/>
  <c r="G282" i="18" s="1"/>
  <c r="G288" i="18" a="1"/>
  <c r="G288" i="18" s="1"/>
  <c r="G290" i="18" a="1"/>
  <c r="G290" i="18" s="1"/>
  <c r="G286" i="18" a="1"/>
  <c r="G286" i="18" s="1"/>
  <c r="G295" i="18" a="1"/>
  <c r="G295" i="18" s="1"/>
  <c r="G283" i="18" a="1"/>
  <c r="G283" i="18" s="1"/>
  <c r="R8" i="20"/>
  <c r="J38" i="41"/>
  <c r="R34" i="20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J39" i="41"/>
  <c r="E29" i="53" l="1"/>
  <c r="F29" i="53" s="1"/>
  <c r="F145" i="66"/>
  <c r="H291" i="18"/>
  <c r="I291" i="18"/>
  <c r="J284" i="58"/>
  <c r="J283" i="58"/>
  <c r="J282" i="58"/>
  <c r="G324" i="18" a="1"/>
  <c r="G324" i="18" s="1"/>
  <c r="G331" i="18" a="1"/>
  <c r="G331" i="18" s="1"/>
  <c r="I140" i="35" a="1"/>
  <c r="I140" i="35" s="1"/>
  <c r="I136" i="35" a="1"/>
  <c r="I136" i="35" s="1"/>
  <c r="I289" i="18"/>
  <c r="H289" i="18"/>
  <c r="J302" i="58"/>
  <c r="J300" i="58"/>
  <c r="J303" i="58"/>
  <c r="J301" i="58"/>
  <c r="H293" i="18"/>
  <c r="I293" i="18"/>
  <c r="J228" i="58"/>
  <c r="J229" i="58"/>
  <c r="J230" i="58"/>
  <c r="H283" i="18"/>
  <c r="I283" i="18"/>
  <c r="H284" i="18"/>
  <c r="I284" i="18"/>
  <c r="J266" i="58"/>
  <c r="J264" i="58"/>
  <c r="J265" i="58"/>
  <c r="G326" i="18" a="1"/>
  <c r="G326" i="18" s="1"/>
  <c r="G329" i="18" a="1"/>
  <c r="G329" i="18" s="1"/>
  <c r="I133" i="35" a="1"/>
  <c r="I133" i="35" s="1"/>
  <c r="I137" i="35" a="1"/>
  <c r="I137" i="35" s="1"/>
  <c r="H35" i="53"/>
  <c r="G35" i="53" s="1"/>
  <c r="G327" i="18" a="1"/>
  <c r="G327" i="18" s="1"/>
  <c r="G335" i="18" a="1"/>
  <c r="G335" i="18" s="1"/>
  <c r="I134" i="35" a="1"/>
  <c r="I134" i="35" s="1"/>
  <c r="I132" i="35" a="1"/>
  <c r="I132" i="35" s="1"/>
  <c r="R13" i="20"/>
  <c r="I13" i="20"/>
  <c r="J247" i="58"/>
  <c r="J246" i="58"/>
  <c r="J248" i="58"/>
  <c r="G328" i="18" a="1"/>
  <c r="G328" i="18" s="1"/>
  <c r="G330" i="18" a="1"/>
  <c r="G330" i="18" s="1"/>
  <c r="I131" i="35" a="1"/>
  <c r="I131" i="35" s="1"/>
  <c r="H29" i="53"/>
  <c r="G29" i="53" s="1"/>
  <c r="I286" i="18"/>
  <c r="H286" i="18"/>
  <c r="H285" i="18"/>
  <c r="I285" i="18"/>
  <c r="J366" i="58"/>
  <c r="J368" i="58"/>
  <c r="J367" i="58"/>
  <c r="J327" i="58"/>
  <c r="J324" i="58"/>
  <c r="J326" i="58"/>
  <c r="J325" i="58"/>
  <c r="G325" i="18" a="1"/>
  <c r="G325" i="18" s="1"/>
  <c r="G332" i="18" a="1"/>
  <c r="G332" i="18" s="1"/>
  <c r="I141" i="35" a="1"/>
  <c r="I141" i="35" s="1"/>
  <c r="H295" i="18"/>
  <c r="I295" i="18"/>
  <c r="J170" i="58"/>
  <c r="J168" i="58"/>
  <c r="J169" i="58"/>
  <c r="H294" i="18"/>
  <c r="I294" i="18"/>
  <c r="J350" i="58"/>
  <c r="J349" i="58"/>
  <c r="J348" i="58"/>
  <c r="J204" i="58"/>
  <c r="J205" i="58"/>
  <c r="J206" i="58"/>
  <c r="J207" i="58"/>
  <c r="G336" i="18" a="1"/>
  <c r="G336" i="18" s="1"/>
  <c r="G334" i="18" a="1"/>
  <c r="G334" i="18" s="1"/>
  <c r="I142" i="35" a="1"/>
  <c r="I142" i="35" s="1"/>
  <c r="J402" i="41"/>
  <c r="F146" i="66"/>
  <c r="N146" i="66" s="1"/>
  <c r="J164" i="58"/>
  <c r="J144" i="58"/>
  <c r="J145" i="58"/>
  <c r="J146" i="58"/>
  <c r="J162" i="58"/>
  <c r="J163" i="58"/>
  <c r="I288" i="18"/>
  <c r="H288" i="18"/>
  <c r="I282" i="18"/>
  <c r="H282" i="18"/>
  <c r="J188" i="58"/>
  <c r="J186" i="58"/>
  <c r="J187" i="58"/>
  <c r="I129" i="35" a="1"/>
  <c r="I129" i="35" s="1"/>
  <c r="I135" i="35" a="1"/>
  <c r="I135" i="35" s="1"/>
  <c r="R14" i="20"/>
  <c r="I14" i="20"/>
  <c r="J122" i="58"/>
  <c r="J121" i="58"/>
  <c r="J123" i="58"/>
  <c r="J120" i="58"/>
  <c r="I290" i="18"/>
  <c r="H290" i="18"/>
  <c r="G337" i="18" a="1"/>
  <c r="G337" i="18" s="1"/>
  <c r="I130" i="35" a="1"/>
  <c r="I130" i="35" s="1"/>
  <c r="I287" i="18"/>
  <c r="H287" i="18"/>
  <c r="I292" i="18"/>
  <c r="H292" i="18"/>
  <c r="J386" i="58"/>
  <c r="J385" i="58"/>
  <c r="J384" i="58"/>
  <c r="G333" i="18" a="1"/>
  <c r="G333" i="18" s="1"/>
  <c r="R47" i="20"/>
  <c r="I138" i="35" a="1"/>
  <c r="I138" i="35" s="1"/>
  <c r="I139" i="35" a="1"/>
  <c r="I139" i="35" s="1"/>
  <c r="E329" i="38" l="1"/>
  <c r="E335" i="38"/>
  <c r="F290" i="18"/>
  <c r="J290" i="18"/>
  <c r="F286" i="18"/>
  <c r="J286" i="18"/>
  <c r="H330" i="18"/>
  <c r="I330" i="18"/>
  <c r="J155" i="58"/>
  <c r="J153" i="58"/>
  <c r="J154" i="58"/>
  <c r="J167" i="58"/>
  <c r="J165" i="58"/>
  <c r="J166" i="58"/>
  <c r="J283" i="18"/>
  <c r="F283" i="18"/>
  <c r="H324" i="18"/>
  <c r="I324" i="18"/>
  <c r="Y146" i="66"/>
  <c r="Z290" i="66"/>
  <c r="Z146" i="66"/>
  <c r="Y290" i="66"/>
  <c r="I328" i="18"/>
  <c r="H328" i="18"/>
  <c r="H329" i="18"/>
  <c r="I329" i="18"/>
  <c r="J339" i="58"/>
  <c r="J337" i="58"/>
  <c r="J336" i="58"/>
  <c r="F253" i="66" s="1"/>
  <c r="N253" i="66" s="1"/>
  <c r="J338" i="58"/>
  <c r="F282" i="18"/>
  <c r="J282" i="18"/>
  <c r="J275" i="58"/>
  <c r="J274" i="58"/>
  <c r="J273" i="58"/>
  <c r="F292" i="18"/>
  <c r="J292" i="18"/>
  <c r="J295" i="18"/>
  <c r="F295" i="18"/>
  <c r="E341" i="38"/>
  <c r="E347" i="38"/>
  <c r="M289" i="66" s="1"/>
  <c r="I326" i="18"/>
  <c r="H326" i="18"/>
  <c r="J238" i="58"/>
  <c r="J237" i="58"/>
  <c r="F281" i="66" s="1"/>
  <c r="J239" i="58"/>
  <c r="J288" i="18"/>
  <c r="F288" i="18"/>
  <c r="J395" i="58"/>
  <c r="J393" i="58"/>
  <c r="J394" i="58"/>
  <c r="J377" i="58"/>
  <c r="J376" i="58"/>
  <c r="J375" i="58"/>
  <c r="E34" i="53" s="1"/>
  <c r="F34" i="53" s="1"/>
  <c r="J197" i="58"/>
  <c r="J196" i="58"/>
  <c r="J195" i="58"/>
  <c r="F256" i="66" s="1"/>
  <c r="H334" i="18"/>
  <c r="I334" i="18"/>
  <c r="H332" i="18"/>
  <c r="I332" i="18"/>
  <c r="F274" i="66"/>
  <c r="J179" i="58"/>
  <c r="J177" i="58"/>
  <c r="F264" i="66" s="1"/>
  <c r="N264" i="66" s="1"/>
  <c r="J178" i="58"/>
  <c r="D76" i="57"/>
  <c r="F273" i="66"/>
  <c r="N273" i="66" s="1"/>
  <c r="J289" i="18"/>
  <c r="F289" i="18"/>
  <c r="F291" i="18"/>
  <c r="J291" i="18"/>
  <c r="J132" i="58"/>
  <c r="D67" i="57" s="1"/>
  <c r="J134" i="58"/>
  <c r="J133" i="58"/>
  <c r="J135" i="58"/>
  <c r="J218" i="58"/>
  <c r="J217" i="58"/>
  <c r="J216" i="58"/>
  <c r="F244" i="66" s="1"/>
  <c r="N244" i="66" s="1"/>
  <c r="J219" i="58"/>
  <c r="I16" i="20"/>
  <c r="R16" i="20"/>
  <c r="H336" i="18"/>
  <c r="I336" i="18"/>
  <c r="J294" i="18"/>
  <c r="F294" i="18"/>
  <c r="I325" i="18"/>
  <c r="H325" i="18"/>
  <c r="F285" i="18"/>
  <c r="J285" i="18"/>
  <c r="H335" i="18"/>
  <c r="I335" i="18"/>
  <c r="F293" i="18"/>
  <c r="J293" i="18"/>
  <c r="J291" i="58"/>
  <c r="F269" i="66" s="1"/>
  <c r="J293" i="58"/>
  <c r="J292" i="58"/>
  <c r="H333" i="18"/>
  <c r="I333" i="18"/>
  <c r="F287" i="18"/>
  <c r="J287" i="18"/>
  <c r="H337" i="18"/>
  <c r="I337" i="18"/>
  <c r="I15" i="20"/>
  <c r="R15" i="20"/>
  <c r="H327" i="18"/>
  <c r="I327" i="18"/>
  <c r="J284" i="18"/>
  <c r="F284" i="18"/>
  <c r="J359" i="58"/>
  <c r="J358" i="58"/>
  <c r="J357" i="58"/>
  <c r="F263" i="66" s="1"/>
  <c r="N263" i="66" s="1"/>
  <c r="J314" i="58"/>
  <c r="J312" i="58"/>
  <c r="J472" i="58" s="1"/>
  <c r="J315" i="58"/>
  <c r="J313" i="58"/>
  <c r="J255" i="58"/>
  <c r="D75" i="57" s="1"/>
  <c r="J256" i="58"/>
  <c r="J257" i="58"/>
  <c r="H331" i="18"/>
  <c r="I331" i="18"/>
  <c r="D70" i="57" l="1"/>
  <c r="C49" i="63"/>
  <c r="D73" i="57"/>
  <c r="D79" i="57"/>
  <c r="F259" i="66"/>
  <c r="F265" i="66"/>
  <c r="D71" i="57"/>
  <c r="F280" i="66"/>
  <c r="E33" i="53"/>
  <c r="F33" i="53" s="1"/>
  <c r="J471" i="58"/>
  <c r="F279" i="66" s="1"/>
  <c r="N279" i="66" s="1"/>
  <c r="F328" i="18"/>
  <c r="J328" i="18"/>
  <c r="F324" i="18"/>
  <c r="J324" i="18"/>
  <c r="D77" i="57"/>
  <c r="H28" i="53"/>
  <c r="J326" i="18"/>
  <c r="F326" i="18"/>
  <c r="D78" i="57"/>
  <c r="E397" i="38"/>
  <c r="M278" i="66" s="1"/>
  <c r="F336" i="18"/>
  <c r="J336" i="18"/>
  <c r="F332" i="18"/>
  <c r="J332" i="18"/>
  <c r="D74" i="57"/>
  <c r="F278" i="66"/>
  <c r="D68" i="57"/>
  <c r="F337" i="18"/>
  <c r="J337" i="18"/>
  <c r="R17" i="20"/>
  <c r="I17" i="20"/>
  <c r="O3" i="58"/>
  <c r="E32" i="53"/>
  <c r="F329" i="18"/>
  <c r="J329" i="18"/>
  <c r="D72" i="57"/>
  <c r="D20" i="8"/>
  <c r="M145" i="66"/>
  <c r="F331" i="18"/>
  <c r="J331" i="18"/>
  <c r="F254" i="66"/>
  <c r="N254" i="66" s="1"/>
  <c r="F330" i="18"/>
  <c r="J330" i="18"/>
  <c r="J462" i="37"/>
  <c r="L145" i="66"/>
  <c r="J325" i="18"/>
  <c r="F325" i="18"/>
  <c r="I18" i="20"/>
  <c r="R18" i="20"/>
  <c r="F334" i="18"/>
  <c r="J334" i="18"/>
  <c r="J462" i="58"/>
  <c r="L289" i="66"/>
  <c r="F327" i="18"/>
  <c r="J327" i="18"/>
  <c r="J333" i="18"/>
  <c r="F333" i="18"/>
  <c r="D69" i="57"/>
  <c r="F258" i="66"/>
  <c r="N258" i="66" s="1"/>
  <c r="F335" i="18"/>
  <c r="J335" i="18"/>
  <c r="J462" i="41" l="1"/>
  <c r="P145" i="66"/>
  <c r="N145" i="66"/>
  <c r="N278" i="66"/>
  <c r="R19" i="20"/>
  <c r="G76" i="18" s="1" a="1"/>
  <c r="G76" i="18" s="1"/>
  <c r="I19" i="20"/>
  <c r="I3" i="35" s="1" a="1"/>
  <c r="I3" i="35" s="1"/>
  <c r="P289" i="66"/>
  <c r="N289" i="66"/>
  <c r="O289" i="66" s="1"/>
  <c r="H27" i="53"/>
  <c r="G85" i="18" l="1" a="1"/>
  <c r="G85" i="18" s="1"/>
  <c r="I50" i="35" a="1"/>
  <c r="I50" i="35" s="1"/>
  <c r="I46" i="35" a="1"/>
  <c r="I46" i="35" s="1"/>
  <c r="I47" i="35" a="1"/>
  <c r="I47" i="35" s="1"/>
  <c r="G35" i="18" a="1"/>
  <c r="G35" i="18" s="1"/>
  <c r="I35" i="18" s="1"/>
  <c r="I5" i="35" a="1"/>
  <c r="I5" i="35" s="1"/>
  <c r="J303" i="37" s="1"/>
  <c r="J303" i="41" s="1"/>
  <c r="G41" i="18" a="1"/>
  <c r="G41" i="18" s="1"/>
  <c r="I41" i="18" s="1"/>
  <c r="G79" i="18" a="1"/>
  <c r="G79" i="18" s="1"/>
  <c r="I79" i="18" s="1"/>
  <c r="I55" i="35" a="1"/>
  <c r="I55" i="35" s="1"/>
  <c r="I12" i="35" a="1"/>
  <c r="I12" i="35" s="1"/>
  <c r="G77" i="18" a="1"/>
  <c r="G77" i="18" s="1"/>
  <c r="I52" i="35" a="1"/>
  <c r="I52" i="35" s="1"/>
  <c r="G43" i="18" a="1"/>
  <c r="G43" i="18" s="1"/>
  <c r="I43" i="18" s="1"/>
  <c r="G34" i="18" a="1"/>
  <c r="G34" i="18" s="1"/>
  <c r="H34" i="18" s="1"/>
  <c r="I11" i="35" a="1"/>
  <c r="I11" i="35" s="1"/>
  <c r="I6" i="35" a="1"/>
  <c r="I6" i="35" s="1"/>
  <c r="J188" i="37" s="1"/>
  <c r="J188" i="41" s="1"/>
  <c r="I7" i="35" a="1"/>
  <c r="I7" i="35" s="1"/>
  <c r="I53" i="35" a="1"/>
  <c r="I53" i="35" s="1"/>
  <c r="J257" i="37" s="1"/>
  <c r="J257" i="41" s="1"/>
  <c r="G42" i="18" a="1"/>
  <c r="G42" i="18" s="1"/>
  <c r="I42" i="18" s="1"/>
  <c r="G40" i="18" a="1"/>
  <c r="G40" i="18" s="1"/>
  <c r="I8" i="35" a="1"/>
  <c r="I8" i="35" s="1"/>
  <c r="J169" i="37" s="1"/>
  <c r="J169" i="41" s="1"/>
  <c r="I15" i="35" a="1"/>
  <c r="I15" i="35" s="1"/>
  <c r="J366" i="37" s="1"/>
  <c r="G72" i="18" a="1"/>
  <c r="G72" i="18" s="1"/>
  <c r="I45" i="35" a="1"/>
  <c r="I45" i="35" s="1"/>
  <c r="J132" i="37" s="1"/>
  <c r="J132" i="41" s="1"/>
  <c r="G73" i="18" a="1"/>
  <c r="G73" i="18" s="1"/>
  <c r="G78" i="18" a="1"/>
  <c r="G78" i="18" s="1"/>
  <c r="I78" i="18" s="1"/>
  <c r="I14" i="35" a="1"/>
  <c r="I14" i="35" s="1"/>
  <c r="G31" i="18" a="1"/>
  <c r="G31" i="18" s="1"/>
  <c r="G30" i="18" a="1"/>
  <c r="G30" i="18" s="1"/>
  <c r="I10" i="35" a="1"/>
  <c r="I10" i="35" s="1"/>
  <c r="J282" i="37" s="1"/>
  <c r="G38" i="18" a="1"/>
  <c r="G38" i="18" s="1"/>
  <c r="G32" i="18" a="1"/>
  <c r="G32" i="18" s="1"/>
  <c r="I32" i="18" s="1"/>
  <c r="H76" i="18"/>
  <c r="I76" i="18"/>
  <c r="H42" i="18"/>
  <c r="J145" i="37"/>
  <c r="J145" i="41" s="1"/>
  <c r="J144" i="37"/>
  <c r="J146" i="37"/>
  <c r="J146" i="41" s="1"/>
  <c r="J162" i="37"/>
  <c r="J162" i="41" s="1"/>
  <c r="J164" i="37"/>
  <c r="J164" i="41" s="1"/>
  <c r="J163" i="37"/>
  <c r="J163" i="41" s="1"/>
  <c r="I13" i="35" a="1"/>
  <c r="I13" i="35" s="1"/>
  <c r="G36" i="18" a="1"/>
  <c r="G36" i="18" s="1"/>
  <c r="H73" i="18"/>
  <c r="I73" i="18"/>
  <c r="I40" i="18"/>
  <c r="H40" i="18"/>
  <c r="I4" i="35" a="1"/>
  <c r="I4" i="35" s="1"/>
  <c r="I51" i="35" a="1"/>
  <c r="I51" i="35" s="1"/>
  <c r="H41" i="18"/>
  <c r="J348" i="37"/>
  <c r="J350" i="37"/>
  <c r="J350" i="41" s="1"/>
  <c r="J349" i="37"/>
  <c r="J349" i="41" s="1"/>
  <c r="G37" i="18" a="1"/>
  <c r="G37" i="18" s="1"/>
  <c r="J291" i="37"/>
  <c r="J291" i="41" s="1"/>
  <c r="J292" i="37"/>
  <c r="J292" i="41" s="1"/>
  <c r="J293" i="37"/>
  <c r="J293" i="41" s="1"/>
  <c r="J337" i="37"/>
  <c r="J337" i="41" s="1"/>
  <c r="J338" i="37"/>
  <c r="J338" i="41" s="1"/>
  <c r="J336" i="37"/>
  <c r="J336" i="41" s="1"/>
  <c r="J339" i="37"/>
  <c r="J339" i="41" s="1"/>
  <c r="I31" i="18"/>
  <c r="H31" i="18"/>
  <c r="J123" i="37"/>
  <c r="J120" i="37"/>
  <c r="J122" i="37"/>
  <c r="J121" i="37"/>
  <c r="G39" i="18" a="1"/>
  <c r="G39" i="18" s="1"/>
  <c r="I20" i="20"/>
  <c r="H77" i="18"/>
  <c r="I77" i="18"/>
  <c r="H85" i="18"/>
  <c r="I85" i="18"/>
  <c r="J217" i="37"/>
  <c r="J217" i="41" s="1"/>
  <c r="J219" i="37"/>
  <c r="J219" i="41" s="1"/>
  <c r="J216" i="37"/>
  <c r="J216" i="41" s="1"/>
  <c r="J218" i="37"/>
  <c r="J218" i="41" s="1"/>
  <c r="G74" i="18" a="1"/>
  <c r="G74" i="18" s="1"/>
  <c r="R20" i="20"/>
  <c r="G83" i="18" a="1"/>
  <c r="G83" i="18" s="1"/>
  <c r="G82" i="18" a="1"/>
  <c r="G82" i="18" s="1"/>
  <c r="I58" i="35" a="1"/>
  <c r="I58" i="35" s="1"/>
  <c r="I57" i="35" a="1"/>
  <c r="I57" i="35" s="1"/>
  <c r="I49" i="35" a="1"/>
  <c r="I49" i="35" s="1"/>
  <c r="I56" i="35" a="1"/>
  <c r="I56" i="35" s="1"/>
  <c r="G84" i="18" a="1"/>
  <c r="G84" i="18" s="1"/>
  <c r="I54" i="35" a="1"/>
  <c r="I54" i="35" s="1"/>
  <c r="Y145" i="66"/>
  <c r="Z289" i="66"/>
  <c r="Z145" i="66"/>
  <c r="Y289" i="66"/>
  <c r="O145" i="66"/>
  <c r="I16" i="35" a="1"/>
  <c r="I16" i="35" s="1"/>
  <c r="J301" i="37"/>
  <c r="J301" i="41" s="1"/>
  <c r="J178" i="37"/>
  <c r="J178" i="41" s="1"/>
  <c r="J179" i="37"/>
  <c r="J179" i="41" s="1"/>
  <c r="J177" i="37"/>
  <c r="J177" i="41" s="1"/>
  <c r="J312" i="37"/>
  <c r="J312" i="41" s="1"/>
  <c r="J314" i="37"/>
  <c r="J314" i="41" s="1"/>
  <c r="J315" i="37"/>
  <c r="J315" i="41" s="1"/>
  <c r="J313" i="37"/>
  <c r="J313" i="41" s="1"/>
  <c r="H38" i="18"/>
  <c r="I38" i="18"/>
  <c r="G80" i="18" a="1"/>
  <c r="G80" i="18" s="1"/>
  <c r="G81" i="18" a="1"/>
  <c r="G81" i="18" s="1"/>
  <c r="U289" i="66"/>
  <c r="V289" i="66"/>
  <c r="X289" i="66" s="1"/>
  <c r="Q289" i="66"/>
  <c r="R289" i="66" s="1"/>
  <c r="T289" i="66" s="1"/>
  <c r="J266" i="37"/>
  <c r="J266" i="41" s="1"/>
  <c r="J264" i="37"/>
  <c r="J265" i="37"/>
  <c r="J265" i="41" s="1"/>
  <c r="H30" i="18"/>
  <c r="I30" i="18"/>
  <c r="G75" i="18" a="1"/>
  <c r="G75" i="18" s="1"/>
  <c r="H72" i="18"/>
  <c r="I72" i="18"/>
  <c r="J186" i="37"/>
  <c r="J246" i="37"/>
  <c r="J247" i="37"/>
  <c r="J247" i="41" s="1"/>
  <c r="J248" i="37"/>
  <c r="J248" i="41" s="1"/>
  <c r="I9" i="35" a="1"/>
  <c r="I9" i="35" s="1"/>
  <c r="I48" i="35" a="1"/>
  <c r="I48" i="35" s="1"/>
  <c r="G33" i="18" a="1"/>
  <c r="G33" i="18" s="1"/>
  <c r="H78" i="18" l="1"/>
  <c r="H35" i="18"/>
  <c r="H43" i="18"/>
  <c r="J170" i="37"/>
  <c r="J170" i="41" s="1"/>
  <c r="J168" i="37"/>
  <c r="J187" i="37"/>
  <c r="J187" i="41" s="1"/>
  <c r="H32" i="18"/>
  <c r="J134" i="37"/>
  <c r="J134" i="41" s="1"/>
  <c r="J300" i="37"/>
  <c r="E394" i="38" s="1"/>
  <c r="M134" i="66" s="1"/>
  <c r="I34" i="18"/>
  <c r="J302" i="37"/>
  <c r="J302" i="41" s="1"/>
  <c r="J283" i="37"/>
  <c r="J283" i="41" s="1"/>
  <c r="J284" i="37"/>
  <c r="J284" i="41" s="1"/>
  <c r="J367" i="37"/>
  <c r="J367" i="41" s="1"/>
  <c r="J368" i="37"/>
  <c r="J368" i="41" s="1"/>
  <c r="H79" i="18"/>
  <c r="J79" i="18" s="1"/>
  <c r="J135" i="37"/>
  <c r="J135" i="41" s="1"/>
  <c r="J133" i="37"/>
  <c r="J133" i="41" s="1"/>
  <c r="J256" i="37"/>
  <c r="J256" i="41" s="1"/>
  <c r="J255" i="37"/>
  <c r="J255" i="41" s="1"/>
  <c r="J275" i="37"/>
  <c r="J275" i="41" s="1"/>
  <c r="J273" i="37"/>
  <c r="J273" i="41" s="1"/>
  <c r="J274" i="37"/>
  <c r="J274" i="41" s="1"/>
  <c r="I39" i="18"/>
  <c r="H39" i="18"/>
  <c r="J41" i="18"/>
  <c r="F41" i="18"/>
  <c r="J264" i="41"/>
  <c r="D37" i="57"/>
  <c r="H81" i="18"/>
  <c r="I81" i="18"/>
  <c r="I84" i="18"/>
  <c r="H84" i="18"/>
  <c r="I74" i="18"/>
  <c r="H74" i="18"/>
  <c r="J121" i="41"/>
  <c r="I36" i="18"/>
  <c r="H36" i="18"/>
  <c r="J42" i="18"/>
  <c r="F42" i="18"/>
  <c r="I80" i="18"/>
  <c r="H80" i="18"/>
  <c r="J385" i="37"/>
  <c r="J385" i="41" s="1"/>
  <c r="J386" i="37"/>
  <c r="J386" i="41" s="1"/>
  <c r="J384" i="37"/>
  <c r="J384" i="41" s="1"/>
  <c r="J358" i="37"/>
  <c r="J358" i="41" s="1"/>
  <c r="J357" i="37"/>
  <c r="J357" i="41" s="1"/>
  <c r="J359" i="37"/>
  <c r="J359" i="41" s="1"/>
  <c r="J122" i="41"/>
  <c r="J239" i="37"/>
  <c r="J239" i="41" s="1"/>
  <c r="J238" i="37"/>
  <c r="J238" i="41" s="1"/>
  <c r="J237" i="37"/>
  <c r="J237" i="41" s="1"/>
  <c r="F40" i="18"/>
  <c r="J40" i="18"/>
  <c r="J325" i="37"/>
  <c r="J325" i="41" s="1"/>
  <c r="J327" i="37"/>
  <c r="J327" i="41" s="1"/>
  <c r="J326" i="37"/>
  <c r="J326" i="41" s="1"/>
  <c r="J324" i="37"/>
  <c r="J38" i="18"/>
  <c r="F38" i="18"/>
  <c r="U145" i="66"/>
  <c r="Q145" i="66"/>
  <c r="R145" i="66" s="1"/>
  <c r="T145" i="66" s="1"/>
  <c r="V145" i="66"/>
  <c r="X145" i="66" s="1"/>
  <c r="J167" i="37"/>
  <c r="J167" i="41" s="1"/>
  <c r="J165" i="37"/>
  <c r="J165" i="41" s="1"/>
  <c r="J166" i="37"/>
  <c r="J166" i="41" s="1"/>
  <c r="J154" i="37"/>
  <c r="J154" i="41" s="1"/>
  <c r="J153" i="37"/>
  <c r="J153" i="41" s="1"/>
  <c r="J155" i="37"/>
  <c r="J155" i="41" s="1"/>
  <c r="F85" i="18"/>
  <c r="J85" i="18"/>
  <c r="F121" i="66"/>
  <c r="J120" i="41"/>
  <c r="M48" i="39" s="1"/>
  <c r="D28" i="57"/>
  <c r="J348" i="41"/>
  <c r="J206" i="37"/>
  <c r="J206" i="41" s="1"/>
  <c r="J205" i="37"/>
  <c r="J205" i="41" s="1"/>
  <c r="J207" i="37"/>
  <c r="J207" i="41" s="1"/>
  <c r="J204" i="37"/>
  <c r="J73" i="18"/>
  <c r="F73" i="18"/>
  <c r="J186" i="41"/>
  <c r="J195" i="37"/>
  <c r="J195" i="41" s="1"/>
  <c r="J196" i="37"/>
  <c r="J196" i="41" s="1"/>
  <c r="J197" i="37"/>
  <c r="J197" i="41" s="1"/>
  <c r="J72" i="18"/>
  <c r="F72" i="18"/>
  <c r="J230" i="37"/>
  <c r="J230" i="41" s="1"/>
  <c r="J228" i="37"/>
  <c r="J229" i="37"/>
  <c r="J229" i="41" s="1"/>
  <c r="J377" i="37"/>
  <c r="J377" i="41" s="1"/>
  <c r="J376" i="37"/>
  <c r="J376" i="41" s="1"/>
  <c r="J375" i="37"/>
  <c r="J375" i="41" s="1"/>
  <c r="J123" i="41"/>
  <c r="J78" i="18"/>
  <c r="F78" i="18"/>
  <c r="J32" i="18"/>
  <c r="F32" i="18"/>
  <c r="O7" i="41"/>
  <c r="F125" i="66"/>
  <c r="D35" i="57"/>
  <c r="J282" i="41"/>
  <c r="M50" i="39" s="1"/>
  <c r="E182" i="38" s="1"/>
  <c r="J366" i="41"/>
  <c r="J395" i="37"/>
  <c r="J395" i="41" s="1"/>
  <c r="J394" i="37"/>
  <c r="J394" i="41" s="1"/>
  <c r="J393" i="37"/>
  <c r="J393" i="41" s="1"/>
  <c r="J77" i="18"/>
  <c r="F77" i="18"/>
  <c r="H33" i="18"/>
  <c r="I33" i="18"/>
  <c r="I75" i="18"/>
  <c r="H75" i="18"/>
  <c r="J30" i="18"/>
  <c r="F30" i="18"/>
  <c r="F35" i="18"/>
  <c r="J35" i="18"/>
  <c r="H82" i="18"/>
  <c r="I82" i="18"/>
  <c r="J43" i="18"/>
  <c r="F43" i="18"/>
  <c r="J31" i="18"/>
  <c r="F31" i="18"/>
  <c r="H37" i="18"/>
  <c r="I37" i="18"/>
  <c r="F76" i="18"/>
  <c r="J76" i="18"/>
  <c r="D36" i="57"/>
  <c r="J246" i="41"/>
  <c r="F110" i="66"/>
  <c r="N110" i="66" s="1"/>
  <c r="J472" i="37"/>
  <c r="D30" i="57"/>
  <c r="J300" i="41"/>
  <c r="J471" i="37"/>
  <c r="F134" i="66"/>
  <c r="I83" i="18"/>
  <c r="H83" i="18"/>
  <c r="J34" i="18"/>
  <c r="F34" i="18"/>
  <c r="F79" i="18"/>
  <c r="F120" i="66"/>
  <c r="N120" i="66" s="1"/>
  <c r="D33" i="57"/>
  <c r="J168" i="41"/>
  <c r="J144" i="41"/>
  <c r="F129" i="66" l="1"/>
  <c r="N129" i="66" s="1"/>
  <c r="Z129" i="66" s="1"/>
  <c r="F114" i="66"/>
  <c r="N114" i="66" s="1"/>
  <c r="D32" i="57"/>
  <c r="F119" i="66"/>
  <c r="N119" i="66" s="1"/>
  <c r="E50" i="39"/>
  <c r="E131" i="38" s="1"/>
  <c r="E28" i="53"/>
  <c r="F28" i="53" s="1"/>
  <c r="D40" i="57"/>
  <c r="F130" i="66"/>
  <c r="F112" i="66"/>
  <c r="J442" i="58"/>
  <c r="J269" i="66"/>
  <c r="D31" i="57"/>
  <c r="Y273" i="66"/>
  <c r="Y129" i="66"/>
  <c r="Z273" i="66"/>
  <c r="Y258" i="66"/>
  <c r="Y114" i="66"/>
  <c r="Z114" i="66"/>
  <c r="Z258" i="66"/>
  <c r="F136" i="66"/>
  <c r="J472" i="41"/>
  <c r="E27" i="53"/>
  <c r="F27" i="53" s="1"/>
  <c r="Z254" i="66"/>
  <c r="Z110" i="66"/>
  <c r="Y254" i="66"/>
  <c r="Y110" i="66"/>
  <c r="C22" i="63"/>
  <c r="E49" i="39"/>
  <c r="E130" i="38" s="1"/>
  <c r="D39" i="57"/>
  <c r="F74" i="18"/>
  <c r="J74" i="18"/>
  <c r="J83" i="18"/>
  <c r="F83" i="18"/>
  <c r="Z119" i="66"/>
  <c r="Z263" i="66"/>
  <c r="Y263" i="66"/>
  <c r="Y119" i="66"/>
  <c r="F36" i="18"/>
  <c r="J36" i="18"/>
  <c r="F75" i="18"/>
  <c r="J75" i="18"/>
  <c r="E48" i="39"/>
  <c r="E403" i="38"/>
  <c r="M47" i="39"/>
  <c r="J84" i="18"/>
  <c r="F84" i="18"/>
  <c r="N134" i="66"/>
  <c r="J82" i="18"/>
  <c r="F82" i="18"/>
  <c r="F33" i="18"/>
  <c r="J33" i="18"/>
  <c r="G28" i="53"/>
  <c r="H34" i="53"/>
  <c r="G34" i="53" s="1"/>
  <c r="F100" i="66"/>
  <c r="N100" i="66" s="1"/>
  <c r="J204" i="41"/>
  <c r="D29" i="57"/>
  <c r="J324" i="41"/>
  <c r="F109" i="66"/>
  <c r="N109" i="66" s="1"/>
  <c r="D38" i="57"/>
  <c r="E400" i="38"/>
  <c r="J81" i="18"/>
  <c r="F81" i="18"/>
  <c r="F39" i="18"/>
  <c r="J39" i="18"/>
  <c r="Y120" i="66"/>
  <c r="Z120" i="66"/>
  <c r="Z264" i="66"/>
  <c r="Y264" i="66"/>
  <c r="E180" i="38"/>
  <c r="F115" i="66"/>
  <c r="F135" i="66"/>
  <c r="N135" i="66" s="1"/>
  <c r="J471" i="41"/>
  <c r="F37" i="18"/>
  <c r="J37" i="18"/>
  <c r="F80" i="18"/>
  <c r="J80" i="18"/>
  <c r="E47" i="39"/>
  <c r="J442" i="37"/>
  <c r="J442" i="41" s="1"/>
  <c r="J125" i="66"/>
  <c r="N125" i="66" s="1"/>
  <c r="F137" i="66"/>
  <c r="J228" i="41"/>
  <c r="M51" i="39" s="1"/>
  <c r="E183" i="38" s="1"/>
  <c r="E51" i="39"/>
  <c r="E132" i="38" s="1"/>
  <c r="D34" i="57"/>
  <c r="O3" i="37"/>
  <c r="M49" i="39"/>
  <c r="E181" i="38" s="1"/>
  <c r="E26" i="53"/>
  <c r="E179" i="38" l="1"/>
  <c r="J452" i="58" s="1"/>
  <c r="M59" i="39"/>
  <c r="M60" i="39" s="1"/>
  <c r="M56" i="39"/>
  <c r="M57" i="39" s="1"/>
  <c r="E128" i="38"/>
  <c r="E59" i="39"/>
  <c r="E60" i="39" s="1"/>
  <c r="E56" i="39"/>
  <c r="E57" i="39"/>
  <c r="J256" i="66"/>
  <c r="J435" i="58"/>
  <c r="J433" i="37"/>
  <c r="J115" i="66"/>
  <c r="D26" i="53"/>
  <c r="G27" i="53"/>
  <c r="H33" i="53"/>
  <c r="G33" i="53" s="1"/>
  <c r="Z279" i="66"/>
  <c r="Y135" i="66"/>
  <c r="Z135" i="66"/>
  <c r="Y279" i="66"/>
  <c r="G23" i="39"/>
  <c r="J137" i="66"/>
  <c r="N137" i="66" s="1"/>
  <c r="J443" i="37"/>
  <c r="Z278" i="66"/>
  <c r="Y134" i="66"/>
  <c r="Z134" i="66"/>
  <c r="Y278" i="66"/>
  <c r="J435" i="37"/>
  <c r="J435" i="41" s="1"/>
  <c r="J112" i="66"/>
  <c r="M58" i="39"/>
  <c r="J5" i="6"/>
  <c r="Y244" i="66"/>
  <c r="Z100" i="66"/>
  <c r="Y100" i="66"/>
  <c r="Z244" i="66"/>
  <c r="J443" i="58"/>
  <c r="J281" i="66"/>
  <c r="J265" i="66"/>
  <c r="J434" i="58"/>
  <c r="E340" i="38"/>
  <c r="E346" i="38"/>
  <c r="M274" i="66" s="1"/>
  <c r="G24" i="39"/>
  <c r="J259" i="66"/>
  <c r="D32" i="53"/>
  <c r="F32" i="53" s="1"/>
  <c r="J433" i="58"/>
  <c r="P269" i="66"/>
  <c r="W269" i="66"/>
  <c r="S269" i="66"/>
  <c r="N269" i="66"/>
  <c r="O269" i="66" s="1"/>
  <c r="J475" i="37"/>
  <c r="J474" i="37"/>
  <c r="J473" i="37"/>
  <c r="E328" i="38"/>
  <c r="E334" i="38"/>
  <c r="P125" i="66"/>
  <c r="S125" i="66"/>
  <c r="W125" i="66"/>
  <c r="J474" i="58"/>
  <c r="J475" i="58"/>
  <c r="J473" i="58"/>
  <c r="C55" i="63" s="1"/>
  <c r="F26" i="53"/>
  <c r="Z109" i="66"/>
  <c r="Y253" i="66"/>
  <c r="Z253" i="66"/>
  <c r="Y109" i="66"/>
  <c r="E58" i="39"/>
  <c r="E129" i="38"/>
  <c r="J452" i="37" l="1"/>
  <c r="J457" i="58"/>
  <c r="F247" i="66"/>
  <c r="L130" i="66"/>
  <c r="J461" i="37"/>
  <c r="J433" i="41"/>
  <c r="D19" i="8"/>
  <c r="M130" i="66"/>
  <c r="J461" i="58"/>
  <c r="L274" i="66"/>
  <c r="J434" i="37"/>
  <c r="J434" i="41" s="1"/>
  <c r="J121" i="66"/>
  <c r="F275" i="66"/>
  <c r="E414" i="38"/>
  <c r="C47" i="63"/>
  <c r="J473" i="41"/>
  <c r="O3" i="41" s="1"/>
  <c r="C28" i="63"/>
  <c r="C20" i="63"/>
  <c r="F246" i="66"/>
  <c r="J467" i="58"/>
  <c r="P265" i="66"/>
  <c r="S265" i="66"/>
  <c r="W265" i="66"/>
  <c r="N265" i="66"/>
  <c r="E415" i="38"/>
  <c r="F276" i="66"/>
  <c r="F132" i="66"/>
  <c r="J474" i="41"/>
  <c r="E409" i="38"/>
  <c r="H26" i="53"/>
  <c r="S281" i="66"/>
  <c r="W281" i="66"/>
  <c r="P281" i="66"/>
  <c r="N281" i="66"/>
  <c r="O281" i="66" s="1"/>
  <c r="W256" i="66"/>
  <c r="P256" i="66"/>
  <c r="S256" i="66"/>
  <c r="N256" i="66"/>
  <c r="J475" i="41"/>
  <c r="F131" i="66"/>
  <c r="E408" i="38"/>
  <c r="W259" i="66"/>
  <c r="S259" i="66"/>
  <c r="Z125" i="66"/>
  <c r="V269" i="66"/>
  <c r="X269" i="66" s="1"/>
  <c r="U269" i="66"/>
  <c r="Q269" i="66"/>
  <c r="R269" i="66" s="1"/>
  <c r="T269" i="66" s="1"/>
  <c r="E339" i="38"/>
  <c r="E345" i="38"/>
  <c r="M280" i="66" s="1"/>
  <c r="Y125" i="66"/>
  <c r="P112" i="66"/>
  <c r="S112" i="66"/>
  <c r="W112" i="66"/>
  <c r="N112" i="66"/>
  <c r="G22" i="39"/>
  <c r="J443" i="41"/>
  <c r="E333" i="38"/>
  <c r="E327" i="38"/>
  <c r="Z269" i="66"/>
  <c r="W137" i="66"/>
  <c r="P137" i="66"/>
  <c r="S137" i="66"/>
  <c r="O125" i="66"/>
  <c r="G26" i="53"/>
  <c r="H32" i="53"/>
  <c r="G32" i="53" s="1"/>
  <c r="W115" i="66"/>
  <c r="S115" i="66"/>
  <c r="Y269" i="66"/>
  <c r="E384" i="38" l="1"/>
  <c r="K247" i="66" s="1"/>
  <c r="N247" i="66" s="1"/>
  <c r="J458" i="58"/>
  <c r="E385" i="38" s="1"/>
  <c r="K266" i="66" s="1"/>
  <c r="N266" i="66" s="1"/>
  <c r="J452" i="41"/>
  <c r="J457" i="37"/>
  <c r="F103" i="66"/>
  <c r="Y281" i="66"/>
  <c r="Y137" i="66"/>
  <c r="O137" i="66"/>
  <c r="U137" i="66" s="1"/>
  <c r="Z137" i="66"/>
  <c r="Z281" i="66"/>
  <c r="O256" i="66"/>
  <c r="U256" i="66" s="1"/>
  <c r="E338" i="38"/>
  <c r="E344" i="38"/>
  <c r="M259" i="66" s="1"/>
  <c r="D18" i="8"/>
  <c r="M136" i="66"/>
  <c r="V137" i="66"/>
  <c r="X137" i="66" s="1"/>
  <c r="E332" i="38"/>
  <c r="E326" i="38"/>
  <c r="Z112" i="66"/>
  <c r="Y112" i="66"/>
  <c r="O112" i="66"/>
  <c r="Z256" i="66"/>
  <c r="Y256" i="66"/>
  <c r="L132" i="66"/>
  <c r="N132" i="66" s="1"/>
  <c r="J465" i="37"/>
  <c r="L275" i="66"/>
  <c r="N275" i="66" s="1"/>
  <c r="J466" i="58"/>
  <c r="J467" i="37"/>
  <c r="J467" i="41" s="1"/>
  <c r="J466" i="37"/>
  <c r="L131" i="66"/>
  <c r="N131" i="66" s="1"/>
  <c r="U281" i="66"/>
  <c r="V281" i="66"/>
  <c r="X281" i="66" s="1"/>
  <c r="Q281" i="66"/>
  <c r="R281" i="66" s="1"/>
  <c r="T281" i="66" s="1"/>
  <c r="F102" i="66"/>
  <c r="L136" i="66"/>
  <c r="J460" i="37"/>
  <c r="L280" i="66"/>
  <c r="J460" i="58"/>
  <c r="P121" i="66"/>
  <c r="S121" i="66"/>
  <c r="W121" i="66"/>
  <c r="N121" i="66"/>
  <c r="O265" i="66" s="1"/>
  <c r="G21" i="39"/>
  <c r="L246" i="66"/>
  <c r="P246" i="66" s="1"/>
  <c r="J461" i="41"/>
  <c r="J465" i="58"/>
  <c r="L276" i="66"/>
  <c r="P274" i="66"/>
  <c r="N274" i="66"/>
  <c r="P130" i="66"/>
  <c r="N130" i="66"/>
  <c r="Q125" i="66"/>
  <c r="R125" i="66" s="1"/>
  <c r="T125" i="66" s="1"/>
  <c r="V125" i="66"/>
  <c r="X125" i="66" s="1"/>
  <c r="U125" i="66"/>
  <c r="E366" i="38" l="1"/>
  <c r="K103" i="66" s="1"/>
  <c r="N103" i="66" s="1"/>
  <c r="J457" i="41"/>
  <c r="J458" i="37"/>
  <c r="J460" i="41"/>
  <c r="V256" i="66"/>
  <c r="X256" i="66" s="1"/>
  <c r="Q137" i="66"/>
  <c r="R137" i="66" s="1"/>
  <c r="T137" i="66" s="1"/>
  <c r="Q256" i="66"/>
  <c r="R256" i="66" s="1"/>
  <c r="T256" i="66" s="1"/>
  <c r="J466" i="41"/>
  <c r="V265" i="66"/>
  <c r="X265" i="66" s="1"/>
  <c r="U265" i="66"/>
  <c r="Q265" i="66"/>
  <c r="R265" i="66" s="1"/>
  <c r="T265" i="66" s="1"/>
  <c r="O131" i="66"/>
  <c r="Z275" i="66"/>
  <c r="Z131" i="66"/>
  <c r="Y131" i="66"/>
  <c r="Y275" i="66"/>
  <c r="O130" i="66"/>
  <c r="Z130" i="66"/>
  <c r="Y130" i="66"/>
  <c r="Z274" i="66"/>
  <c r="Y274" i="66"/>
  <c r="O274" i="66"/>
  <c r="N246" i="66"/>
  <c r="J465" i="41"/>
  <c r="D17" i="8"/>
  <c r="M115" i="66"/>
  <c r="G20" i="39" s="1"/>
  <c r="P276" i="66"/>
  <c r="N276" i="66"/>
  <c r="O276" i="66" s="1"/>
  <c r="P132" i="66"/>
  <c r="P280" i="66"/>
  <c r="N280" i="66"/>
  <c r="P131" i="66"/>
  <c r="Q112" i="66"/>
  <c r="R112" i="66" s="1"/>
  <c r="T112" i="66" s="1"/>
  <c r="V112" i="66"/>
  <c r="X112" i="66" s="1"/>
  <c r="U112" i="66"/>
  <c r="P136" i="66"/>
  <c r="N136" i="66"/>
  <c r="L102" i="66"/>
  <c r="P102" i="66" s="1"/>
  <c r="Y121" i="66"/>
  <c r="Z121" i="66"/>
  <c r="O121" i="66"/>
  <c r="Y265" i="66"/>
  <c r="Z265" i="66"/>
  <c r="O275" i="66"/>
  <c r="P275" i="66"/>
  <c r="J459" i="37"/>
  <c r="L115" i="66"/>
  <c r="J459" i="58"/>
  <c r="L259" i="66"/>
  <c r="E367" i="38" l="1"/>
  <c r="K122" i="66" s="1"/>
  <c r="N122" i="66" s="1"/>
  <c r="J458" i="41"/>
  <c r="Z103" i="66"/>
  <c r="Y247" i="66"/>
  <c r="Z247" i="66"/>
  <c r="Y103" i="66"/>
  <c r="O280" i="66"/>
  <c r="V280" i="66" s="1"/>
  <c r="X280" i="66" s="1"/>
  <c r="Y132" i="66"/>
  <c r="O132" i="66"/>
  <c r="V132" i="66" s="1"/>
  <c r="X132" i="66" s="1"/>
  <c r="Y276" i="66"/>
  <c r="Z132" i="66"/>
  <c r="V275" i="66"/>
  <c r="X275" i="66" s="1"/>
  <c r="Q275" i="66"/>
  <c r="R275" i="66" s="1"/>
  <c r="T275" i="66" s="1"/>
  <c r="U275" i="66"/>
  <c r="Y280" i="66"/>
  <c r="O136" i="66"/>
  <c r="Z280" i="66"/>
  <c r="Y136" i="66"/>
  <c r="Z136" i="66"/>
  <c r="J459" i="41"/>
  <c r="U274" i="66"/>
  <c r="Q274" i="66"/>
  <c r="R274" i="66" s="1"/>
  <c r="T274" i="66" s="1"/>
  <c r="V274" i="66"/>
  <c r="X274" i="66" s="1"/>
  <c r="N259" i="66"/>
  <c r="P259" i="66"/>
  <c r="U121" i="66"/>
  <c r="Q121" i="66"/>
  <c r="R121" i="66" s="1"/>
  <c r="T121" i="66" s="1"/>
  <c r="V121" i="66"/>
  <c r="X121" i="66" s="1"/>
  <c r="U131" i="66"/>
  <c r="V131" i="66"/>
  <c r="X131" i="66" s="1"/>
  <c r="Q131" i="66"/>
  <c r="R131" i="66" s="1"/>
  <c r="T131" i="66" s="1"/>
  <c r="N115" i="66"/>
  <c r="P115" i="66"/>
  <c r="Q276" i="66"/>
  <c r="R276" i="66" s="1"/>
  <c r="T276" i="66" s="1"/>
  <c r="V276" i="66"/>
  <c r="X276" i="66" s="1"/>
  <c r="U276" i="66"/>
  <c r="Z276" i="66"/>
  <c r="N102" i="66"/>
  <c r="O246" i="66" s="1"/>
  <c r="Q130" i="66"/>
  <c r="R130" i="66" s="1"/>
  <c r="T130" i="66" s="1"/>
  <c r="V130" i="66"/>
  <c r="X130" i="66" s="1"/>
  <c r="U130" i="66"/>
  <c r="Z122" i="66" l="1"/>
  <c r="Y266" i="66"/>
  <c r="Z266" i="66"/>
  <c r="Y122" i="66"/>
  <c r="U280" i="66"/>
  <c r="Q280" i="66"/>
  <c r="R280" i="66" s="1"/>
  <c r="T280" i="66" s="1"/>
  <c r="Q132" i="66"/>
  <c r="R132" i="66" s="1"/>
  <c r="T132" i="66" s="1"/>
  <c r="U132" i="66"/>
  <c r="Q136" i="66"/>
  <c r="R136" i="66" s="1"/>
  <c r="T136" i="66" s="1"/>
  <c r="U136" i="66"/>
  <c r="V136" i="66"/>
  <c r="X136" i="66" s="1"/>
  <c r="U246" i="66"/>
  <c r="V246" i="66"/>
  <c r="X246" i="66" s="1"/>
  <c r="Q246" i="66"/>
  <c r="O102" i="66"/>
  <c r="Z246" i="66"/>
  <c r="Y246" i="66"/>
  <c r="Y102" i="66"/>
  <c r="Z102" i="66"/>
  <c r="O115" i="66"/>
  <c r="Z115" i="66"/>
  <c r="Y115" i="66"/>
  <c r="Y259" i="66"/>
  <c r="Z259" i="66"/>
  <c r="O259" i="66"/>
  <c r="Q259" i="66" l="1"/>
  <c r="R259" i="66" s="1"/>
  <c r="T259" i="66" s="1"/>
  <c r="V259" i="66"/>
  <c r="X259" i="66" s="1"/>
  <c r="U259" i="66"/>
  <c r="V102" i="66"/>
  <c r="X102" i="66" s="1"/>
  <c r="U102" i="66"/>
  <c r="Q102" i="66"/>
  <c r="U115" i="66"/>
  <c r="Q115" i="66"/>
  <c r="R115" i="66" s="1"/>
  <c r="T115" i="66" s="1"/>
  <c r="V115" i="66"/>
  <c r="X11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<sst xmlns="http://schemas.openxmlformats.org/spreadsheetml/2006/main" count="4034" uniqueCount="339">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</sst>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65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9" fontId="0" fillId="4" borderId="0" xfId="0" applyNumberFormat="1" applyFill="1" applyBorder="1"/>
    <xf numFmtId="9" fontId="0" fillId="3" borderId="0" xfId="0" applyNumberFormat="1" applyFill="1" applyBorder="1"/>
    <xf numFmtId="171" fontId="0" fillId="3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4339884.9871648429</c:v>
                </c:pt>
                <c:pt idx="2">
                  <c:v>3158676.7220455515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5949704.8654248454</c:v>
                </c:pt>
                <c:pt idx="2">
                  <c:v>4212625.0730231646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-2228321.8146494417</c:v>
                </c:pt>
                <c:pt idx="2">
                  <c:v>-4686098.1428047884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-369089.66091020632</c:v>
                </c:pt>
                <c:pt idx="2">
                  <c:v>-311388.66616994032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7667567.563848136</c:v>
                </c:pt>
                <c:pt idx="2">
                  <c:v>2333635.8702758867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195329.51145368532</c:v>
                </c:pt>
                <c:pt idx="2">
                  <c:v>169788.308019955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10842.764766009097</c:v>
                </c:pt>
                <c:pt idx="2">
                  <c:v>9432.6841985048559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233524.82675097883</c:v>
                </c:pt>
                <c:pt idx="2">
                  <c:v>188654.69591750181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21596.638291457013</c:v>
                </c:pt>
                <c:pt idx="2">
                  <c:v>18865.363395327251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21903.374142358447</c:v>
                </c:pt>
                <c:pt idx="2">
                  <c:v>18865.377976726155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55072.095689989801</c:v>
                </c:pt>
                <c:pt idx="2">
                  <c:v>47163.471034252521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55207.673917376364</c:v>
                </c:pt>
                <c:pt idx="2">
                  <c:v>47163.464832684054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217193.72878896073</c:v>
                </c:pt>
                <c:pt idx="2">
                  <c:v>188653.68692287465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21615.439065585892</c:v>
                </c:pt>
                <c:pt idx="2">
                  <c:v>18865.364482821919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298809.20883502002</c:v>
                </c:pt>
                <c:pt idx="2">
                  <c:v>245250.85017995731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11431.349184084851</c:v>
                </c:pt>
                <c:pt idx="2">
                  <c:v>9432.7158120801651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91124.170336585928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18.836987441618376</c:v>
                </c:pt>
                <c:pt idx="2">
                  <c:v>18.029353613375168</c:v>
                </c:pt>
                <c:pt idx="3">
                  <c:v>7.483154704207001</c:v>
                </c:pt>
                <c:pt idx="4">
                  <c:v>7.7932580681222383</c:v>
                </c:pt>
                <c:pt idx="5">
                  <c:v>8.2917801110217866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3.8365973630253083</c:v>
                </c:pt>
                <c:pt idx="2">
                  <c:v>8.2638471448431829</c:v>
                </c:pt>
                <c:pt idx="3">
                  <c:v>1.4201719861750002</c:v>
                </c:pt>
                <c:pt idx="4">
                  <c:v>1.420171986175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18.378318644089127</c:v>
                </c:pt>
                <c:pt idx="2">
                  <c:v>19.416214093100645</c:v>
                </c:pt>
                <c:pt idx="3">
                  <c:v>0.45076703431999998</c:v>
                </c:pt>
                <c:pt idx="4">
                  <c:v>1.2966519959999999E-2</c:v>
                </c:pt>
                <c:pt idx="5">
                  <c:v>1.2966519960000001E-2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1.2483155607676215</c:v>
                </c:pt>
                <c:pt idx="2">
                  <c:v>0.36442729728643131</c:v>
                </c:pt>
                <c:pt idx="3">
                  <c:v>5.0922829580050024</c:v>
                </c:pt>
                <c:pt idx="4">
                  <c:v>12.140331468282515</c:v>
                </c:pt>
                <c:pt idx="5">
                  <c:v>10.187124388461202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10.799034478608881</c:v>
                </c:pt>
                <c:pt idx="2">
                  <c:v>9.1813879094416802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46.832962940933136</c:v>
                </c:pt>
                <c:pt idx="2">
                  <c:v>46.578566663376805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1254629.5241782644</c:v>
                </c:pt>
                <c:pt idx="2">
                  <c:v>1237334.6662498123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487625.7458472242</c:v>
                </c:pt>
                <c:pt idx="2">
                  <c:v>1030306.2941563282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1533462.4612690927</c:v>
                </c:pt>
                <c:pt idx="2">
                  <c:v>1631792.7845000676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1818666.5716692591</c:v>
                </c:pt>
                <c:pt idx="2">
                  <c:v>1437229.8528845287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1537491.225567423</c:v>
                </c:pt>
                <c:pt idx="2">
                  <c:v>1540908.6168501563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52803.99598320001</c:v>
                </c:pt>
                <c:pt idx="5">
                  <c:v>37059.67998276923</c:v>
                </c:pt>
                <c:pt idx="6">
                  <c:v>0</c:v>
                </c:pt>
                <c:pt idx="7">
                  <c:v>81052.166236837889</c:v>
                </c:pt>
                <c:pt idx="8">
                  <c:v>190145.9127196403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1732260.3299588533</c:v>
                </c:pt>
                <c:pt idx="2">
                  <c:v>1509462.0061989203</c:v>
                </c:pt>
                <c:pt idx="15">
                  <c:v>823764.99285714305</c:v>
                </c:pt>
                <c:pt idx="16">
                  <c:v>218594.75592337913</c:v>
                </c:pt>
                <c:pt idx="17">
                  <c:v>63493.243117891077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3362.8500000000004</c:v>
                </c:pt>
                <c:pt idx="16">
                  <c:v>1711.6970972036138</c:v>
                </c:pt>
                <c:pt idx="17">
                  <c:v>707.0677090744307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52683.90805394463</c:v>
                </c:pt>
                <c:pt idx="8">
                  <c:v>37765.090998484113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10593848.951226842</c:v>
                </c:pt>
                <c:pt idx="5">
                  <c:v>7435131.4632167686</c:v>
                </c:pt>
                <c:pt idx="18">
                  <c:v>0</c:v>
                </c:pt>
                <c:pt idx="19">
                  <c:v>5524808.3020606898</c:v>
                </c:pt>
                <c:pt idx="20">
                  <c:v>3877502.5228328914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662244.75002954563</c:v>
                </c:pt>
                <c:pt idx="5">
                  <c:v>464786.38688959018</c:v>
                </c:pt>
                <c:pt idx="9">
                  <c:v>1893765.2125355615</c:v>
                </c:pt>
                <c:pt idx="10">
                  <c:v>1533965.0585556475</c:v>
                </c:pt>
                <c:pt idx="11">
                  <c:v>1482696.8239816672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725968.00000000023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3785.9999999999995</c:v>
                </c:pt>
                <c:pt idx="3">
                  <c:v>6600836.8097011279</c:v>
                </c:pt>
                <c:pt idx="4">
                  <c:v>5085431.9147653691</c:v>
                </c:pt>
                <c:pt idx="5">
                  <c:v>3569132.9003836643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8343771.5304011963</c:v>
                </c:pt>
                <c:pt idx="2">
                  <c:v>7365903.9710124508</c:v>
                </c:pt>
                <c:pt idx="15">
                  <c:v>6423924.8458333323</c:v>
                </c:pt>
                <c:pt idx="16">
                  <c:v>1842582.8796302641</c:v>
                </c:pt>
                <c:pt idx="17">
                  <c:v>542212.37564397184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1306364.3816064557</c:v>
                </c:pt>
                <c:pt idx="5">
                  <c:v>916851.93557371269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4879942.9933971986</c:v>
                </c:pt>
                <c:pt idx="5">
                  <c:v>3424913.6320477659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89603.169774824273</c:v>
                </c:pt>
                <c:pt idx="8">
                  <c:v>64229.704767421834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964199.50701865007</c:v>
                </c:pt>
                <c:pt idx="23">
                  <c:v>819766.77762872155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28644.999999999993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751256.85194279999</c:v>
                </c:pt>
                <c:pt idx="5">
                  <c:v>527258.17430030764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33282.518680320005</c:v>
                </c:pt>
                <c:pt idx="5">
                  <c:v>23358.828595200001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5468911.5938238055</c:v>
                </c:pt>
                <c:pt idx="2">
                  <c:v>6813825.4434031872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9708262.3203322031</c:v>
                </c:pt>
                <c:pt idx="2">
                  <c:v>7435570.144147574</c:v>
                </c:pt>
                <c:pt idx="15">
                  <c:v>14742130.666666664</c:v>
                </c:pt>
                <c:pt idx="16">
                  <c:v>3236087.4401107342</c:v>
                </c:pt>
                <c:pt idx="17">
                  <c:v>826174.46046084131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181921.58711858263</c:v>
                </c:pt>
                <c:pt idx="8">
                  <c:v>130405.76422476556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284902.69682753459</c:v>
                </c:pt>
                <c:pt idx="11">
                  <c:v>228072.28759523929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2869600.5520822164</c:v>
                </c:pt>
                <c:pt idx="11">
                  <c:v>2924196.0252700225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1848879.4111764706</c:v>
                </c:pt>
                <c:pt idx="5">
                  <c:v>1297607.8425339367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923589.89337887999</c:v>
                </c:pt>
                <c:pt idx="5">
                  <c:v>648207.49351680011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2024782.3534998517</c:v>
                </c:pt>
                <c:pt idx="2">
                  <c:v>1705275.170750411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181534.73363186989</c:v>
                </c:pt>
                <c:pt idx="5">
                  <c:v>127407.3866738191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308543.842245968</c:v>
                </c:pt>
                <c:pt idx="11">
                  <c:v>262325.36884119094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C-48F9-A263-6175E77EF03C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20438564.431791671</c:v>
                </c:pt>
                <c:pt idx="17">
                  <c:v>16698916.456716588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FC-48F9-A263-6175E77EF03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1108490.5539925825</c:v>
                </c:pt>
                <c:pt idx="16">
                  <c:v>883927.86943286215</c:v>
                </c:pt>
                <c:pt idx="17">
                  <c:v>891727.59848352592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DC-4C2B-A33B-90C602C47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4118.8931238114455</c:v>
                </c:pt>
                <c:pt idx="2">
                  <c:v>97174.294589048761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83024.745280252944</c:v>
                </c:pt>
                <c:pt idx="2">
                  <c:v>164805.50168615792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883927.86943286215</c:v>
                </c:pt>
                <c:pt idx="2">
                  <c:v>891727.59848352592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388130.57209764107</c:v>
                </c:pt>
                <c:pt idx="2">
                  <c:v>422384.60108931462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89-414C-B543-2D67D6FF585A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89-414C-B543-2D67D6FF5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628934.09553717356</c:v>
                </c:pt>
                <c:pt idx="2">
                  <c:v>422496.48545524228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6189591.9252180122</c:v>
                </c:pt>
                <c:pt idx="2">
                  <c:v>7682946.1425423622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358825.35406290524</c:v>
                </c:pt>
                <c:pt idx="2">
                  <c:v>104224.75757087779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150468.77514425677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514637.88978790143</c:v>
                </c:pt>
                <c:pt idx="2">
                  <c:v>1875918.1983914766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2142740.1436914308</c:v>
                </c:pt>
                <c:pt idx="2">
                  <c:v>1745389.9877746685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736833.87579610466</c:v>
                </c:pt>
                <c:pt idx="2">
                  <c:v>1194602.6584375831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82599.137801749035</c:v>
                </c:pt>
                <c:pt idx="2">
                  <c:v>105520.42689115535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52304.337322308449</c:v>
                </c:pt>
                <c:pt idx="2">
                  <c:v>611948.68599171343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1053609.4810519114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  <c:pt idx="2">
                  <c:v>1826.5028031360962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3071815.8170889309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995547.37754959601</c:v>
                </c:pt>
                <c:pt idx="2">
                  <c:v>963691.1640460029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163985.49277150354</c:v>
                </c:pt>
                <c:pt idx="2">
                  <c:v>110975.48450445863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78069.291964914431</c:v>
                </c:pt>
                <c:pt idx="2">
                  <c:v>49288.996098064177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1001340.7662389905</c:v>
                </c:pt>
                <c:pt idx="2">
                  <c:v>636761.67101253849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790297.95420758065</c:v>
                </c:pt>
                <c:pt idx="2">
                  <c:v>847372.33144122665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938674.29717013566</c:v>
                </c:pt>
                <c:pt idx="2">
                  <c:v>276221.39891296637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549.03491797097047</c:v>
                </c:pt>
                <c:pt idx="2">
                  <c:v>226.79530291066658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1822970.5312746018</c:v>
                </c:pt>
                <c:pt idx="2">
                  <c:v>757091.71593368752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674927.4511666171</c:v>
                </c:pt>
                <c:pt idx="2">
                  <c:v>189475.01897226786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1">
                  <c:v>52629.192838870717</c:v>
                </c:pt>
                <c:pt idx="2">
                  <c:v>36936.997059475485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1109978.928910428</c:v>
                </c:pt>
                <c:pt idx="2">
                  <c:v>935092.89794509683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1669863.0461094584</c:v>
                </c:pt>
                <c:pt idx="2">
                  <c:v>1393099.5132312838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300565.01987745514</c:v>
                </c:pt>
                <c:pt idx="2">
                  <c:v>282476.00214054168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72-453D-8C42-054B72C22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4339884.9871648429</c:v>
                </c:pt>
                <c:pt idx="2">
                  <c:v>3158676.7220455515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5949704.8654248454</c:v>
                </c:pt>
                <c:pt idx="2">
                  <c:v>4212625.0730231646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-2228321.8146494417</c:v>
                </c:pt>
                <c:pt idx="2">
                  <c:v>-4686098.1428047884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-369089.66091020632</c:v>
                </c:pt>
                <c:pt idx="2">
                  <c:v>-311388.66616994032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7667567.563848136</c:v>
                </c:pt>
                <c:pt idx="2">
                  <c:v>2333635.8702758867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195329.51145368532</c:v>
                </c:pt>
                <c:pt idx="2">
                  <c:v>169788.308019955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10842.764766009097</c:v>
                </c:pt>
                <c:pt idx="2">
                  <c:v>9432.6841985048559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233524.82675097883</c:v>
                </c:pt>
                <c:pt idx="2">
                  <c:v>188654.69591750181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21596.638291457013</c:v>
                </c:pt>
                <c:pt idx="2">
                  <c:v>18865.363395327251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21903.374142358447</c:v>
                </c:pt>
                <c:pt idx="2">
                  <c:v>18865.377976726155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55072.095689989801</c:v>
                </c:pt>
                <c:pt idx="2">
                  <c:v>47163.471034252521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55207.673917376364</c:v>
                </c:pt>
                <c:pt idx="2">
                  <c:v>47163.464832684054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217193.72878896073</c:v>
                </c:pt>
                <c:pt idx="2">
                  <c:v>188653.68692287465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21615.439065585892</c:v>
                </c:pt>
                <c:pt idx="2">
                  <c:v>18865.364482821919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298809.20883502002</c:v>
                </c:pt>
                <c:pt idx="2">
                  <c:v>245250.85017995731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11431.349184084851</c:v>
                </c:pt>
                <c:pt idx="2">
                  <c:v>9432.7158120801651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91124.170336585928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9093668.5090058167</c:v>
                </c:pt>
                <c:pt idx="2">
                  <c:v>6343027.2216558158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733997.43014111568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519712.74099418288</c:v>
                </c:pt>
                <c:pt idx="2">
                  <c:v>584743.27834418393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200448.96985888435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762790.25775721145</c:v>
                </c:pt>
                <c:pt idx="2">
                  <c:v>649702.07815765182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93116.664933583816</c:v>
                </c:pt>
                <c:pt idx="2">
                  <c:v>79389.335254180667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16718972.143075433</c:v>
                </c:pt>
                <c:pt idx="2">
                  <c:v>13274229.184441138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499924.26566152414</c:v>
                </c:pt>
                <c:pt idx="2">
                  <c:v>428367.88084440154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1109978.928910428</c:v>
                </c:pt>
                <c:pt idx="2">
                  <c:v>935092.89794509683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2373232.2414274383</c:v>
                </c:pt>
                <c:pt idx="2">
                  <c:v>1985713.2941286585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6378219.6730499323</c:v>
                </c:pt>
                <c:pt idx="2">
                  <c:v>5343241.1278890474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5262273.3307195064</c:v>
                </c:pt>
                <c:pt idx="2">
                  <c:v>4366888.3180394787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1669863.0461094584</c:v>
                </c:pt>
                <c:pt idx="2">
                  <c:v>1393099.5132312838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284902.69682753459</c:v>
                </c:pt>
                <c:pt idx="2">
                  <c:v>228072.28759523929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964199.50701865007</c:v>
                </c:pt>
                <c:pt idx="2">
                  <c:v>819766.77762872155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1775449.2294923961</c:v>
                </c:pt>
                <c:pt idx="2">
                  <c:v>1519594.3383463104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2869600.5520822164</c:v>
                </c:pt>
                <c:pt idx="2">
                  <c:v>2924196.0252700225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790297.95420758065</c:v>
                </c:pt>
                <c:pt idx="2">
                  <c:v>847372.33144122665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49798.95235125273</c:v>
                </c:pt>
                <c:pt idx="2">
                  <c:v>105147.11853127684</c:v>
                </c:pt>
                <c:pt idx="3">
                  <c:v>0</c:v>
                </c:pt>
                <c:pt idx="4">
                  <c:v>6229.7199693125513</c:v>
                </c:pt>
                <c:pt idx="5">
                  <c:v>13646.355858786455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49798.95235125273</c:v>
                </c:pt>
                <c:pt idx="2">
                  <c:v>105147.11853127684</c:v>
                </c:pt>
                <c:pt idx="3">
                  <c:v>0</c:v>
                </c:pt>
                <c:pt idx="4">
                  <c:v>6229.7199693125513</c:v>
                </c:pt>
                <c:pt idx="5">
                  <c:v>13646.355858786455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49798.95235125273</c:v>
                </c:pt>
                <c:pt idx="2">
                  <c:v>105147.11853127684</c:v>
                </c:pt>
                <c:pt idx="3">
                  <c:v>0</c:v>
                </c:pt>
                <c:pt idx="4">
                  <c:v>6229.7199693125513</c:v>
                </c:pt>
                <c:pt idx="5">
                  <c:v>13646.355858786455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49798.95235125273</c:v>
                </c:pt>
                <c:pt idx="2">
                  <c:v>105147.11853127684</c:v>
                </c:pt>
                <c:pt idx="3">
                  <c:v>0</c:v>
                </c:pt>
                <c:pt idx="4">
                  <c:v>6229.7199693125513</c:v>
                </c:pt>
                <c:pt idx="5">
                  <c:v>13646.355858786455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49798.95235125273</c:v>
                </c:pt>
                <c:pt idx="2">
                  <c:v>105147.11853127684</c:v>
                </c:pt>
                <c:pt idx="3">
                  <c:v>0</c:v>
                </c:pt>
                <c:pt idx="4">
                  <c:v>6229.7199693125513</c:v>
                </c:pt>
                <c:pt idx="5">
                  <c:v>13646.355858786455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49.379000000000005</c:v>
                </c:pt>
                <c:pt idx="4">
                  <c:v>24.321000000000002</c:v>
                </c:pt>
                <c:pt idx="5">
                  <c:v>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14.3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628934.09553717356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422496.48545524228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52803.99598320001</c:v>
                </c:pt>
                <c:pt idx="5">
                  <c:v>37059.67998276923</c:v>
                </c:pt>
                <c:pt idx="6">
                  <c:v>0</c:v>
                </c:pt>
                <c:pt idx="7">
                  <c:v>81052.166236837889</c:v>
                </c:pt>
                <c:pt idx="8">
                  <c:v>190145.9127196403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1732260.3299588533</c:v>
                </c:pt>
                <c:pt idx="2">
                  <c:v>1509462.0061989203</c:v>
                </c:pt>
                <c:pt idx="15">
                  <c:v>823764.99285714305</c:v>
                </c:pt>
                <c:pt idx="16">
                  <c:v>218594.75592337913</c:v>
                </c:pt>
                <c:pt idx="17">
                  <c:v>63493.243117891077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3362.8500000000004</c:v>
                </c:pt>
                <c:pt idx="16">
                  <c:v>1711.6970972036138</c:v>
                </c:pt>
                <c:pt idx="17">
                  <c:v>707.0677090744307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52683.90805394463</c:v>
                </c:pt>
                <c:pt idx="8">
                  <c:v>37765.090998484113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10593848.951226842</c:v>
                </c:pt>
                <c:pt idx="5">
                  <c:v>7435131.4632167686</c:v>
                </c:pt>
                <c:pt idx="18">
                  <c:v>0</c:v>
                </c:pt>
                <c:pt idx="19">
                  <c:v>5524808.3020606898</c:v>
                </c:pt>
                <c:pt idx="20">
                  <c:v>3877502.5228328914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662244.75002954563</c:v>
                </c:pt>
                <c:pt idx="5">
                  <c:v>464786.38688959018</c:v>
                </c:pt>
                <c:pt idx="9">
                  <c:v>1893765.2125355615</c:v>
                </c:pt>
                <c:pt idx="10">
                  <c:v>1533965.0585556475</c:v>
                </c:pt>
                <c:pt idx="11">
                  <c:v>1482696.8239816672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725968.00000000023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3785.9999999999995</c:v>
                </c:pt>
                <c:pt idx="3">
                  <c:v>6600836.8097011279</c:v>
                </c:pt>
                <c:pt idx="4">
                  <c:v>5085431.9147653691</c:v>
                </c:pt>
                <c:pt idx="5">
                  <c:v>3569132.9003836643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8343771.5304011963</c:v>
                </c:pt>
                <c:pt idx="2">
                  <c:v>7365903.9710124508</c:v>
                </c:pt>
                <c:pt idx="15">
                  <c:v>6423924.8458333323</c:v>
                </c:pt>
                <c:pt idx="16">
                  <c:v>1842582.8796302641</c:v>
                </c:pt>
                <c:pt idx="17">
                  <c:v>542212.37564397184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1306364.3816064557</c:v>
                </c:pt>
                <c:pt idx="5">
                  <c:v>916851.93557371269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4879942.9933971986</c:v>
                </c:pt>
                <c:pt idx="5">
                  <c:v>3424913.6320477659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89603.169774824273</c:v>
                </c:pt>
                <c:pt idx="8">
                  <c:v>64229.704767421834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964199.50701865007</c:v>
                </c:pt>
                <c:pt idx="23">
                  <c:v>819766.77762872155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28644.999999999993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751256.85194279999</c:v>
                </c:pt>
                <c:pt idx="5">
                  <c:v>527258.17430030764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33282.518680320005</c:v>
                </c:pt>
                <c:pt idx="5">
                  <c:v>23358.828595200001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5468911.5938238055</c:v>
                </c:pt>
                <c:pt idx="2">
                  <c:v>6813825.4434031872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9708262.3203322031</c:v>
                </c:pt>
                <c:pt idx="2">
                  <c:v>7435570.144147574</c:v>
                </c:pt>
                <c:pt idx="15">
                  <c:v>14742130.666666664</c:v>
                </c:pt>
                <c:pt idx="16">
                  <c:v>3236087.4401107342</c:v>
                </c:pt>
                <c:pt idx="17">
                  <c:v>826174.46046084131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181921.58711858263</c:v>
                </c:pt>
                <c:pt idx="8">
                  <c:v>130405.76422476556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284902.69682753459</c:v>
                </c:pt>
                <c:pt idx="11">
                  <c:v>228072.28759523929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2869600.5520822164</c:v>
                </c:pt>
                <c:pt idx="11">
                  <c:v>2924196.0252700225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1848879.4111764706</c:v>
                </c:pt>
                <c:pt idx="5">
                  <c:v>1297607.8425339367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923589.89337887999</c:v>
                </c:pt>
                <c:pt idx="5">
                  <c:v>648207.49351680011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2024782.3534998517</c:v>
                </c:pt>
                <c:pt idx="2">
                  <c:v>1705275.170750411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181534.73363186989</c:v>
                </c:pt>
                <c:pt idx="5">
                  <c:v>127407.3866738191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308543.842245968</c:v>
                </c:pt>
                <c:pt idx="11">
                  <c:v>262325.36884119094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B-4021-9A78-D3EB6A9D46F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20438564.431791671</c:v>
                </c:pt>
                <c:pt idx="17">
                  <c:v>16698916.456716588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EB-4021-9A78-D3EB6A9D46FE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1108490.5539925825</c:v>
                </c:pt>
                <c:pt idx="16">
                  <c:v>883927.86943286215</c:v>
                </c:pt>
                <c:pt idx="17">
                  <c:v>891727.59848352592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6D-4BF4-BA90-CCCCAEC3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4118.8931238114455</c:v>
                </c:pt>
                <c:pt idx="2">
                  <c:v>97174.294589048761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83024.745280252944</c:v>
                </c:pt>
                <c:pt idx="2">
                  <c:v>164805.50168615792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883927.86943286215</c:v>
                </c:pt>
                <c:pt idx="2">
                  <c:v>891727.59848352592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388130.57209764107</c:v>
                </c:pt>
                <c:pt idx="2">
                  <c:v>422384.60108931462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C-4206-A8F3-F787DE9AD056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C-4206-A8F3-F787DE9AD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628934.09553717356</c:v>
                </c:pt>
                <c:pt idx="2">
                  <c:v>422496.48545524228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6189591.9252180122</c:v>
                </c:pt>
                <c:pt idx="2">
                  <c:v>7682946.1425423622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358825.35406290524</c:v>
                </c:pt>
                <c:pt idx="2">
                  <c:v>104224.75757087779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150468.77514425677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514637.88978790143</c:v>
                </c:pt>
                <c:pt idx="2">
                  <c:v>1875918.1983914766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2142740.1436914308</c:v>
                </c:pt>
                <c:pt idx="2">
                  <c:v>1745389.9877746685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736833.87579610466</c:v>
                </c:pt>
                <c:pt idx="2">
                  <c:v>1194602.6584375831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82599.137801749035</c:v>
                </c:pt>
                <c:pt idx="2">
                  <c:v>105520.42689115535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52304.337322308449</c:v>
                </c:pt>
                <c:pt idx="2">
                  <c:v>611948.68599171343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1053609.4810519114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  <c:pt idx="2">
                  <c:v>1826.5028031360962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3071815.8170889309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995547.37754959601</c:v>
                </c:pt>
                <c:pt idx="2">
                  <c:v>963691.1640460029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163985.49277150354</c:v>
                </c:pt>
                <c:pt idx="2">
                  <c:v>110975.48450445863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78069.291964914431</c:v>
                </c:pt>
                <c:pt idx="2">
                  <c:v>49288.996098064177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1001340.7662389905</c:v>
                </c:pt>
                <c:pt idx="2">
                  <c:v>636761.67101253849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790297.95420758065</c:v>
                </c:pt>
                <c:pt idx="2">
                  <c:v>847372.33144122665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938674.29717013566</c:v>
                </c:pt>
                <c:pt idx="2">
                  <c:v>276221.39891296637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549.03491797097047</c:v>
                </c:pt>
                <c:pt idx="2">
                  <c:v>226.79530291066658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1822970.5312746018</c:v>
                </c:pt>
                <c:pt idx="2">
                  <c:v>757091.71593368752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674927.4511666171</c:v>
                </c:pt>
                <c:pt idx="2">
                  <c:v>189475.01897226786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1">
                  <c:v>52629.192838870717</c:v>
                </c:pt>
                <c:pt idx="2">
                  <c:v>36936.997059475485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1109978.928910428</c:v>
                </c:pt>
                <c:pt idx="2">
                  <c:v>935092.89794509683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1669863.0461094584</c:v>
                </c:pt>
                <c:pt idx="2">
                  <c:v>1393099.5132312838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300565.01987745514</c:v>
                </c:pt>
                <c:pt idx="2">
                  <c:v>282476.00214054168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B-407B-A74A-7CA2E8651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18.836987441618376</c:v>
                </c:pt>
                <c:pt idx="2">
                  <c:v>18.029353613375168</c:v>
                </c:pt>
                <c:pt idx="3">
                  <c:v>7.483154704207001</c:v>
                </c:pt>
                <c:pt idx="4">
                  <c:v>7.7932580681222383</c:v>
                </c:pt>
                <c:pt idx="5">
                  <c:v>8.2917801110217866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3.8365973630253083</c:v>
                </c:pt>
                <c:pt idx="2">
                  <c:v>8.2638471448431829</c:v>
                </c:pt>
                <c:pt idx="3">
                  <c:v>1.4201719861750002</c:v>
                </c:pt>
                <c:pt idx="4">
                  <c:v>1.420171986175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18.378318644089127</c:v>
                </c:pt>
                <c:pt idx="2">
                  <c:v>19.416214093100645</c:v>
                </c:pt>
                <c:pt idx="3">
                  <c:v>0.45076703431999998</c:v>
                </c:pt>
                <c:pt idx="4">
                  <c:v>1.2966519959999999E-2</c:v>
                </c:pt>
                <c:pt idx="5">
                  <c:v>1.2966519960000001E-2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1.2483155607676215</c:v>
                </c:pt>
                <c:pt idx="2">
                  <c:v>0.36442729728643131</c:v>
                </c:pt>
                <c:pt idx="3">
                  <c:v>5.0922829580050024</c:v>
                </c:pt>
                <c:pt idx="4">
                  <c:v>12.140331468282515</c:v>
                </c:pt>
                <c:pt idx="5">
                  <c:v>10.187124388461202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10.799034478608881</c:v>
                </c:pt>
                <c:pt idx="2">
                  <c:v>9.1813879094416802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46.832962940933136</c:v>
                </c:pt>
                <c:pt idx="2">
                  <c:v>46.578566663376805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1254629.5241782644</c:v>
                </c:pt>
                <c:pt idx="2">
                  <c:v>1237334.6662498123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487625.7458472242</c:v>
                </c:pt>
                <c:pt idx="2">
                  <c:v>1030306.2941563282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1533462.4612690927</c:v>
                </c:pt>
                <c:pt idx="2">
                  <c:v>1631792.7845000676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1818666.5716692591</c:v>
                </c:pt>
                <c:pt idx="2">
                  <c:v>1437229.8528845287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1537491.225567423</c:v>
                </c:pt>
                <c:pt idx="2">
                  <c:v>1540908.6168501563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485776</xdr:colOff>
      <xdr:row>186</xdr:row>
      <xdr:rowOff>49213</xdr:rowOff>
    </xdr:from>
    <xdr:to>
      <xdr:col>25</xdr:col>
      <xdr:colOff>482600</xdr:colOff>
      <xdr:row>250</xdr:row>
      <xdr:rowOff>174625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142875</xdr:rowOff>
    </xdr:from>
    <xdr:to>
      <xdr:col>26</xdr:col>
      <xdr:colOff>519894</xdr:colOff>
      <xdr:row>185</xdr:row>
      <xdr:rowOff>15874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257734</xdr:colOff>
      <xdr:row>21</xdr:row>
      <xdr:rowOff>123264</xdr:rowOff>
    </xdr:from>
    <xdr:to>
      <xdr:col>14</xdr:col>
      <xdr:colOff>674594</xdr:colOff>
      <xdr:row>52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47</xdr:row>
      <xdr:rowOff>80123</xdr:rowOff>
    </xdr:from>
    <xdr:to>
      <xdr:col>15</xdr:col>
      <xdr:colOff>642658</xdr:colOff>
      <xdr:row>68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 refreshError="1"/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097222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22499842.3908305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8479593.6614331026"/>
    </cacheField>
    <cacheField name="Gødning" numFmtId="3">
      <sharedItems containsSemiMixedTypes="0" containsString="0" containsNumber="1" minValue="0" maxValue="16744738.31698148"/>
    </cacheField>
    <cacheField name="Energi" numFmtId="3">
      <sharedItems containsSemiMixedTypes="0" containsString="0" containsNumber="1" minValue="0" maxValue="522499842.39083052"/>
    </cacheField>
    <cacheField name="Materialer og processer" numFmtId="3">
      <sharedItems containsSemiMixedTypes="0" containsString="0" containsNumber="1" minValue="0" maxValue="4926512.3913847189"/>
    </cacheField>
    <cacheField name="Produktion minus forbrug [ton]" numFmtId="3">
      <sharedItems containsSemiMixedTypes="0" containsString="0" containsNumber="1" minValue="-4828427.5390456235" maxValue="6090811.2997876275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22499842.3908305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43269720186636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592047.45003691176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1550923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095155.4515479961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178240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22499842.3908305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8479593.6614331026"/>
    </cacheField>
    <cacheField name="Gødning" numFmtId="3">
      <sharedItems containsSemiMixedTypes="0" containsString="0" containsNumber="1" minValue="0" maxValue="16744738.31698148"/>
    </cacheField>
    <cacheField name="Energi" numFmtId="3">
      <sharedItems containsSemiMixedTypes="0" containsString="0" containsNumber="1" minValue="0" maxValue="522499842.39083052"/>
    </cacheField>
    <cacheField name="Materialer og processer" numFmtId="3">
      <sharedItems containsSemiMixedTypes="0" containsString="0" containsNumber="1" minValue="0" maxValue="4926512.3913847189"/>
    </cacheField>
    <cacheField name="Produktion minus forbrug [ton]" numFmtId="3">
      <sharedItems containsSemiMixedTypes="0" containsString="0" containsNumber="1" minValue="-4828427.5390456235" maxValue="6090811.2997876275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22499842.3908305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43269720186636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592047.45003691176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201389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22499842.3908305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8479593.6614331026"/>
    </cacheField>
    <cacheField name="Gødning" numFmtId="3">
      <sharedItems containsSemiMixedTypes="0" containsString="0" containsNumber="1" minValue="0" maxValue="16744738.31698148"/>
    </cacheField>
    <cacheField name="Energi" numFmtId="3">
      <sharedItems containsSemiMixedTypes="0" containsString="0" containsNumber="1" minValue="0" maxValue="522499842.39083052"/>
    </cacheField>
    <cacheField name="Materialer og processer" numFmtId="3">
      <sharedItems containsSemiMixedTypes="0" containsString="0" containsNumber="1" minValue="0" maxValue="4926512.3913847189"/>
    </cacheField>
    <cacheField name="Produktion minus forbrug [ton]" numFmtId="3">
      <sharedItems containsSemiMixedTypes="0" containsString="0" containsNumber="1" minValue="-4828427.5390456235" maxValue="6090811.2997876275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22499842.3908305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43269720186636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592047.45003691176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22453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2.1913160409102947E-5" maxValue="853064.00210361299"/>
    </cacheField>
    <cacheField name="Udbytte, hovedafgrøde" numFmtId="0">
      <sharedItems containsSemiMixedTypes="0" containsString="0" containsNumber="1" minValue="3.628490666341311E-4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1.1791999883481743E-4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247685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259259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2.66079282407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6744738.316981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77252.6136078448"/>
    <n v="47085.713440742315"/>
    <n v="0"/>
    <n v="43439.71273733316"/>
    <n v="0"/>
    <n v="0"/>
    <n v="0"/>
    <n v="0"/>
    <n v="486727.1874297693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22499842.39083052"/>
    <n v="0"/>
    <n v="0"/>
    <n v="0"/>
    <n v="0"/>
    <n v="0"/>
    <n v="522499842.39083052"/>
    <n v="0"/>
    <n v="0"/>
    <n v="0"/>
    <n v="522499842.39083052"/>
    <n v="0"/>
    <n v="0"/>
    <n v="0"/>
    <n v="0"/>
    <n v="0"/>
    <n v="0"/>
    <n v="0"/>
    <n v="0"/>
  </r>
  <r>
    <x v="4"/>
    <x v="10"/>
    <n v="0"/>
    <x v="1"/>
    <s v="Vestdanmark"/>
    <n v="21815696.085202374"/>
    <n v="0"/>
    <n v="0"/>
    <n v="0"/>
    <n v="0"/>
    <n v="16744738.31698148"/>
    <n v="0"/>
    <n v="0"/>
    <n v="5070957.768220894"/>
    <n v="0"/>
    <n v="0"/>
    <n v="0"/>
    <n v="0"/>
    <n v="0"/>
    <n v="0"/>
    <n v="0"/>
    <n v="0"/>
    <n v="0"/>
    <n v="0"/>
  </r>
  <r>
    <x v="5"/>
    <x v="1"/>
    <n v="1"/>
    <x v="1"/>
    <s v="Vestdanmark"/>
    <n v="2407351.1837272928"/>
    <n v="0"/>
    <n v="0"/>
    <n v="0"/>
    <n v="1805513.3877954697"/>
    <n v="0"/>
    <n v="0"/>
    <n v="0"/>
    <n v="601837.79593182309"/>
    <n v="601837.79593182309"/>
    <n v="1805513.3877954697"/>
    <n v="0.34185956217688157"/>
    <n v="1.3674382487075265"/>
    <n v="1.0255786865306449"/>
    <n v="0.34185956217688163"/>
    <n v="25736.622914769367"/>
    <n v="102946.49165907748"/>
    <n v="77209.868744308114"/>
    <n v="25736.622914769367"/>
  </r>
  <r>
    <x v="6"/>
    <x v="2"/>
    <n v="1"/>
    <x v="1"/>
    <s v="Vestdanmark"/>
    <n v="2037297.4995217314"/>
    <n v="0"/>
    <n v="0"/>
    <n v="0"/>
    <n v="1527973.1246412985"/>
    <n v="192815.65620473531"/>
    <n v="0"/>
    <n v="0"/>
    <n v="316508.71867569746"/>
    <n v="316508.71867569746"/>
    <n v="1527973.1246412985"/>
    <n v="0.6817597800274523"/>
    <n v="3.9730138905048094"/>
    <n v="3.2912541104773569"/>
    <n v="0.68175978002745241"/>
    <n v="94952.615602709237"/>
    <n v="553344.55299509875"/>
    <n v="458391.93739238958"/>
    <n v="94952.615602709178"/>
  </r>
  <r>
    <x v="7"/>
    <x v="10"/>
    <n v="0"/>
    <x v="1"/>
    <s v="Vestdanmark"/>
    <n v="1695589.2743848059"/>
    <n v="1648659.4341996606"/>
    <n v="0"/>
    <n v="0"/>
    <n v="0"/>
    <n v="0"/>
    <n v="0"/>
    <n v="0"/>
    <n v="46929.840185145382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1579.1588756568235"/>
    <n v="0"/>
    <n v="0"/>
    <n v="506.52265822954723"/>
    <n v="506.52265822954723"/>
    <n v="6257.0446016591122"/>
    <n v="2.3821254093877377E-4"/>
    <n v="3.1808380466530374E-3"/>
    <n v="2.9426255057142638E-3"/>
    <n v="2.3821254093877361E-4"/>
    <n v="31.910927468461477"/>
    <n v="426.10473737298554"/>
    <n v="394.19380990452407"/>
    <n v="31.910927468461466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</r>
  <r>
    <x v="11"/>
    <x v="10"/>
    <n v="0"/>
    <x v="1"/>
    <s v="Vestdanmark"/>
    <n v="70289.623650350084"/>
    <n v="0"/>
    <n v="0"/>
    <n v="257923.29437791562"/>
    <n v="0"/>
    <n v="0"/>
    <n v="0"/>
    <n v="0"/>
    <n v="-187633.6707275655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2888299.417168394"/>
    <n v="9446613.3985518552"/>
    <n v="0"/>
    <n v="0"/>
    <n v="66046.573899106617"/>
    <n v="0"/>
    <n v="0"/>
    <n v="4926512.3913847189"/>
    <n v="-1550872.9466672875"/>
    <n v="0"/>
    <n v="66046.573899106617"/>
    <n v="0"/>
    <n v="0.1215174401526188"/>
    <n v="0.1215174401526188"/>
    <n v="0"/>
    <n v="0"/>
    <n v="18493.040691749855"/>
    <n v="18493.040691749855"/>
    <n v="0"/>
  </r>
  <r>
    <x v="14"/>
    <x v="10"/>
    <n v="0"/>
    <x v="1"/>
    <s v="Vestdanmark"/>
    <n v="823571.93327261996"/>
    <n v="823571.933272619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377350.81919472688"/>
    <n v="0"/>
    <n v="0"/>
    <n v="270140.71358529059"/>
    <n v="0"/>
    <n v="0"/>
    <n v="0"/>
    <n v="0"/>
    <n v="107210.10560943629"/>
    <n v="0"/>
    <n v="0"/>
    <n v="0"/>
    <n v="0"/>
    <n v="0"/>
    <n v="0"/>
    <n v="0"/>
    <n v="0"/>
    <n v="0"/>
    <n v="0"/>
  </r>
  <r>
    <x v="16"/>
    <x v="5"/>
    <n v="1"/>
    <x v="1"/>
    <s v="Vestdanmark"/>
    <n v="2138392.1592439888"/>
    <n v="590528.53760249668"/>
    <n v="548687.13677357347"/>
    <n v="0"/>
    <n v="0"/>
    <n v="0"/>
    <n v="999176.48486791842"/>
    <n v="0"/>
    <n v="0"/>
    <n v="0"/>
    <n v="999176.48486791842"/>
    <n v="0"/>
    <n v="10.327294646211824"/>
    <n v="0"/>
    <n v="10.327294646211824"/>
    <n v="0"/>
    <n v="849300.01213773061"/>
    <n v="0"/>
    <n v="849300.01213773061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48896.7894108406"/>
    <n v="0"/>
    <n v="0"/>
    <n v="0"/>
    <n v="506863.86710295174"/>
    <n v="0"/>
    <n v="0"/>
    <n v="0"/>
    <n v="-57967.077692111139"/>
    <n v="0"/>
    <n v="506863.86710295174"/>
    <n v="0"/>
    <n v="1.8668609741908415"/>
    <n v="1.8668609741908415"/>
    <n v="0"/>
    <n v="0"/>
    <n v="212882.82418323972"/>
    <n v="212882.82418323972"/>
    <n v="0"/>
  </r>
  <r>
    <x v="20"/>
    <x v="10"/>
    <n v="0"/>
    <x v="1"/>
    <s v="Vestdanmark"/>
    <n v="841621.76621839835"/>
    <n v="0"/>
    <n v="0"/>
    <n v="0"/>
    <n v="0"/>
    <n v="0"/>
    <n v="0"/>
    <n v="0"/>
    <n v="841621.76621839835"/>
    <n v="0"/>
    <n v="0"/>
    <n v="0"/>
    <n v="0"/>
    <n v="0"/>
    <n v="0"/>
    <n v="0"/>
    <n v="0"/>
    <n v="0"/>
    <n v="0"/>
  </r>
  <r>
    <x v="21"/>
    <x v="10"/>
    <n v="0"/>
    <x v="1"/>
    <s v="Vestdanmark"/>
    <n v="1805737.9339992611"/>
    <n v="0"/>
    <n v="0"/>
    <n v="123531.68309679118"/>
    <n v="0"/>
    <n v="0"/>
    <n v="0"/>
    <n v="0"/>
    <n v="1682206.25090247"/>
    <n v="0"/>
    <n v="0"/>
    <n v="0"/>
    <n v="0"/>
    <n v="0"/>
    <n v="0"/>
    <n v="0"/>
    <n v="0"/>
    <n v="0"/>
    <n v="0"/>
  </r>
  <r>
    <x v="22"/>
    <x v="5"/>
    <n v="1"/>
    <x v="1"/>
    <s v="Vestdanmark"/>
    <n v="4836920.0011490174"/>
    <n v="4534717.2198337205"/>
    <n v="0"/>
    <n v="295933.04302308214"/>
    <n v="2871.1113857879218"/>
    <n v="0"/>
    <n v="0"/>
    <n v="0"/>
    <n v="3398.6269064266235"/>
    <n v="3398.6269064266235"/>
    <n v="2871.1113857879218"/>
    <n v="1.1639821346744288E-2"/>
    <n v="2.1472975887473912E-2"/>
    <n v="9.8331545407296227E-3"/>
    <n v="1.1639821346744289E-2"/>
    <n v="1053.5743409922532"/>
    <n v="1943.618870586509"/>
    <n v="890.04452959425578"/>
    <n v="1053.5743409922534"/>
  </r>
  <r>
    <x v="23"/>
    <x v="10"/>
    <n v="0"/>
    <x v="1"/>
    <s v="Vestdanmark"/>
    <n v="0"/>
    <n v="0"/>
    <n v="0"/>
    <n v="0"/>
    <n v="0"/>
    <n v="584756.7791203158"/>
    <n v="0"/>
    <n v="0"/>
    <n v="-584756.7791203158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790098.0268014707"/>
    <n v="1720313.3142519915"/>
    <n v="0"/>
    <n v="0"/>
    <n v="876386.02801516652"/>
    <n v="876386.02801516652"/>
    <n v="7790098.0268014707"/>
    <n v="0.4436178435209972"/>
    <n v="4.3868875637076341"/>
    <n v="3.9432697201866369"/>
    <n v="0.4436178435209972"/>
    <n v="66605.33812915266"/>
    <n v="658652.78816606442"/>
    <n v="592047.45003691176"/>
    <n v="66605.33812915266"/>
  </r>
  <r>
    <x v="25"/>
    <x v="10"/>
    <n v="0"/>
    <x v="1"/>
    <s v="Vestdanmark"/>
    <n v="1296795.0922933305"/>
    <n v="1164894.7731358123"/>
    <n v="0"/>
    <n v="0"/>
    <n v="0"/>
    <n v="0"/>
    <n v="0"/>
    <n v="0"/>
    <n v="131900.31915751821"/>
    <n v="0"/>
    <n v="0"/>
    <n v="0"/>
    <n v="0"/>
    <n v="0"/>
    <n v="0"/>
    <n v="0"/>
    <n v="0"/>
    <n v="0"/>
    <n v="0"/>
  </r>
  <r>
    <x v="26"/>
    <x v="4"/>
    <n v="1"/>
    <x v="1"/>
    <s v="Vestdanmark"/>
    <n v="4026803.5120526911"/>
    <n v="4351481.2300827308"/>
    <n v="0"/>
    <n v="0"/>
    <n v="252542.91678668751"/>
    <n v="0"/>
    <n v="0"/>
    <n v="0"/>
    <n v="-577220.63481672714"/>
    <n v="0"/>
    <n v="252542.91678668751"/>
    <n v="0"/>
    <n v="0.90662907126420822"/>
    <n v="0.90662907126420822"/>
    <n v="0"/>
    <n v="0"/>
    <n v="75762.875036006255"/>
    <n v="75762.875036006255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267791.6894289495"/>
    <n v="0"/>
    <n v="0"/>
    <n v="0"/>
    <n v="0"/>
    <n v="0"/>
    <n v="0"/>
    <n v="0"/>
    <n v="1267791.6894289495"/>
    <n v="0"/>
    <n v="0"/>
    <n v="0"/>
    <n v="0"/>
    <n v="0"/>
    <n v="0"/>
    <n v="0"/>
    <n v="0"/>
    <n v="0"/>
    <n v="0"/>
  </r>
  <r>
    <x v="31"/>
    <x v="7"/>
    <n v="1"/>
    <x v="1"/>
    <s v="Vestdanmark"/>
    <n v="217981.68444215492"/>
    <n v="0"/>
    <n v="0"/>
    <n v="0"/>
    <n v="0"/>
    <n v="0"/>
    <n v="217981.68444215492"/>
    <n v="0"/>
    <n v="0"/>
    <n v="0"/>
    <n v="217981.68444215492"/>
    <n v="0"/>
    <n v="4.0108629937356497"/>
    <n v="0"/>
    <n v="4.0108629937356497"/>
    <n v="0"/>
    <n v="90462.399043494297"/>
    <n v="0"/>
    <n v="90462.399043494297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728642.31006080401"/>
    <n v="0"/>
    <n v="0"/>
    <n v="0"/>
    <n v="0"/>
    <n v="0"/>
    <n v="0"/>
    <n v="728642.3100608040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64321.15503040201"/>
    <n v="161875.86352463221"/>
    <n v="0"/>
    <n v="0"/>
    <n v="0"/>
    <n v="0"/>
    <n v="0"/>
    <n v="0"/>
    <n v="202445.2915057698"/>
    <n v="0"/>
    <n v="0"/>
    <n v="0"/>
    <n v="0"/>
    <n v="0"/>
    <n v="0"/>
    <n v="0"/>
    <n v="0"/>
    <n v="0"/>
    <n v="0"/>
  </r>
  <r>
    <x v="37"/>
    <x v="9"/>
    <n v="1"/>
    <x v="1"/>
    <s v="Vestdanmark"/>
    <n v="233165.53921945728"/>
    <n v="0"/>
    <n v="0"/>
    <n v="0"/>
    <n v="0"/>
    <n v="0"/>
    <n v="233165.53921945728"/>
    <n v="0"/>
    <n v="0"/>
    <n v="0"/>
    <n v="233165.53921945728"/>
    <n v="0"/>
    <n v="8.1607938726810048"/>
    <n v="0"/>
    <n v="8.1607938726810048"/>
    <n v="0"/>
    <n v="0"/>
    <n v="0"/>
    <n v="0"/>
  </r>
  <r>
    <x v="38"/>
    <x v="4"/>
    <n v="1"/>
    <x v="1"/>
    <s v="Vestdanmark"/>
    <n v="1333999.0253631743"/>
    <n v="669901.28667965194"/>
    <n v="0"/>
    <n v="0"/>
    <n v="21522.666740773606"/>
    <n v="0"/>
    <n v="0"/>
    <n v="0"/>
    <n v="642575.07194274873"/>
    <n v="642575.07194274873"/>
    <n v="21522.666740773606"/>
    <n v="1.7439744482554977"/>
    <n v="1.8023878266966269"/>
    <n v="5.8413378441129198E-2"/>
    <n v="1.7439744482554977"/>
    <n v="128515.01438854975"/>
    <n v="132819.54773670447"/>
    <n v="4304.5333481547214"/>
    <n v="128515.01438854974"/>
  </r>
  <r>
    <x v="39"/>
    <x v="10"/>
    <n v="0"/>
    <x v="1"/>
    <s v="Vestdanmark"/>
    <n v="146835.36007534855"/>
    <n v="0"/>
    <n v="0"/>
    <n v="0"/>
    <n v="0"/>
    <n v="0"/>
    <n v="0"/>
    <n v="0"/>
    <n v="146835.36007534855"/>
    <n v="0"/>
    <n v="0"/>
    <n v="0"/>
    <n v="0"/>
    <n v="0"/>
    <n v="0"/>
    <n v="0"/>
    <n v="0"/>
    <n v="0"/>
    <n v="0"/>
  </r>
  <r>
    <x v="40"/>
    <x v="10"/>
    <n v="0"/>
    <x v="1"/>
    <s v="Vestdanmark"/>
    <n v="97609.837071587375"/>
    <n v="29678.267865680002"/>
    <n v="0"/>
    <n v="0"/>
    <n v="0"/>
    <n v="0"/>
    <n v="0"/>
    <n v="0"/>
    <n v="67931.569205907377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2962169.1298708953"/>
    <n v="0"/>
    <n v="0"/>
    <n v="0"/>
    <n v="987389.70995696541"/>
    <n v="987389.70995696541"/>
    <n v="2962169.1298708953"/>
    <n v="0.49271733916562538"/>
    <n v="1.9708693566625011"/>
    <n v="1.4781520174968756"/>
    <n v="0.49271733916562543"/>
    <n v="59243.38259741792"/>
    <n v="236973.53038967162"/>
    <n v="177730.1477922537"/>
    <n v="59243.38259741792"/>
  </r>
  <r>
    <x v="42"/>
    <x v="2"/>
    <n v="1"/>
    <x v="1"/>
    <s v="Vestdanmark"/>
    <n v="11306124.881910803"/>
    <n v="0"/>
    <n v="0"/>
    <n v="0"/>
    <n v="8479593.6614331026"/>
    <n v="2826531.2204777007"/>
    <n v="0"/>
    <n v="0"/>
    <n v="0"/>
    <n v="0"/>
    <n v="8479593.6614331026"/>
    <n v="0"/>
    <n v="3.6530089493453812"/>
    <n v="3.6530089493453812"/>
    <n v="0"/>
    <n v="0"/>
    <n v="423979.68307165516"/>
    <n v="423979.68307165516"/>
    <n v="0"/>
  </r>
  <r>
    <x v="43"/>
    <x v="10"/>
    <n v="0"/>
    <x v="1"/>
    <s v="Vestdanmark"/>
    <n v="1033509.7693363478"/>
    <n v="0"/>
    <n v="0"/>
    <n v="97500.435238944279"/>
    <n v="0"/>
    <n v="0"/>
    <n v="0"/>
    <n v="0"/>
    <n v="936009.33409740357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2244.569142865"/>
    <n v="0"/>
    <n v="0"/>
    <n v="0"/>
    <n v="0"/>
    <n v="0"/>
    <n v="2222244.569142865"/>
    <n v="0"/>
    <n v="0"/>
    <n v="0"/>
    <n v="2222244.569142865"/>
    <n v="0"/>
    <n v="32.208254777245877"/>
    <n v="0"/>
    <n v="32.208254777245877"/>
    <n v="0"/>
    <n v="1099085.1264885752"/>
    <n v="0"/>
    <n v="1099085.1264885752"/>
  </r>
  <r>
    <x v="47"/>
    <x v="10"/>
    <n v="0"/>
    <x v="1"/>
    <s v="Vestdanmark"/>
    <n v="612159.6716568307"/>
    <n v="0"/>
    <n v="0"/>
    <n v="0"/>
    <n v="0"/>
    <n v="0"/>
    <n v="0"/>
    <n v="0"/>
    <n v="612159.671656830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476733.07017285493"/>
    <n v="33117.004615961538"/>
    <n v="0"/>
    <n v="101549.90665933446"/>
    <n v="0"/>
    <n v="0"/>
    <n v="0"/>
    <n v="0"/>
    <n v="342066.1588975589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75947568.56876355"/>
    <n v="0"/>
    <n v="0"/>
    <n v="0"/>
    <n v="0"/>
    <n v="0"/>
    <n v="475947568.56876355"/>
    <n v="0"/>
    <n v="0"/>
    <n v="0"/>
    <n v="475947568.56876355"/>
    <n v="0"/>
    <n v="0"/>
    <n v="0"/>
    <n v="0"/>
    <n v="0"/>
    <n v="0"/>
    <n v="0"/>
    <n v="0"/>
  </r>
  <r>
    <x v="4"/>
    <x v="10"/>
    <n v="0"/>
    <x v="2"/>
    <s v="Vestdanmark"/>
    <n v="19329215.833900649"/>
    <n v="0"/>
    <n v="0"/>
    <n v="0"/>
    <n v="0"/>
    <n v="13238404.534113022"/>
    <n v="0"/>
    <n v="0"/>
    <n v="6090811.2997876275"/>
    <n v="0"/>
    <n v="0"/>
    <n v="0"/>
    <n v="0"/>
    <n v="0"/>
    <n v="0"/>
    <n v="0"/>
    <n v="0"/>
    <n v="0"/>
    <n v="0"/>
  </r>
  <r>
    <x v="5"/>
    <x v="1"/>
    <n v="1"/>
    <x v="2"/>
    <s v="Vestdanmark"/>
    <n v="1693173.0335586986"/>
    <n v="0"/>
    <n v="0"/>
    <n v="0"/>
    <n v="1523855.7302028288"/>
    <n v="0"/>
    <n v="0"/>
    <n v="0"/>
    <n v="169317.30335586984"/>
    <n v="169317.30335586984"/>
    <n v="1523855.7302028288"/>
    <n v="9.6176643583157292E-2"/>
    <n v="0.96176643583157295"/>
    <n v="0.8655897922484157"/>
    <n v="9.6176643583157251E-2"/>
    <n v="7240.581463762499"/>
    <n v="72405.814637624993"/>
    <n v="65165.2331738625"/>
    <n v="7240.5814637624935"/>
  </r>
  <r>
    <x v="6"/>
    <x v="2"/>
    <n v="1"/>
    <x v="2"/>
    <s v="Vestdanmark"/>
    <n v="1481207.6483199911"/>
    <n v="0"/>
    <n v="0"/>
    <n v="0"/>
    <n v="1333086.883487992"/>
    <n v="56074.289543542509"/>
    <n v="0"/>
    <n v="0"/>
    <n v="92046.475288456539"/>
    <n v="92046.475288456539"/>
    <n v="1333086.883487992"/>
    <n v="0.19826810777133538"/>
    <n v="3.0697372548044703"/>
    <n v="2.8714691470331348"/>
    <n v="0.19826810777133552"/>
    <n v="27613.942586536959"/>
    <n v="427540.00763293455"/>
    <n v="399926.06504639756"/>
    <n v="27613.942586536985"/>
  </r>
  <r>
    <x v="7"/>
    <x v="10"/>
    <n v="0"/>
    <x v="2"/>
    <s v="Vestdanmark"/>
    <n v="1192566.3587373532"/>
    <n v="1159558.9851527149"/>
    <n v="0"/>
    <n v="0"/>
    <n v="0"/>
    <n v="0"/>
    <n v="0"/>
    <n v="0"/>
    <n v="33007.3735846383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</r>
  <r>
    <x v="9"/>
    <x v="10"/>
    <n v="0"/>
    <x v="2"/>
    <s v="Vestdanmark"/>
    <n v="173658.75124992887"/>
    <n v="0"/>
    <n v="0"/>
    <n v="20168.939794840036"/>
    <n v="0"/>
    <n v="0"/>
    <n v="0"/>
    <n v="0"/>
    <n v="153489.81145508884"/>
    <n v="0"/>
    <n v="0"/>
    <n v="0"/>
    <n v="0"/>
    <n v="0"/>
    <n v="0"/>
    <n v="0"/>
    <n v="0"/>
    <n v="0"/>
    <n v="0"/>
  </r>
  <r>
    <x v="10"/>
    <x v="10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</r>
  <r>
    <x v="11"/>
    <x v="10"/>
    <n v="0"/>
    <x v="2"/>
    <s v="Vestdanmark"/>
    <n v="58253.649751305209"/>
    <n v="0"/>
    <n v="0"/>
    <n v="267978.92035102146"/>
    <n v="0"/>
    <n v="0"/>
    <n v="0"/>
    <n v="0"/>
    <n v="-209725.2705997162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9740273.2021653466"/>
    <n v="6644128.6892416244"/>
    <n v="0"/>
    <n v="0"/>
    <n v="62867.4837195117"/>
    <n v="0"/>
    <n v="0"/>
    <n v="3464985.9093970521"/>
    <n v="-431708.88019284233"/>
    <n v="0"/>
    <n v="62867.4837195117"/>
    <n v="0"/>
    <n v="0.11566831160843659"/>
    <n v="0.11566831160843659"/>
    <n v="0"/>
    <n v="0"/>
    <n v="17602.895441463279"/>
    <n v="17602.895441463279"/>
    <n v="0"/>
  </r>
  <r>
    <x v="14"/>
    <x v="10"/>
    <n v="0"/>
    <x v="2"/>
    <s v="Vestdanmark"/>
    <n v="579246.51710100006"/>
    <n v="579246.5171010000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314324.23534293834"/>
    <n v="0"/>
    <n v="0"/>
    <n v="280672.65868343826"/>
    <n v="0"/>
    <n v="0"/>
    <n v="0"/>
    <n v="0"/>
    <n v="33651.576659500075"/>
    <n v="0"/>
    <n v="0"/>
    <n v="0"/>
    <n v="0"/>
    <n v="0"/>
    <n v="0"/>
    <n v="0"/>
    <n v="0"/>
    <n v="0"/>
    <n v="0"/>
  </r>
  <r>
    <x v="16"/>
    <x v="5"/>
    <n v="1"/>
    <x v="2"/>
    <s v="Vestdanmark"/>
    <n v="1738074.2627217553"/>
    <n v="415339.06734260131"/>
    <n v="369095.7908326711"/>
    <n v="0"/>
    <n v="0"/>
    <n v="0"/>
    <n v="953639.40454648295"/>
    <n v="0"/>
    <n v="0"/>
    <n v="0"/>
    <n v="953639.40454648295"/>
    <n v="0"/>
    <n v="9.8566322027598599"/>
    <n v="0"/>
    <n v="9.8566322027598599"/>
    <n v="0"/>
    <n v="810593.49386451044"/>
    <n v="0"/>
    <n v="810593.4938645104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72513.10884401842"/>
    <n v="0"/>
    <n v="0"/>
    <n v="0"/>
    <n v="482490.34921714256"/>
    <n v="0"/>
    <n v="0"/>
    <n v="0"/>
    <n v="-109977.24037312414"/>
    <n v="0"/>
    <n v="482490.34921714256"/>
    <n v="0"/>
    <n v="1.7770893958677856"/>
    <n v="1.7770893958677856"/>
    <n v="0"/>
    <n v="0"/>
    <n v="202645.94667119987"/>
    <n v="202645.94667119987"/>
    <n v="0"/>
  </r>
  <r>
    <x v="20"/>
    <x v="10"/>
    <n v="0"/>
    <x v="2"/>
    <s v="Vestdanmark"/>
    <n v="686144.91909286368"/>
    <n v="0"/>
    <n v="0"/>
    <n v="0"/>
    <n v="0"/>
    <n v="0"/>
    <n v="0"/>
    <n v="0"/>
    <n v="686144.91909286368"/>
    <n v="0"/>
    <n v="0"/>
    <n v="0"/>
    <n v="0"/>
    <n v="0"/>
    <n v="0"/>
    <n v="0"/>
    <n v="0"/>
    <n v="0"/>
    <n v="0"/>
  </r>
  <r>
    <x v="21"/>
    <x v="10"/>
    <n v="0"/>
    <x v="2"/>
    <s v="Vestdanmark"/>
    <n v="1457061.1613346946"/>
    <n v="0"/>
    <n v="0"/>
    <n v="128347.79869443661"/>
    <n v="0"/>
    <n v="0"/>
    <n v="0"/>
    <n v="0"/>
    <n v="1328713.3626402579"/>
    <n v="0"/>
    <n v="0"/>
    <n v="0"/>
    <n v="0"/>
    <n v="0"/>
    <n v="0"/>
    <n v="0"/>
    <n v="0"/>
    <n v="0"/>
    <n v="0"/>
  </r>
  <r>
    <x v="22"/>
    <x v="5"/>
    <n v="1"/>
    <x v="2"/>
    <s v="Vestdanmark"/>
    <n v="3920720.3662957777"/>
    <n v="3189422.8658191925"/>
    <n v="0"/>
    <n v="307470.55071854044"/>
    <n v="2778.0605350782976"/>
    <n v="0"/>
    <n v="0"/>
    <n v="0"/>
    <n v="421048.88922296651"/>
    <n v="421048.88922296651"/>
    <n v="2778.0605350782976"/>
    <n v="1.4420334987441694"/>
    <n v="1.4515479671483378"/>
    <n v="9.5144684041682595E-3"/>
    <n v="1.4420334987441694"/>
    <n v="130525.15565911961"/>
    <n v="131386.35442499389"/>
    <n v="861.19876587427223"/>
    <n v="130525.15565911961"/>
  </r>
  <r>
    <x v="23"/>
    <x v="10"/>
    <n v="0"/>
    <x v="2"/>
    <s v="Vestdanmark"/>
    <n v="0"/>
    <n v="0"/>
    <n v="0"/>
    <n v="0"/>
    <n v="0"/>
    <n v="601145.12417380617"/>
    <n v="0"/>
    <n v="0"/>
    <n v="-601145.12417380617"/>
    <n v="0"/>
    <n v="0"/>
    <n v="0"/>
    <n v="0"/>
    <n v="0"/>
    <n v="0"/>
    <n v="0"/>
    <n v="0"/>
    <n v="0"/>
    <n v="0"/>
  </r>
  <r>
    <x v="24"/>
    <x v="2"/>
    <n v="1"/>
    <x v="2"/>
    <s v="Vestdanmark"/>
    <n v="7641243.9015298951"/>
    <n v="0"/>
    <n v="0"/>
    <n v="0"/>
    <n v="6877119.5113769062"/>
    <n v="506232.40847635537"/>
    <n v="0"/>
    <n v="0"/>
    <n v="257891.98167663347"/>
    <n v="257891.98167663347"/>
    <n v="6877119.5113769062"/>
    <n v="0.13054234220489511"/>
    <n v="3.611671467668772"/>
    <n v="3.4811291254638768"/>
    <n v="0.13054234220489525"/>
    <n v="19599.790607424144"/>
    <n v="542260.87347206904"/>
    <n v="522661.08286464488"/>
    <n v="19599.790607424162"/>
  </r>
  <r>
    <x v="25"/>
    <x v="10"/>
    <n v="0"/>
    <x v="2"/>
    <s v="Vestdanmark"/>
    <n v="954530.08204683824"/>
    <n v="819310.63076273911"/>
    <n v="0"/>
    <n v="0"/>
    <n v="0"/>
    <n v="0"/>
    <n v="0"/>
    <n v="0"/>
    <n v="135219.45128409914"/>
    <n v="0"/>
    <n v="0"/>
    <n v="0"/>
    <n v="0"/>
    <n v="0"/>
    <n v="0"/>
    <n v="0"/>
    <n v="0"/>
    <n v="0"/>
    <n v="0"/>
  </r>
  <r>
    <x v="26"/>
    <x v="4"/>
    <n v="1"/>
    <x v="2"/>
    <s v="Vestdanmark"/>
    <n v="3204301.4084430053"/>
    <n v="3060546.68077358"/>
    <n v="0"/>
    <n v="0"/>
    <n v="242163.91618130018"/>
    <n v="0"/>
    <n v="0"/>
    <n v="0"/>
    <n v="-98409.188511874992"/>
    <n v="0"/>
    <n v="242163.91618130018"/>
    <n v="0"/>
    <n v="0.8693684590908678"/>
    <n v="0.8693684590908678"/>
    <n v="0"/>
    <n v="0"/>
    <n v="72649.174854390047"/>
    <n v="72649.174854390047"/>
    <n v="0"/>
  </r>
  <r>
    <x v="27"/>
    <x v="10"/>
    <n v="0"/>
    <x v="2"/>
    <s v="Vestdanmark"/>
    <n v="1841747.6674105611"/>
    <n v="0"/>
    <n v="0"/>
    <n v="490824.54885344987"/>
    <n v="0"/>
    <n v="0"/>
    <n v="0"/>
    <n v="0"/>
    <n v="1350923.118557111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61672.869442609102"/>
    <n v="0"/>
    <n v="0"/>
    <n v="34302.712220301015"/>
    <n v="0"/>
    <n v="0"/>
    <n v="0"/>
    <n v="0"/>
    <n v="27370.157222308088"/>
    <n v="0"/>
    <n v="0"/>
    <n v="0"/>
    <n v="0"/>
    <n v="0"/>
    <n v="0"/>
    <n v="0"/>
    <n v="0"/>
    <n v="0"/>
    <n v="0"/>
  </r>
  <r>
    <x v="30"/>
    <x v="10"/>
    <n v="0"/>
    <x v="2"/>
    <s v="Vestdanmark"/>
    <n v="1022217.4078862639"/>
    <n v="0"/>
    <n v="0"/>
    <n v="0"/>
    <n v="0"/>
    <n v="0"/>
    <n v="0"/>
    <n v="0"/>
    <n v="1022217.4078862639"/>
    <n v="0"/>
    <n v="0"/>
    <n v="0"/>
    <n v="0"/>
    <n v="0"/>
    <n v="0"/>
    <n v="0"/>
    <n v="0"/>
    <n v="0"/>
    <n v="0"/>
  </r>
  <r>
    <x v="31"/>
    <x v="7"/>
    <n v="1"/>
    <x v="2"/>
    <s v="Vestdanmark"/>
    <n v="167353.17803041782"/>
    <n v="0"/>
    <n v="0"/>
    <n v="0"/>
    <n v="0"/>
    <n v="0"/>
    <n v="167353.17803041782"/>
    <n v="0"/>
    <n v="0"/>
    <n v="0"/>
    <n v="167353.17803041782"/>
    <n v="0"/>
    <n v="3.0792984757596873"/>
    <n v="0"/>
    <n v="3.0792984757596873"/>
    <n v="0"/>
    <n v="69451.568882623396"/>
    <n v="0"/>
    <n v="69451.56888262339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2867977.1789306658"/>
    <n v="0"/>
    <n v="0"/>
    <n v="0"/>
    <n v="0"/>
    <n v="0"/>
    <n v="0"/>
    <n v="0"/>
    <n v="2867977.1789306658"/>
    <n v="0"/>
    <n v="0"/>
    <n v="0"/>
    <n v="0"/>
    <n v="0"/>
    <n v="0"/>
    <n v="0"/>
    <n v="0"/>
    <n v="0"/>
    <n v="0"/>
  </r>
  <r>
    <x v="35"/>
    <x v="10"/>
    <n v="0"/>
    <x v="2"/>
    <s v="Vestdanmark"/>
    <n v="601521.71713762206"/>
    <n v="0"/>
    <n v="0"/>
    <n v="0"/>
    <n v="0"/>
    <n v="0"/>
    <n v="0"/>
    <n v="601521.7171376220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300760.85856881103"/>
    <n v="113852.8723007386"/>
    <n v="0"/>
    <n v="0"/>
    <n v="0"/>
    <n v="0"/>
    <n v="0"/>
    <n v="0"/>
    <n v="186907.98626807245"/>
    <n v="0"/>
    <n v="0"/>
    <n v="0"/>
    <n v="0"/>
    <n v="0"/>
    <n v="0"/>
    <n v="0"/>
    <n v="0"/>
    <n v="0"/>
    <n v="0"/>
  </r>
  <r>
    <x v="37"/>
    <x v="9"/>
    <n v="1"/>
    <x v="2"/>
    <s v="Vestdanmark"/>
    <n v="192486.94948403907"/>
    <n v="0"/>
    <n v="0"/>
    <n v="0"/>
    <n v="0"/>
    <n v="0"/>
    <n v="192486.94948403907"/>
    <n v="0"/>
    <n v="0"/>
    <n v="0"/>
    <n v="192486.94948403907"/>
    <n v="0"/>
    <n v="6.7370432319413665"/>
    <n v="0"/>
    <n v="6.7370432319413665"/>
    <n v="0"/>
    <n v="0"/>
    <n v="0"/>
    <n v="0"/>
  </r>
  <r>
    <x v="38"/>
    <x v="4"/>
    <n v="1"/>
    <x v="2"/>
    <s v="Vestdanmark"/>
    <n v="1115035.1111116486"/>
    <n v="471164.6565816346"/>
    <n v="0"/>
    <n v="0"/>
    <n v="21018.886390792875"/>
    <n v="0"/>
    <n v="0"/>
    <n v="0"/>
    <n v="622851.56813922117"/>
    <n v="622851.56813922117"/>
    <n v="21018.886390792875"/>
    <n v="1.6904440699925718"/>
    <n v="1.7474901684126394"/>
    <n v="5.7046098420067498E-2"/>
    <n v="1.6904440699925718"/>
    <n v="124570.31362784424"/>
    <n v="128774.09090600282"/>
    <n v="4203.7772781585754"/>
    <n v="124570.31362784424"/>
  </r>
  <r>
    <x v="39"/>
    <x v="10"/>
    <n v="0"/>
    <x v="2"/>
    <s v="Vestdanmark"/>
    <n v="99547.272105381227"/>
    <n v="0"/>
    <n v="0"/>
    <n v="0"/>
    <n v="0"/>
    <n v="0"/>
    <n v="0"/>
    <n v="0"/>
    <n v="99547.272105381227"/>
    <n v="0"/>
    <n v="0"/>
    <n v="0"/>
    <n v="0"/>
    <n v="0"/>
    <n v="0"/>
    <n v="0"/>
    <n v="0"/>
    <n v="0"/>
    <n v="0"/>
  </r>
  <r>
    <x v="40"/>
    <x v="10"/>
    <n v="0"/>
    <x v="2"/>
    <s v="Vestdanmark"/>
    <n v="63708.16798650907"/>
    <n v="20873.748363999999"/>
    <n v="0"/>
    <n v="0"/>
    <n v="0"/>
    <n v="0"/>
    <n v="0"/>
    <n v="0"/>
    <n v="42834.419622509071"/>
    <n v="0"/>
    <n v="0"/>
    <n v="0"/>
    <n v="0"/>
    <n v="0"/>
    <n v="0"/>
    <n v="0"/>
    <n v="0"/>
    <n v="0"/>
    <n v="0"/>
  </r>
  <r>
    <x v="41"/>
    <x v="1"/>
    <n v="1"/>
    <x v="2"/>
    <s v="Vestdanmark"/>
    <n v="4074032.978134946"/>
    <n v="0"/>
    <n v="0"/>
    <n v="0"/>
    <n v="3666629.6803214513"/>
    <n v="0"/>
    <n v="0"/>
    <n v="0"/>
    <n v="407403.29781349469"/>
    <n v="407403.29781349469"/>
    <n v="3666629.6803214513"/>
    <n v="0.203298319641912"/>
    <n v="2.0329831964191194"/>
    <n v="1.8296848767772076"/>
    <n v="0.20329831964191181"/>
    <n v="24444.197868809679"/>
    <n v="244441.97868809674"/>
    <n v="219997.78081928706"/>
    <n v="24444.197868809686"/>
  </r>
  <r>
    <x v="42"/>
    <x v="2"/>
    <n v="1"/>
    <x v="2"/>
    <s v="Vestdanmark"/>
    <n v="7216145.8837897805"/>
    <n v="0"/>
    <n v="0"/>
    <n v="0"/>
    <n v="6494531.2954108026"/>
    <n v="721614.58837897785"/>
    <n v="0"/>
    <n v="0"/>
    <n v="0"/>
    <n v="0"/>
    <n v="6494531.2954108026"/>
    <n v="0"/>
    <n v="2.7978440820629742"/>
    <n v="2.7978440820629742"/>
    <n v="0"/>
    <n v="0"/>
    <n v="324726.56477054016"/>
    <n v="324726.56477054016"/>
    <n v="0"/>
  </r>
  <r>
    <x v="43"/>
    <x v="10"/>
    <n v="0"/>
    <x v="2"/>
    <s v="Vestdanmark"/>
    <n v="670075.43744177814"/>
    <n v="0"/>
    <n v="0"/>
    <n v="69644.90056848996"/>
    <n v="0"/>
    <n v="0"/>
    <n v="0"/>
    <n v="0"/>
    <n v="600430.53687328822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301188.929717523"/>
    <n v="0"/>
    <n v="0"/>
    <n v="0"/>
    <n v="0"/>
    <n v="0"/>
    <n v="2301188.929717523"/>
    <n v="0"/>
    <n v="0"/>
    <n v="0"/>
    <n v="2301188.929717523"/>
    <n v="0"/>
    <n v="33.352440306562336"/>
    <n v="0"/>
    <n v="33.352440306562336"/>
    <n v="0"/>
    <n v="1138129.6914894583"/>
    <n v="0"/>
    <n v="1138129.6914894583"/>
  </r>
  <r>
    <x v="47"/>
    <x v="10"/>
    <n v="0"/>
    <x v="2"/>
    <s v="Vestdanmark"/>
    <n v="671197.32778518158"/>
    <n v="0"/>
    <n v="0"/>
    <n v="0"/>
    <n v="0"/>
    <n v="0"/>
    <n v="0"/>
    <n v="0"/>
    <n v="671197.32778518158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5537.64414936668"/>
    <n v="5718.282542457694"/>
    <n v="0"/>
    <n v="37612.453499504722"/>
    <n v="0"/>
    <n v="0"/>
    <n v="0"/>
    <n v="0"/>
    <n v="142206.9081074042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3104893.80827114"/>
    <n v="0"/>
    <n v="0"/>
    <n v="0"/>
    <n v="0"/>
    <n v="0"/>
    <n v="133104893.80827114"/>
    <n v="0"/>
    <n v="0"/>
    <n v="0"/>
    <n v="133104893.80827114"/>
    <n v="0"/>
    <n v="0"/>
    <n v="0"/>
    <n v="0"/>
    <n v="0"/>
    <n v="0"/>
    <n v="0"/>
    <n v="0"/>
  </r>
  <r>
    <x v="4"/>
    <x v="10"/>
    <n v="0"/>
    <x v="1"/>
    <s v="Østdanmark"/>
    <n v="4812460.2718073083"/>
    <n v="0"/>
    <n v="0"/>
    <n v="0"/>
    <n v="0"/>
    <n v="3693826.1148101897"/>
    <n v="0"/>
    <n v="0"/>
    <n v="1118634.1569971186"/>
    <n v="0"/>
    <n v="0"/>
    <n v="0"/>
    <n v="0"/>
    <n v="0"/>
    <n v="0"/>
    <n v="0"/>
    <n v="0"/>
    <n v="0"/>
    <n v="0"/>
  </r>
  <r>
    <x v="5"/>
    <x v="1"/>
    <n v="1"/>
    <x v="1"/>
    <s v="Østdanmark"/>
    <n v="292358.62093917595"/>
    <n v="0"/>
    <n v="0"/>
    <n v="0"/>
    <n v="219268.96570438196"/>
    <n v="0"/>
    <n v="0"/>
    <n v="0"/>
    <n v="73089.655234793987"/>
    <n v="73089.655234793987"/>
    <n v="219268.96570438196"/>
    <n v="4.1516830127857875E-2"/>
    <n v="0.1660673205114315"/>
    <n v="0.12455049038357362"/>
    <n v="4.1516830127857882E-2"/>
    <n v="3125.5612533206254"/>
    <n v="12502.245013282502"/>
    <n v="9376.6837599618757"/>
    <n v="3125.5612533206258"/>
  </r>
  <r>
    <x v="6"/>
    <x v="2"/>
    <n v="1"/>
    <x v="1"/>
    <s v="Østdanmark"/>
    <n v="272382.94042340637"/>
    <n v="0"/>
    <n v="0"/>
    <n v="0"/>
    <n v="204287.20531755476"/>
    <n v="25779.099718643818"/>
    <n v="0"/>
    <n v="0"/>
    <n v="42316.635387207789"/>
    <n v="42316.635387207789"/>
    <n v="204287.20531755476"/>
    <n v="9.1150032624045585E-2"/>
    <n v="0.53118467287805848"/>
    <n v="0.44003464025401295"/>
    <n v="9.1150032624045529E-2"/>
    <n v="12694.990616162337"/>
    <n v="73981.152211428765"/>
    <n v="61286.161595266429"/>
    <n v="12694.990616162337"/>
  </r>
  <r>
    <x v="7"/>
    <x v="10"/>
    <n v="0"/>
    <x v="1"/>
    <s v="Østdanmark"/>
    <n v="205919.32963053533"/>
    <n v="200219.97697680999"/>
    <n v="0"/>
    <n v="0"/>
    <n v="0"/>
    <n v="0"/>
    <n v="0"/>
    <n v="0"/>
    <n v="5699.3526537253347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32.53822154679034"/>
    <n v="0"/>
    <n v="0"/>
    <n v="42.512259741423236"/>
    <n v="42.512259741423236"/>
    <n v="525.15144386464101"/>
    <n v="1.9993090633793934E-5"/>
    <n v="2.6696656316889595E-4"/>
    <n v="2.4697347253510203E-4"/>
    <n v="1.9993090633793923E-5"/>
    <n v="2.6782723637096639"/>
    <n v="35.762813327182045"/>
    <n v="33.084540963472385"/>
    <n v="2.6782723637096595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</r>
  <r>
    <x v="11"/>
    <x v="10"/>
    <n v="0"/>
    <x v="1"/>
    <s v="Østdanmark"/>
    <n v="22827.041283233735"/>
    <n v="0"/>
    <n v="0"/>
    <n v="223323.94265330929"/>
    <n v="0"/>
    <n v="0"/>
    <n v="0"/>
    <n v="0"/>
    <n v="-200496.9013700755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830672.7259070398"/>
    <n v="1147235.5526749862"/>
    <n v="0"/>
    <n v="0"/>
    <n v="19630.42610089339"/>
    <n v="0"/>
    <n v="0"/>
    <n v="598295.9106759713"/>
    <n v="2065510.8364551889"/>
    <n v="514637.88978790143"/>
    <n v="19630.42610089339"/>
    <n v="0.94686938747351523"/>
    <n v="0.98298691769589641"/>
    <n v="3.6117530222381226E-2"/>
    <n v="0.94686938747351523"/>
    <n v="144098.60914061242"/>
    <n v="149595.12844886258"/>
    <n v="5496.5193082501501"/>
    <n v="144098.60914061242"/>
  </r>
  <r>
    <x v="14"/>
    <x v="10"/>
    <n v="0"/>
    <x v="1"/>
    <s v="Østdanmark"/>
    <n v="100017.96010626001"/>
    <n v="100017.960106260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22573.44646679725"/>
    <n v="0"/>
    <n v="0"/>
    <n v="233902.44520004498"/>
    <n v="0"/>
    <n v="0"/>
    <n v="0"/>
    <n v="0"/>
    <n v="-111328.99873324773"/>
    <n v="0"/>
    <n v="0"/>
    <n v="0"/>
    <n v="0"/>
    <n v="0"/>
    <n v="0"/>
    <n v="0"/>
    <n v="0"/>
    <n v="0"/>
    <n v="0"/>
  </r>
  <r>
    <x v="16"/>
    <x v="5"/>
    <n v="1"/>
    <x v="1"/>
    <s v="Østdanmark"/>
    <n v="684425.33771835396"/>
    <n v="71716.212427048929"/>
    <n v="77920.551603575906"/>
    <n v="0"/>
    <n v="0"/>
    <n v="0"/>
    <n v="534788.57368772908"/>
    <n v="0"/>
    <n v="0"/>
    <n v="0"/>
    <n v="534788.57368772908"/>
    <n v="0"/>
    <n v="5.527471130018256"/>
    <n v="0"/>
    <n v="5.527471130018256"/>
    <n v="0"/>
    <n v="454570.28763456969"/>
    <n v="0"/>
    <n v="454570.28763456969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4046.46530890666"/>
    <n v="0"/>
    <n v="0"/>
    <n v="0"/>
    <n v="219104.13289704846"/>
    <n v="0"/>
    <n v="0"/>
    <n v="0"/>
    <n v="-25057.667588141805"/>
    <n v="0"/>
    <n v="219104.13289704846"/>
    <n v="0"/>
    <n v="0.80699568767315955"/>
    <n v="0.80699568767315955"/>
    <n v="0"/>
    <n v="0"/>
    <n v="92023.735816760352"/>
    <n v="92023.735816760352"/>
    <n v="0"/>
  </r>
  <r>
    <x v="20"/>
    <x v="10"/>
    <n v="0"/>
    <x v="1"/>
    <s v="Østdanmark"/>
    <n v="268357.16269202955"/>
    <n v="0"/>
    <n v="0"/>
    <n v="0"/>
    <n v="0"/>
    <n v="0"/>
    <n v="0"/>
    <n v="0"/>
    <n v="268357.16269202955"/>
    <n v="0"/>
    <n v="0"/>
    <n v="0"/>
    <n v="0"/>
    <n v="0"/>
    <n v="0"/>
    <n v="0"/>
    <n v="0"/>
    <n v="0"/>
    <n v="0"/>
  </r>
  <r>
    <x v="21"/>
    <x v="10"/>
    <n v="0"/>
    <x v="1"/>
    <s v="Østdanmark"/>
    <n v="567494.30742817745"/>
    <n v="0"/>
    <n v="0"/>
    <n v="106960.41463921656"/>
    <n v="0"/>
    <n v="0"/>
    <n v="0"/>
    <n v="0"/>
    <n v="460533.89278896089"/>
    <n v="0"/>
    <n v="0"/>
    <n v="0"/>
    <n v="0"/>
    <n v="0"/>
    <n v="0"/>
    <n v="0"/>
    <n v="0"/>
    <n v="0"/>
    <n v="0"/>
  </r>
  <r>
    <x v="22"/>
    <x v="5"/>
    <n v="1"/>
    <x v="1"/>
    <s v="Østdanmark"/>
    <n v="1541299.6719009152"/>
    <n v="550714.69493164914"/>
    <n v="0"/>
    <n v="256234.83946537593"/>
    <n v="914.88861421207764"/>
    <n v="0"/>
    <n v="0"/>
    <n v="0"/>
    <n v="733435.24888967804"/>
    <n v="733435.24888967804"/>
    <n v="914.88861421207764"/>
    <n v="2.5119130465123032"/>
    <n v="2.5150464119315736"/>
    <n v="3.1333654192703766E-3"/>
    <n v="2.5119130465123032"/>
    <n v="227364.92715580019"/>
    <n v="227648.54262620592"/>
    <n v="283.61547040574408"/>
    <n v="227364.92715580016"/>
  </r>
  <r>
    <x v="23"/>
    <x v="10"/>
    <n v="0"/>
    <x v="1"/>
    <s v="Østdanmark"/>
    <n v="0"/>
    <n v="0"/>
    <n v="0"/>
    <n v="0"/>
    <n v="0"/>
    <n v="299171.09031254635"/>
    <n v="0"/>
    <n v="0"/>
    <n v="-299171.0903125463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53673.50359972543"/>
    <n v="122269.5653782727"/>
    <n v="0"/>
    <n v="0"/>
    <n v="62288.269154969137"/>
    <n v="62288.269154969137"/>
    <n v="553673.50359972543"/>
    <n v="3.1529698963553829E-2"/>
    <n v="0.31179368975069888"/>
    <n v="0.28026399078714503"/>
    <n v="3.1529698963553843E-2"/>
    <n v="4733.9084557776541"/>
    <n v="46813.094729356788"/>
    <n v="42079.186273579129"/>
    <n v="4733.9084557776587"/>
  </r>
  <r>
    <x v="25"/>
    <x v="10"/>
    <n v="0"/>
    <x v="1"/>
    <s v="Østdanmark"/>
    <n v="92168.427114874314"/>
    <n v="141469.60847064349"/>
    <n v="0"/>
    <n v="0"/>
    <n v="0"/>
    <n v="0"/>
    <n v="0"/>
    <n v="0"/>
    <n v="-49301.181355769178"/>
    <n v="0"/>
    <n v="0"/>
    <n v="0"/>
    <n v="0"/>
    <n v="0"/>
    <n v="0"/>
    <n v="0"/>
    <n v="0"/>
    <n v="0"/>
    <n v="0"/>
  </r>
  <r>
    <x v="26"/>
    <x v="4"/>
    <n v="1"/>
    <x v="1"/>
    <s v="Østdanmark"/>
    <n v="1235469.8186668158"/>
    <n v="528461.76331446774"/>
    <n v="0"/>
    <n v="0"/>
    <n v="77483.083213312464"/>
    <n v="0"/>
    <n v="0"/>
    <n v="0"/>
    <n v="629524.97213903558"/>
    <n v="52304.337322308449"/>
    <n v="77483.083213312464"/>
    <n v="0.18777257098708736"/>
    <n v="0.46593683972287914"/>
    <n v="0.27816426873579175"/>
    <n v="0.18777257098708738"/>
    <n v="15691.301196692533"/>
    <n v="38936.226160686274"/>
    <n v="23244.924963993737"/>
    <n v="15691.301196692537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02071.35668050894"/>
    <n v="0"/>
    <n v="0"/>
    <n v="0"/>
    <n v="0"/>
    <n v="0"/>
    <n v="0"/>
    <n v="0"/>
    <n v="402071.35668050894"/>
    <n v="0"/>
    <n v="0"/>
    <n v="0"/>
    <n v="0"/>
    <n v="0"/>
    <n v="0"/>
    <n v="0"/>
    <n v="0"/>
    <n v="0"/>
    <n v="0"/>
  </r>
  <r>
    <x v="31"/>
    <x v="7"/>
    <n v="1"/>
    <x v="1"/>
    <s v="Østdanmark"/>
    <n v="66921.012385379698"/>
    <n v="0"/>
    <n v="0"/>
    <n v="0"/>
    <n v="0"/>
    <n v="0"/>
    <n v="66921.012385379698"/>
    <n v="0"/>
    <n v="0"/>
    <n v="0"/>
    <n v="66921.012385379698"/>
    <n v="0"/>
    <n v="1.2313466278909861"/>
    <n v="0"/>
    <n v="1.2313466278909861"/>
    <n v="0"/>
    <n v="27772.220139932579"/>
    <n v="0"/>
    <n v="27772.22013993257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35557.19695784606"/>
    <n v="0"/>
    <n v="0"/>
    <n v="0"/>
    <n v="0"/>
    <n v="0"/>
    <n v="0"/>
    <n v="235557.1969578460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17778.59847892303"/>
    <n v="19658.870107237683"/>
    <n v="0"/>
    <n v="0"/>
    <n v="0"/>
    <n v="0"/>
    <n v="0"/>
    <n v="0"/>
    <n v="98119.728371685342"/>
    <n v="0"/>
    <n v="0"/>
    <n v="0"/>
    <n v="0"/>
    <n v="0"/>
    <n v="0"/>
    <n v="0"/>
    <n v="0"/>
    <n v="0"/>
    <n v="0"/>
  </r>
  <r>
    <x v="37"/>
    <x v="9"/>
    <n v="1"/>
    <x v="1"/>
    <s v="Østdanmark"/>
    <n v="75378.303026510737"/>
    <n v="0"/>
    <n v="0"/>
    <n v="0"/>
    <n v="0"/>
    <n v="0"/>
    <n v="75378.303026510737"/>
    <n v="0"/>
    <n v="0"/>
    <n v="0"/>
    <n v="75378.303026510737"/>
    <n v="0"/>
    <n v="2.6382406059278756"/>
    <n v="0"/>
    <n v="2.6382406059278756"/>
    <n v="0"/>
    <n v="0"/>
    <n v="0"/>
    <n v="0"/>
  </r>
  <r>
    <x v="38"/>
    <x v="4"/>
    <n v="1"/>
    <x v="1"/>
    <s v="Østdanmark"/>
    <n v="441450.20412922179"/>
    <n v="81355.565263148092"/>
    <n v="0"/>
    <n v="0"/>
    <n v="7122.3332592263878"/>
    <n v="0"/>
    <n v="0"/>
    <n v="0"/>
    <n v="352972.30560684728"/>
    <n v="352972.30560684728"/>
    <n v="7122.3332592263878"/>
    <n v="0.95798095630920777"/>
    <n v="0.97731125366807858"/>
    <n v="1.9330297358870787E-2"/>
    <n v="0.95798095630920777"/>
    <n v="70594.461121369459"/>
    <n v="72018.927773214746"/>
    <n v="1424.4666518452777"/>
    <n v="70594.461121369473"/>
  </r>
  <r>
    <x v="39"/>
    <x v="10"/>
    <n v="0"/>
    <x v="1"/>
    <s v="Østdanmark"/>
    <n v="17150.132696154993"/>
    <n v="0"/>
    <n v="0"/>
    <n v="0"/>
    <n v="0"/>
    <n v="0"/>
    <n v="0"/>
    <n v="0"/>
    <n v="17150.132696154993"/>
    <n v="0"/>
    <n v="0"/>
    <n v="0"/>
    <n v="0"/>
    <n v="0"/>
    <n v="0"/>
    <n v="0"/>
    <n v="0"/>
    <n v="0"/>
    <n v="0"/>
  </r>
  <r>
    <x v="40"/>
    <x v="10"/>
    <n v="0"/>
    <x v="1"/>
    <s v="Østdanmark"/>
    <n v="13741.973573647057"/>
    <n v="3604.250814640001"/>
    <n v="0"/>
    <n v="0"/>
    <n v="0"/>
    <n v="0"/>
    <n v="0"/>
    <n v="0"/>
    <n v="10137.722759007056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2506742.4639529102"/>
    <n v="0"/>
    <n v="0"/>
    <n v="0"/>
    <n v="835580.82131763641"/>
    <n v="835580.82131763641"/>
    <n v="2506742.4639529102"/>
    <n v="0.41696318564571383"/>
    <n v="1.6678527425828558"/>
    <n v="1.2508895569371419"/>
    <n v="0.41696318564571389"/>
    <n v="50134.84927905818"/>
    <n v="200539.39711623278"/>
    <n v="150404.54783717461"/>
    <n v="50134.849279058166"/>
  </r>
  <r>
    <x v="42"/>
    <x v="2"/>
    <n v="1"/>
    <x v="1"/>
    <s v="Østdanmark"/>
    <n v="1638224.8785321345"/>
    <n v="0"/>
    <n v="0"/>
    <n v="0"/>
    <n v="1228668.658899101"/>
    <n v="409556.21963303362"/>
    <n v="0"/>
    <n v="0"/>
    <n v="0"/>
    <n v="0"/>
    <n v="1228668.658899101"/>
    <n v="0"/>
    <n v="0.5293104582537328"/>
    <n v="0.5293104582537328"/>
    <n v="0"/>
    <n v="0"/>
    <n v="61433.43294495505"/>
    <n v="61433.43294495505"/>
    <n v="0"/>
  </r>
  <r>
    <x v="43"/>
    <x v="10"/>
    <n v="0"/>
    <x v="1"/>
    <s v="Østdanmark"/>
    <n v="149752.58402122525"/>
    <n v="0"/>
    <n v="0"/>
    <n v="84421.151879638346"/>
    <n v="0"/>
    <n v="0"/>
    <n v="0"/>
    <n v="0"/>
    <n v="65331.432141586905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355.98293935158"/>
    <n v="0"/>
    <n v="0"/>
    <n v="0"/>
    <n v="0"/>
    <n v="0"/>
    <n v="647355.98293935158"/>
    <n v="0"/>
    <n v="0"/>
    <n v="0"/>
    <n v="647355.98293935158"/>
    <n v="0"/>
    <n v="9.3824985420606239"/>
    <n v="0"/>
    <n v="9.3824985420606239"/>
    <n v="0"/>
    <n v="320171.47989542095"/>
    <n v="0"/>
    <n v="320171.47989542095"/>
  </r>
  <r>
    <x v="47"/>
    <x v="10"/>
    <n v="0"/>
    <x v="1"/>
    <s v="Østdanmark"/>
    <n v="178138.28255074998"/>
    <n v="0"/>
    <n v="0"/>
    <n v="0"/>
    <n v="0"/>
    <n v="0"/>
    <n v="0"/>
    <n v="0"/>
    <n v="178138.28255074998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172969.00798479689"/>
    <n v="3942.6753668076931"/>
    <n v="0"/>
    <n v="88596.006060305852"/>
    <n v="0"/>
    <n v="0"/>
    <n v="0"/>
    <n v="0"/>
    <n v="80430.32655768333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9136693.06427222"/>
    <n v="0"/>
    <n v="0"/>
    <n v="0"/>
    <n v="0"/>
    <n v="0"/>
    <n v="139136693.06427222"/>
    <n v="0"/>
    <n v="0"/>
    <n v="0"/>
    <n v="139136693.06427222"/>
    <n v="0"/>
    <n v="0"/>
    <n v="0"/>
    <n v="0"/>
    <n v="0"/>
    <n v="0"/>
    <n v="0"/>
    <n v="0"/>
  </r>
  <r>
    <x v="4"/>
    <x v="10"/>
    <n v="0"/>
    <x v="2"/>
    <s v="Østdanmark"/>
    <n v="5052646.7653582999"/>
    <n v="0"/>
    <n v="0"/>
    <n v="0"/>
    <n v="0"/>
    <n v="3460511.9226035657"/>
    <n v="0"/>
    <n v="0"/>
    <n v="1592134.8427547342"/>
    <n v="0"/>
    <n v="0"/>
    <n v="0"/>
    <n v="0"/>
    <n v="0"/>
    <n v="0"/>
    <n v="0"/>
    <n v="0"/>
    <n v="0"/>
    <n v="0"/>
  </r>
  <r>
    <x v="5"/>
    <x v="1"/>
    <n v="1"/>
    <x v="2"/>
    <s v="Østdanmark"/>
    <n v="201577.15616398031"/>
    <n v="0"/>
    <n v="0"/>
    <n v="0"/>
    <n v="181419.44054758229"/>
    <n v="0"/>
    <n v="0"/>
    <n v="0"/>
    <n v="20157.715616398025"/>
    <n v="20157.715616398025"/>
    <n v="181419.44054758229"/>
    <n v="1.1450108121638393E-2"/>
    <n v="0.11450108121638396"/>
    <n v="0.10305097309474556"/>
    <n v="1.1450108121638394E-2"/>
    <n v="862.01220519749984"/>
    <n v="8620.1220519750004"/>
    <n v="7758.1098467775009"/>
    <n v="862.0122051974995"/>
  </r>
  <r>
    <x v="6"/>
    <x v="2"/>
    <n v="1"/>
    <x v="2"/>
    <s v="Østdanmark"/>
    <n v="195972.35856769816"/>
    <n v="0"/>
    <n v="0"/>
    <n v="0"/>
    <n v="176375.12271092835"/>
    <n v="7418.9535743485703"/>
    <n v="0"/>
    <n v="0"/>
    <n v="12178.282282421249"/>
    <n v="12178.282282421249"/>
    <n v="176375.12271092835"/>
    <n v="2.623202003633537E-2"/>
    <n v="0.40614403435567503"/>
    <n v="0.37991201431933969"/>
    <n v="2.6232020036335346E-2"/>
    <n v="3653.4846847263748"/>
    <n v="56566.021498004877"/>
    <n v="52912.536813278501"/>
    <n v="3653.4846847263761"/>
  </r>
  <r>
    <x v="7"/>
    <x v="10"/>
    <n v="0"/>
    <x v="2"/>
    <s v="Østdanmark"/>
    <n v="141978.48085605886"/>
    <n v="138048.85738122172"/>
    <n v="0"/>
    <n v="0"/>
    <n v="0"/>
    <n v="0"/>
    <n v="0"/>
    <n v="0"/>
    <n v="3929.6234748371353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</r>
  <r>
    <x v="9"/>
    <x v="10"/>
    <n v="0"/>
    <x v="2"/>
    <s v="Østdanmark"/>
    <n v="14575.114892812006"/>
    <n v="0"/>
    <n v="0"/>
    <n v="17596.15120364408"/>
    <n v="0"/>
    <n v="0"/>
    <n v="0"/>
    <n v="0"/>
    <n v="-3021.0363108320744"/>
    <n v="0"/>
    <n v="0"/>
    <n v="0"/>
    <n v="0"/>
    <n v="0"/>
    <n v="0"/>
    <n v="0"/>
    <n v="0"/>
    <n v="0"/>
    <n v="0"/>
  </r>
  <r>
    <x v="10"/>
    <x v="10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</r>
  <r>
    <x v="11"/>
    <x v="10"/>
    <n v="0"/>
    <x v="2"/>
    <s v="Østdanmark"/>
    <n v="21135.685502875454"/>
    <n v="0"/>
    <n v="0"/>
    <n v="233795.01599247381"/>
    <n v="0"/>
    <n v="0"/>
    <n v="0"/>
    <n v="0"/>
    <n v="-212659.3304895983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533955.982275791"/>
    <n v="791002.77397514437"/>
    <n v="0"/>
    <n v="0"/>
    <n v="22809.516280488293"/>
    <n v="0"/>
    <n v="0"/>
    <n v="412516.61343583919"/>
    <n v="2307627.078584319"/>
    <n v="1875918.1983914766"/>
    <n v="22809.516280488293"/>
    <n v="3.4514549952655185"/>
    <n v="3.4934216540320819"/>
    <n v="4.19666587665634E-2"/>
    <n v="3.4514549952655185"/>
    <n v="525257.09554961347"/>
    <n v="531643.76010815019"/>
    <n v="6386.6645585367223"/>
    <n v="525257.09554961347"/>
  </r>
  <r>
    <x v="14"/>
    <x v="10"/>
    <n v="0"/>
    <x v="2"/>
    <s v="Østdanmark"/>
    <n v="68960.976415800003"/>
    <n v="68960.976415800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14043.64550146319"/>
    <n v="0"/>
    <n v="0"/>
    <n v="244869.51675001203"/>
    <n v="0"/>
    <n v="0"/>
    <n v="0"/>
    <n v="0"/>
    <n v="-130825.87124854884"/>
    <n v="0"/>
    <n v="0"/>
    <n v="0"/>
    <n v="0"/>
    <n v="0"/>
    <n v="0"/>
    <n v="0"/>
    <n v="0"/>
    <n v="0"/>
    <n v="0"/>
  </r>
  <r>
    <x v="16"/>
    <x v="5"/>
    <n v="1"/>
    <x v="2"/>
    <s v="Østdanmark"/>
    <n v="630610.47583601228"/>
    <n v="49447.319546988874"/>
    <n v="52105.736853839095"/>
    <n v="0"/>
    <n v="0"/>
    <n v="0"/>
    <n v="529057.41943518422"/>
    <n v="0"/>
    <n v="0"/>
    <n v="0"/>
    <n v="529057.41943518422"/>
    <n v="0"/>
    <n v="5.4682350295642461"/>
    <n v="0"/>
    <n v="5.4682350295642461"/>
    <n v="0"/>
    <n v="449698.80651990656"/>
    <n v="0"/>
    <n v="449698.8065199065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5713.38946982374"/>
    <n v="0"/>
    <n v="0"/>
    <n v="0"/>
    <n v="240541.65078285753"/>
    <n v="0"/>
    <n v="0"/>
    <n v="0"/>
    <n v="-54828.261313033785"/>
    <n v="0"/>
    <n v="240541.65078285753"/>
    <n v="0"/>
    <n v="0.88595350676821505"/>
    <n v="0.88595350676821505"/>
    <n v="0"/>
    <n v="0"/>
    <n v="101027.49332880016"/>
    <n v="101027.49332880016"/>
    <n v="0"/>
  </r>
  <r>
    <x v="20"/>
    <x v="10"/>
    <n v="0"/>
    <x v="2"/>
    <s v="Østdanmark"/>
    <n v="248947.97885223315"/>
    <n v="0"/>
    <n v="0"/>
    <n v="0"/>
    <n v="0"/>
    <n v="0"/>
    <n v="0"/>
    <n v="0"/>
    <n v="248947.97885223315"/>
    <n v="0"/>
    <n v="0"/>
    <n v="0"/>
    <n v="0"/>
    <n v="0"/>
    <n v="0"/>
    <n v="0"/>
    <n v="0"/>
    <n v="0"/>
    <n v="0"/>
  </r>
  <r>
    <x v="21"/>
    <x v="10"/>
    <n v="0"/>
    <x v="2"/>
    <s v="Østdanmark"/>
    <n v="528652.13279396389"/>
    <n v="0"/>
    <n v="0"/>
    <n v="111975.50765955324"/>
    <n v="0"/>
    <n v="0"/>
    <n v="0"/>
    <n v="0"/>
    <n v="416676.62513441063"/>
    <n v="0"/>
    <n v="0"/>
    <n v="0"/>
    <n v="0"/>
    <n v="0"/>
    <n v="0"/>
    <n v="0"/>
    <n v="0"/>
    <n v="0"/>
    <n v="0"/>
  </r>
  <r>
    <x v="22"/>
    <x v="5"/>
    <n v="1"/>
    <x v="2"/>
    <s v="Østdanmark"/>
    <n v="1422520.7615932694"/>
    <n v="379710.03456447175"/>
    <n v="0"/>
    <n v="268249.01834925939"/>
    <n v="1007.9394649217019"/>
    <n v="0"/>
    <n v="0"/>
    <n v="0"/>
    <n v="773553.76921461651"/>
    <n v="773553.76921461651"/>
    <n v="1007.9394649217019"/>
    <n v="2.6493133620323719"/>
    <n v="2.6527654135882037"/>
    <n v="3.4520515558317407E-3"/>
    <n v="2.6493133620323719"/>
    <n v="239801.66845653113"/>
    <n v="240114.12969065685"/>
    <n v="312.46123412572757"/>
    <n v="239801.66845653113"/>
  </r>
  <r>
    <x v="23"/>
    <x v="10"/>
    <n v="0"/>
    <x v="2"/>
    <s v="Østdanmark"/>
    <n v="0"/>
    <n v="0"/>
    <n v="0"/>
    <n v="0"/>
    <n v="0"/>
    <n v="290582.47430971975"/>
    <n v="0"/>
    <n v="0"/>
    <n v="-290582.47430971975"/>
    <n v="0"/>
    <n v="0"/>
    <n v="0"/>
    <n v="0"/>
    <n v="0"/>
    <n v="0"/>
    <n v="0"/>
    <n v="0"/>
    <n v="0"/>
    <n v="0"/>
  </r>
  <r>
    <x v="24"/>
    <x v="2"/>
    <n v="1"/>
    <x v="2"/>
    <s v="Østdanmark"/>
    <n v="543093.8440394944"/>
    <n v="0"/>
    <n v="0"/>
    <n v="0"/>
    <n v="488784.45963554498"/>
    <n v="35979.967167616494"/>
    <n v="0"/>
    <n v="0"/>
    <n v="18329.417236332898"/>
    <n v="18329.417236332898"/>
    <n v="488784.45963554498"/>
    <n v="9.2781677108593509E-3"/>
    <n v="0.25669597333377592"/>
    <n v="0.24741780562291654"/>
    <n v="9.2781677108593752E-3"/>
    <n v="1393.0357099613002"/>
    <n v="38540.654642262714"/>
    <n v="37147.618932301419"/>
    <n v="1393.0357099612957"/>
  </r>
  <r>
    <x v="25"/>
    <x v="10"/>
    <n v="0"/>
    <x v="2"/>
    <s v="Østdanmark"/>
    <n v="67842.280418029826"/>
    <n v="97541.304810973612"/>
    <n v="0"/>
    <n v="0"/>
    <n v="0"/>
    <n v="0"/>
    <n v="0"/>
    <n v="0"/>
    <n v="-29699.024392943786"/>
    <n v="0"/>
    <n v="0"/>
    <n v="0"/>
    <n v="0"/>
    <n v="0"/>
    <n v="0"/>
    <n v="0"/>
    <n v="0"/>
    <n v="0"/>
    <n v="0"/>
  </r>
  <r>
    <x v="26"/>
    <x v="4"/>
    <n v="1"/>
    <x v="2"/>
    <s v="Østdanmark"/>
    <n v="1162586.9095964739"/>
    <n v="364366.95127418567"/>
    <n v="0"/>
    <n v="0"/>
    <n v="87862.083818699844"/>
    <n v="0"/>
    <n v="0"/>
    <n v="0"/>
    <n v="710357.87450358842"/>
    <n v="611948.68599171343"/>
    <n v="87862.083818699844"/>
    <n v="2.1968957827102513"/>
    <n v="2.5123206636193838"/>
    <n v="0.31542488090913245"/>
    <n v="2.1968957827102513"/>
    <n v="183584.60579751403"/>
    <n v="209943.23094312396"/>
    <n v="26358.625145609953"/>
    <n v="183584.605797514"/>
  </r>
  <r>
    <x v="27"/>
    <x v="10"/>
    <n v="0"/>
    <x v="2"/>
    <s v="Østdanmark"/>
    <n v="130900.39178627841"/>
    <n v="0"/>
    <n v="0"/>
    <n v="428214.02929147833"/>
    <n v="0"/>
    <n v="0"/>
    <n v="0"/>
    <n v="0"/>
    <n v="-297313.63750519993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4383.3381279488276"/>
    <n v="0"/>
    <n v="0"/>
    <n v="29926.992547120819"/>
    <n v="0"/>
    <n v="0"/>
    <n v="0"/>
    <n v="0"/>
    <n v="-25543.654419171991"/>
    <n v="0"/>
    <n v="0"/>
    <n v="0"/>
    <n v="0"/>
    <n v="0"/>
    <n v="0"/>
    <n v="0"/>
    <n v="0"/>
    <n v="0"/>
    <n v="0"/>
  </r>
  <r>
    <x v="30"/>
    <x v="10"/>
    <n v="0"/>
    <x v="2"/>
    <s v="Østdanmark"/>
    <n v="370882.10534501984"/>
    <n v="0"/>
    <n v="0"/>
    <n v="0"/>
    <n v="0"/>
    <n v="0"/>
    <n v="0"/>
    <n v="0"/>
    <n v="370882.10534501984"/>
    <n v="0"/>
    <n v="0"/>
    <n v="0"/>
    <n v="0"/>
    <n v="0"/>
    <n v="0"/>
    <n v="0"/>
    <n v="0"/>
    <n v="0"/>
    <n v="0"/>
  </r>
  <r>
    <x v="31"/>
    <x v="7"/>
    <n v="1"/>
    <x v="2"/>
    <s v="Østdanmark"/>
    <n v="60719.109564821476"/>
    <n v="0"/>
    <n v="0"/>
    <n v="0"/>
    <n v="0"/>
    <n v="0"/>
    <n v="60719.109564821476"/>
    <n v="0"/>
    <n v="0"/>
    <n v="0"/>
    <n v="60719.109564821476"/>
    <n v="0"/>
    <n v="1.1172316159927149"/>
    <n v="0"/>
    <n v="1.1172316159927149"/>
    <n v="0"/>
    <n v="25198.430469400915"/>
    <n v="0"/>
    <n v="25198.43046940091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03838.63815826486"/>
    <n v="0"/>
    <n v="0"/>
    <n v="0"/>
    <n v="0"/>
    <n v="0"/>
    <n v="0"/>
    <n v="0"/>
    <n v="203838.63815826486"/>
    <n v="0"/>
    <n v="0"/>
    <n v="0"/>
    <n v="0"/>
    <n v="0"/>
    <n v="0"/>
    <n v="0"/>
    <n v="0"/>
    <n v="0"/>
    <n v="0"/>
  </r>
  <r>
    <x v="35"/>
    <x v="10"/>
    <n v="0"/>
    <x v="2"/>
    <s v="Østdanmark"/>
    <n v="218245.06049109949"/>
    <n v="0"/>
    <n v="0"/>
    <n v="0"/>
    <n v="0"/>
    <n v="0"/>
    <n v="0"/>
    <n v="218245.0604910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9122.53024554974"/>
    <n v="13554.514373080499"/>
    <n v="0"/>
    <n v="0"/>
    <n v="0"/>
    <n v="0"/>
    <n v="0"/>
    <n v="0"/>
    <n v="95568.015872469245"/>
    <n v="0"/>
    <n v="0"/>
    <n v="0"/>
    <n v="0"/>
    <n v="0"/>
    <n v="0"/>
    <n v="0"/>
    <n v="0"/>
    <n v="0"/>
    <n v="0"/>
  </r>
  <r>
    <x v="37"/>
    <x v="9"/>
    <n v="1"/>
    <x v="2"/>
    <s v="Østdanmark"/>
    <n v="69838.419357151841"/>
    <n v="0"/>
    <n v="0"/>
    <n v="0"/>
    <n v="0"/>
    <n v="0"/>
    <n v="69838.419357151841"/>
    <n v="0"/>
    <n v="0"/>
    <n v="0"/>
    <n v="69838.419357151841"/>
    <n v="0"/>
    <n v="2.4443446775003141"/>
    <n v="0"/>
    <n v="2.4443446775003141"/>
    <n v="0"/>
    <n v="0"/>
    <n v="0"/>
    <n v="0"/>
  </r>
  <r>
    <x v="38"/>
    <x v="4"/>
    <n v="1"/>
    <x v="2"/>
    <s v="Østdanmark"/>
    <n v="404559.22723466193"/>
    <n v="56093.517718673087"/>
    <n v="0"/>
    <n v="0"/>
    <n v="7626.113609207122"/>
    <n v="0"/>
    <n v="0"/>
    <n v="0"/>
    <n v="340839.59590678173"/>
    <n v="340839.59590678173"/>
    <n v="7626.113609207122"/>
    <n v="0.92505229687484192"/>
    <n v="0.94574987425477441"/>
    <n v="2.0697577379932497E-2"/>
    <n v="0.92505229687484192"/>
    <n v="68167.919181356352"/>
    <n v="69693.141903197771"/>
    <n v="1525.2227218414246"/>
    <n v="68167.919181356352"/>
  </r>
  <r>
    <x v="39"/>
    <x v="10"/>
    <n v="0"/>
    <x v="2"/>
    <s v="Østdanmark"/>
    <n v="11428.212399077393"/>
    <n v="0"/>
    <n v="0"/>
    <n v="0"/>
    <n v="0"/>
    <n v="0"/>
    <n v="0"/>
    <n v="0"/>
    <n v="11428.212399077393"/>
    <n v="0"/>
    <n v="0"/>
    <n v="0"/>
    <n v="0"/>
    <n v="0"/>
    <n v="0"/>
    <n v="0"/>
    <n v="0"/>
    <n v="0"/>
    <n v="0"/>
  </r>
  <r>
    <x v="40"/>
    <x v="10"/>
    <n v="0"/>
    <x v="2"/>
    <s v="Østdanmark"/>
    <n v="8939.6567067551059"/>
    <n v="2485.0802312000001"/>
    <n v="0"/>
    <n v="0"/>
    <n v="0"/>
    <n v="0"/>
    <n v="0"/>
    <n v="0"/>
    <n v="6454.5764755551063"/>
    <n v="0"/>
    <n v="0"/>
    <n v="0"/>
    <n v="0"/>
    <n v="0"/>
    <n v="0"/>
    <n v="0"/>
    <n v="0"/>
    <n v="0"/>
    <n v="0"/>
  </r>
  <r>
    <x v="41"/>
    <x v="1"/>
    <n v="1"/>
    <x v="2"/>
    <s v="Østdanmark"/>
    <n v="3496884.1812019288"/>
    <n v="0"/>
    <n v="0"/>
    <n v="0"/>
    <n v="3147195.7630817359"/>
    <n v="0"/>
    <n v="0"/>
    <n v="0"/>
    <n v="349688.41812019283"/>
    <n v="349688.41812019283"/>
    <n v="3147195.7630817359"/>
    <n v="0.17449801752615746"/>
    <n v="1.7449801752615748"/>
    <n v="1.5704821577354173"/>
    <n v="0.17449801752615746"/>
    <n v="20981.305087211567"/>
    <n v="209813.05087211571"/>
    <n v="188831.74578490414"/>
    <n v="20981.305087211571"/>
  </r>
  <r>
    <x v="42"/>
    <x v="2"/>
    <n v="1"/>
    <x v="2"/>
    <s v="Østdanmark"/>
    <n v="1045598.7208186348"/>
    <n v="0"/>
    <n v="0"/>
    <n v="0"/>
    <n v="941038.84873677138"/>
    <n v="104559.87208186346"/>
    <n v="0"/>
    <n v="0"/>
    <n v="0"/>
    <n v="0"/>
    <n v="941038.84873677138"/>
    <n v="0"/>
    <n v="0.4053995360358012"/>
    <n v="0.4053995360358012"/>
    <n v="0"/>
    <n v="0"/>
    <n v="47051.942436838573"/>
    <n v="47051.942436838573"/>
    <n v="0"/>
  </r>
  <r>
    <x v="43"/>
    <x v="10"/>
    <n v="0"/>
    <x v="2"/>
    <s v="Østdanmark"/>
    <n v="97091.997795525866"/>
    <n v="0"/>
    <n v="0"/>
    <n v="60760.863656275607"/>
    <n v="0"/>
    <n v="0"/>
    <n v="0"/>
    <n v="0"/>
    <n v="36331.13413925025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3007.09555249952"/>
    <n v="0"/>
    <n v="0"/>
    <n v="0"/>
    <n v="0"/>
    <n v="0"/>
    <n v="623007.09555249952"/>
    <n v="0"/>
    <n v="0"/>
    <n v="0"/>
    <n v="623007.09555249952"/>
    <n v="0"/>
    <n v="9.0295962650620645"/>
    <n v="0"/>
    <n v="9.0295962650620645"/>
    <n v="0"/>
    <n v="308128.92600867373"/>
    <n v="0"/>
    <n v="308128.92600867373"/>
  </r>
  <r>
    <x v="47"/>
    <x v="10"/>
    <n v="0"/>
    <x v="2"/>
    <s v="Østdanmark"/>
    <n v="176175.00365604501"/>
    <n v="0"/>
    <n v="0"/>
    <n v="0"/>
    <n v="0"/>
    <n v="0"/>
    <n v="0"/>
    <n v="0"/>
    <n v="176175.00365604501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6367940.7825627206"/>
    <s v="CO2 - atmosfære"/>
    <x v="0"/>
  </r>
  <r>
    <s v="Vestdanmark"/>
    <x v="1"/>
    <n v="3989123.5513910227"/>
    <s v="Landbrug"/>
    <x v="1"/>
  </r>
  <r>
    <s v="Vestdanmark"/>
    <x v="1"/>
    <n v="3621395.668038561"/>
    <s v="Landbrug"/>
    <x v="2"/>
  </r>
  <r>
    <s v="Vestdanmark"/>
    <x v="1"/>
    <n v="1037730.0552441035"/>
    <s v="Landbrug"/>
    <x v="2"/>
  </r>
  <r>
    <s v="Vestdanmark"/>
    <x v="1"/>
    <n v="65.998469138771299"/>
    <s v="Landbrug"/>
    <x v="2"/>
  </r>
  <r>
    <s v="Vestdanmark"/>
    <x v="1"/>
    <n v="-23936.112883057391"/>
    <s v="Hav"/>
    <x v="3"/>
  </r>
  <r>
    <s v="Vestdanmark"/>
    <x v="1"/>
    <n v="-1919279.3129950634"/>
    <s v="Skov"/>
    <x v="4"/>
  </r>
  <r>
    <s v="Vestdanmark"/>
    <x v="1"/>
    <n v="-337159.06470198173"/>
    <s v="Biogasanlæg"/>
    <x v="5"/>
  </r>
  <r>
    <s v="Vestdanmark"/>
    <x v="1"/>
    <n v="0"/>
    <s v="Pyrolyseproces"/>
    <x v="6"/>
  </r>
  <r>
    <s v="Vestdanmark"/>
    <x v="2"/>
    <n v="1585822.0720701516"/>
    <s v="CO2 - atmosfære"/>
    <x v="0"/>
  </r>
  <r>
    <s v="Vestdanmark"/>
    <x v="2"/>
    <n v="2906994.7497571907"/>
    <s v="Landbrug"/>
    <x v="1"/>
  </r>
  <r>
    <s v="Vestdanmark"/>
    <x v="2"/>
    <n v="3091029.9808261245"/>
    <s v="Landbrug"/>
    <x v="2"/>
  </r>
  <r>
    <s v="Vestdanmark"/>
    <x v="2"/>
    <n v="26.361074410417238"/>
    <s v="Landbrug"/>
    <x v="2"/>
  </r>
  <r>
    <s v="Vestdanmark"/>
    <x v="2"/>
    <n v="65.998469138771299"/>
    <s v="Landbrug"/>
    <x v="2"/>
  </r>
  <r>
    <s v="Vestdanmark"/>
    <x v="2"/>
    <n v="-32111.211335450222"/>
    <s v="Hav"/>
    <x v="3"/>
  </r>
  <r>
    <s v="Vestdanmark"/>
    <x v="2"/>
    <n v="-4095155.4515479961"/>
    <s v="Skov"/>
    <x v="4"/>
  </r>
  <r>
    <s v="Vestdanmark"/>
    <x v="2"/>
    <n v="-285028.35517326626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299626.7812854154"/>
    <s v="CO2 - atmosfære"/>
    <x v="0"/>
  </r>
  <r>
    <s v="Østdanmark"/>
    <x v="1"/>
    <n v="350761.43577381992"/>
    <s v="Landbrug"/>
    <x v="1"/>
  </r>
  <r>
    <s v="Østdanmark"/>
    <x v="1"/>
    <n v="1178659.3551214598"/>
    <s v="Landbrug"/>
    <x v="2"/>
  </r>
  <r>
    <s v="Østdanmark"/>
    <x v="1"/>
    <n v="111846.67809052247"/>
    <s v="Landbrug"/>
    <x v="2"/>
  </r>
  <r>
    <s v="Østdanmark"/>
    <x v="1"/>
    <n v="7.1104610596313274"/>
    <s v="Landbrug"/>
    <x v="2"/>
  </r>
  <r>
    <s v="Østdanmark"/>
    <x v="1"/>
    <n v="-674.70029884327505"/>
    <s v="Hav"/>
    <x v="3"/>
  </r>
  <r>
    <s v="Østdanmark"/>
    <x v="1"/>
    <n v="-309042.50165437843"/>
    <s v="Skov"/>
    <x v="4"/>
  </r>
  <r>
    <s v="Østdanmark"/>
    <x v="1"/>
    <n v="-31930.596208224615"/>
    <s v="Biogasanlæg"/>
    <x v="5"/>
  </r>
  <r>
    <s v="Østdanmark"/>
    <x v="1"/>
    <n v="0"/>
    <s v="Pyrolyseproces"/>
    <x v="6"/>
  </r>
  <r>
    <s v="Østdanmark"/>
    <x v="2"/>
    <n v="747813.79820573539"/>
    <s v="CO2 - atmosfære"/>
    <x v="0"/>
  </r>
  <r>
    <s v="Østdanmark"/>
    <x v="2"/>
    <n v="251681.97228836064"/>
    <s v="Landbrug"/>
    <x v="1"/>
  </r>
  <r>
    <s v="Østdanmark"/>
    <x v="2"/>
    <n v="1121492.780992459"/>
    <s v="Landbrug"/>
    <x v="2"/>
  </r>
  <r>
    <s v="Østdanmark"/>
    <x v="2"/>
    <n v="2.8411999718285972"/>
    <s v="Landbrug"/>
    <x v="2"/>
  </r>
  <r>
    <s v="Østdanmark"/>
    <x v="2"/>
    <n v="7.1104610596313282"/>
    <s v="Landbrug"/>
    <x v="2"/>
  </r>
  <r>
    <s v="Østdanmark"/>
    <x v="2"/>
    <n v="-8067.9044826491263"/>
    <s v="Hav"/>
    <x v="3"/>
  </r>
  <r>
    <s v="Østdanmark"/>
    <x v="2"/>
    <n v="-590942.69125679252"/>
    <s v="Skov"/>
    <x v="4"/>
  </r>
  <r>
    <s v="Østdanmark"/>
    <x v="2"/>
    <n v="-26360.310996674041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77252.6136078448"/>
    <n v="47085.713440742315"/>
    <n v="0"/>
    <n v="43439.71273733316"/>
    <n v="0"/>
    <n v="0"/>
    <n v="0"/>
    <n v="0"/>
    <n v="486727.1874297693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22499842.39083052"/>
    <n v="0"/>
    <n v="0"/>
    <n v="0"/>
    <n v="0"/>
    <n v="0"/>
    <n v="522499842.39083052"/>
    <n v="0"/>
    <n v="0"/>
    <n v="0"/>
    <n v="522499842.39083052"/>
    <n v="0"/>
    <n v="0"/>
    <n v="0"/>
    <n v="0"/>
    <n v="0"/>
    <n v="0"/>
    <n v="0"/>
    <n v="0"/>
    <n v="0"/>
    <x v="1"/>
  </r>
  <r>
    <x v="4"/>
    <s v=""/>
    <n v="0"/>
    <x v="1"/>
    <s v="Vestdanmark"/>
    <n v="21815696.085202374"/>
    <n v="0"/>
    <n v="0"/>
    <n v="0"/>
    <n v="0"/>
    <n v="16744738.31698148"/>
    <n v="0"/>
    <n v="0"/>
    <n v="5070957.76822089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07351.1837272928"/>
    <n v="0"/>
    <n v="0"/>
    <n v="0"/>
    <n v="1805513.3877954697"/>
    <n v="0"/>
    <n v="0"/>
    <n v="0"/>
    <n v="601837.79593182309"/>
    <n v="601837.79593182309"/>
    <n v="1805513.3877954697"/>
    <n v="0.34185956217688157"/>
    <n v="1.3674382487075265"/>
    <n v="1.0255786865306449"/>
    <n v="0.34185956217688163"/>
    <n v="25736.622914769367"/>
    <n v="102946.49165907748"/>
    <n v="77209.868744308114"/>
    <n v="25736.622914769367"/>
    <n v="0"/>
    <x v="0"/>
  </r>
  <r>
    <x v="6"/>
    <s v="Husdyrgødning"/>
    <n v="1"/>
    <x v="1"/>
    <s v="Vestdanmark"/>
    <n v="2037297.4995217314"/>
    <n v="0"/>
    <n v="0"/>
    <n v="0"/>
    <n v="1527973.1246412985"/>
    <n v="192815.65620473531"/>
    <n v="0"/>
    <n v="0"/>
    <n v="316508.71867569746"/>
    <n v="316508.71867569746"/>
    <n v="1527973.1246412985"/>
    <n v="0.6817597800274523"/>
    <n v="3.9730138905048094"/>
    <n v="3.2912541104773569"/>
    <n v="0.68175978002745241"/>
    <n v="94952.615602709237"/>
    <n v="553344.55299509875"/>
    <n v="458391.93739238958"/>
    <n v="94952.615602709178"/>
    <n v="0"/>
    <x v="0"/>
  </r>
  <r>
    <x v="7"/>
    <s v=""/>
    <n v="0"/>
    <x v="1"/>
    <s v="Vestdanmark"/>
    <n v="1695589.2743848059"/>
    <n v="1648659.4341996606"/>
    <n v="0"/>
    <n v="0"/>
    <n v="0"/>
    <n v="0"/>
    <n v="0"/>
    <n v="0"/>
    <n v="46929.840185145382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6257.0446016591122"/>
    <n v="1579.1588756568235"/>
    <n v="0"/>
    <n v="0"/>
    <n v="506.52265822954723"/>
    <n v="506.52265822954723"/>
    <n v="6257.0446016591122"/>
    <n v="2.3821254093877377E-4"/>
    <n v="3.1808380466530374E-3"/>
    <n v="2.9426255057142638E-3"/>
    <n v="2.3821254093877361E-4"/>
    <n v="31.910927468461477"/>
    <n v="426.10473737298554"/>
    <n v="394.19380990452407"/>
    <n v="31.910927468461466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70289.623650350084"/>
    <n v="0"/>
    <n v="0"/>
    <n v="257923.29437791562"/>
    <n v="0"/>
    <n v="0"/>
    <n v="0"/>
    <n v="0"/>
    <n v="-187633.6707275655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2888299.417168394"/>
    <n v="9446613.3985518552"/>
    <n v="0"/>
    <n v="0"/>
    <n v="66046.573899106617"/>
    <n v="0"/>
    <n v="0"/>
    <n v="4926512.3913847189"/>
    <n v="-1550872.9466672875"/>
    <n v="0"/>
    <n v="66046.573899106617"/>
    <n v="0"/>
    <n v="0.1215174401526188"/>
    <n v="0.1215174401526188"/>
    <n v="0"/>
    <n v="0"/>
    <n v="18493.040691749855"/>
    <n v="18493.040691749855"/>
    <n v="0"/>
    <n v="0"/>
    <x v="0"/>
  </r>
  <r>
    <x v="14"/>
    <s v=""/>
    <n v="0"/>
    <x v="1"/>
    <s v="Vestdanmark"/>
    <n v="823571.93327261996"/>
    <n v="823571.93327261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377350.81919472688"/>
    <n v="0"/>
    <n v="0"/>
    <n v="270140.71358529059"/>
    <n v="0"/>
    <n v="0"/>
    <n v="0"/>
    <n v="0"/>
    <n v="107210.10560943629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138392.1592439888"/>
    <n v="590528.53760249668"/>
    <n v="548687.13677357347"/>
    <n v="0"/>
    <n v="0"/>
    <n v="0"/>
    <n v="999176.48486791842"/>
    <n v="0"/>
    <n v="0"/>
    <n v="0"/>
    <n v="999176.48486791842"/>
    <n v="0"/>
    <n v="10.327294646211824"/>
    <n v="0"/>
    <n v="10.327294646211824"/>
    <n v="0"/>
    <n v="849300.01213773061"/>
    <n v="0"/>
    <n v="849300.01213773061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48896.7894108406"/>
    <n v="0"/>
    <n v="0"/>
    <n v="0"/>
    <n v="506863.86710295174"/>
    <n v="0"/>
    <n v="0"/>
    <n v="0"/>
    <n v="-57967.077692111139"/>
    <n v="0"/>
    <n v="506863.86710295174"/>
    <n v="0"/>
    <n v="1.8668609741908415"/>
    <n v="1.8668609741908415"/>
    <n v="0"/>
    <n v="0"/>
    <n v="212882.82418323972"/>
    <n v="212882.82418323972"/>
    <n v="0"/>
    <n v="1"/>
    <x v="1"/>
  </r>
  <r>
    <x v="20"/>
    <s v=""/>
    <n v="0"/>
    <x v="1"/>
    <s v="Vestdanmark"/>
    <n v="841621.76621839835"/>
    <n v="0"/>
    <n v="0"/>
    <n v="0"/>
    <n v="0"/>
    <n v="0"/>
    <n v="0"/>
    <n v="0"/>
    <n v="841621.76621839835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805737.9339992611"/>
    <n v="0"/>
    <n v="0"/>
    <n v="123531.68309679118"/>
    <n v="0"/>
    <n v="0"/>
    <n v="0"/>
    <n v="0"/>
    <n v="1682206.2509024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836920.0011490174"/>
    <n v="4534717.2198337205"/>
    <n v="0"/>
    <n v="295933.04302308214"/>
    <n v="2871.1113857879218"/>
    <n v="0"/>
    <n v="0"/>
    <n v="0"/>
    <n v="3398.6269064266235"/>
    <n v="3398.6269064266235"/>
    <n v="2871.1113857879218"/>
    <n v="1.1639821346744288E-2"/>
    <n v="2.1472975887473912E-2"/>
    <n v="9.8331545407296227E-3"/>
    <n v="1.1639821346744289E-2"/>
    <n v="1053.5743409922532"/>
    <n v="1943.618870586509"/>
    <n v="890.04452959425578"/>
    <n v="1053.5743409922534"/>
    <n v="0"/>
    <x v="0"/>
  </r>
  <r>
    <x v="23"/>
    <s v=""/>
    <n v="0"/>
    <x v="1"/>
    <s v="Vestdanmark"/>
    <n v="0"/>
    <n v="0"/>
    <n v="0"/>
    <n v="0"/>
    <n v="0"/>
    <n v="584756.7791203158"/>
    <n v="0"/>
    <n v="0"/>
    <n v="-584756.779120315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790098.0268014707"/>
    <n v="1720313.3142519915"/>
    <n v="0"/>
    <n v="0"/>
    <n v="876386.02801516652"/>
    <n v="876386.02801516652"/>
    <n v="7790098.0268014707"/>
    <n v="0.4436178435209972"/>
    <n v="4.3868875637076341"/>
    <n v="3.9432697201866369"/>
    <n v="0.4436178435209972"/>
    <n v="66605.33812915266"/>
    <n v="658652.78816606442"/>
    <n v="592047.45003691176"/>
    <n v="66605.33812915266"/>
    <n v="0"/>
    <x v="0"/>
  </r>
  <r>
    <x v="25"/>
    <s v=""/>
    <n v="0"/>
    <x v="1"/>
    <s v="Vestdanmark"/>
    <n v="1296795.0922933305"/>
    <n v="1164894.7731358123"/>
    <n v="0"/>
    <n v="0"/>
    <n v="0"/>
    <n v="0"/>
    <n v="0"/>
    <n v="0"/>
    <n v="131900.31915751821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026803.5120526911"/>
    <n v="4351481.2300827308"/>
    <n v="0"/>
    <n v="0"/>
    <n v="252542.91678668751"/>
    <n v="0"/>
    <n v="0"/>
    <n v="0"/>
    <n v="-577220.63481672714"/>
    <n v="0"/>
    <n v="252542.91678668751"/>
    <n v="0"/>
    <n v="0.90662907126420822"/>
    <n v="0.90662907126420822"/>
    <n v="0"/>
    <n v="0"/>
    <n v="75762.875036006255"/>
    <n v="75762.875036006255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267791.6894289495"/>
    <n v="0"/>
    <n v="0"/>
    <n v="0"/>
    <n v="0"/>
    <n v="0"/>
    <n v="0"/>
    <n v="0"/>
    <n v="1267791.6894289495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217981.68444215492"/>
    <n v="0"/>
    <n v="0"/>
    <n v="0"/>
    <n v="0"/>
    <n v="0"/>
    <n v="217981.68444215492"/>
    <n v="0"/>
    <n v="0"/>
    <n v="0"/>
    <n v="217981.68444215492"/>
    <n v="0"/>
    <n v="4.0108629937356497"/>
    <n v="0"/>
    <n v="4.0108629937356497"/>
    <n v="0"/>
    <n v="90462.399043494297"/>
    <n v="0"/>
    <n v="90462.399043494297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728642.31006080401"/>
    <n v="0"/>
    <n v="0"/>
    <n v="0"/>
    <n v="0"/>
    <n v="0"/>
    <n v="0"/>
    <n v="728642.3100608040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64321.15503040201"/>
    <n v="161875.86352463221"/>
    <n v="0"/>
    <n v="0"/>
    <n v="0"/>
    <n v="0"/>
    <n v="0"/>
    <n v="0"/>
    <n v="202445.2915057698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33165.53921945728"/>
    <n v="0"/>
    <n v="0"/>
    <n v="0"/>
    <n v="0"/>
    <n v="0"/>
    <n v="233165.53921945728"/>
    <n v="0"/>
    <n v="0"/>
    <n v="0"/>
    <n v="233165.53921945728"/>
    <n v="0"/>
    <n v="8.1607938726810048"/>
    <n v="0"/>
    <n v="8.1607938726810048"/>
    <n v="0"/>
    <n v="0"/>
    <n v="0"/>
    <n v="0"/>
    <n v="0"/>
    <x v="1"/>
  </r>
  <r>
    <x v="38"/>
    <s v="Græs og urter"/>
    <n v="1"/>
    <x v="1"/>
    <s v="Vestdanmark"/>
    <n v="1333999.0253631743"/>
    <n v="669901.28667965194"/>
    <n v="0"/>
    <n v="0"/>
    <n v="21522.666740773606"/>
    <n v="0"/>
    <n v="0"/>
    <n v="0"/>
    <n v="642575.07194274873"/>
    <n v="642575.07194274873"/>
    <n v="21522.666740773606"/>
    <n v="1.7439744482554977"/>
    <n v="1.8023878266966269"/>
    <n v="5.8413378441129198E-2"/>
    <n v="1.7439744482554977"/>
    <n v="128515.01438854975"/>
    <n v="132819.54773670447"/>
    <n v="4304.5333481547214"/>
    <n v="128515.01438854974"/>
    <n v="0"/>
    <x v="0"/>
  </r>
  <r>
    <x v="39"/>
    <s v=""/>
    <n v="0"/>
    <x v="1"/>
    <s v="Vestdanmark"/>
    <n v="146835.36007534855"/>
    <n v="0"/>
    <n v="0"/>
    <n v="0"/>
    <n v="0"/>
    <n v="0"/>
    <n v="0"/>
    <n v="0"/>
    <n v="146835.3600753485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7609.837071587375"/>
    <n v="29678.267865680002"/>
    <n v="0"/>
    <n v="0"/>
    <n v="0"/>
    <n v="0"/>
    <n v="0"/>
    <n v="0"/>
    <n v="67931.569205907377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2962169.1298708953"/>
    <n v="0"/>
    <n v="0"/>
    <n v="0"/>
    <n v="987389.70995696541"/>
    <n v="987389.70995696541"/>
    <n v="2962169.1298708953"/>
    <n v="0.49271733916562538"/>
    <n v="1.9708693566625011"/>
    <n v="1.4781520174968756"/>
    <n v="0.49271733916562543"/>
    <n v="59243.38259741792"/>
    <n v="236973.53038967162"/>
    <n v="177730.1477922537"/>
    <n v="59243.38259741792"/>
    <n v="0"/>
    <x v="0"/>
  </r>
  <r>
    <x v="42"/>
    <s v="Husdyrgødning"/>
    <n v="1"/>
    <x v="1"/>
    <s v="Vestdanmark"/>
    <n v="11306124.881910803"/>
    <n v="0"/>
    <n v="0"/>
    <n v="0"/>
    <n v="8479593.6614331026"/>
    <n v="2826531.2204777007"/>
    <n v="0"/>
    <n v="0"/>
    <n v="0"/>
    <n v="0"/>
    <n v="8479593.6614331026"/>
    <n v="0"/>
    <n v="3.6530089493453812"/>
    <n v="3.6530089493453812"/>
    <n v="0"/>
    <n v="0"/>
    <n v="423979.68307165516"/>
    <n v="423979.68307165516"/>
    <n v="0"/>
    <n v="0"/>
    <x v="1"/>
  </r>
  <r>
    <x v="43"/>
    <s v=""/>
    <n v="0"/>
    <x v="1"/>
    <s v="Vestdanmark"/>
    <n v="1033509.7693363478"/>
    <n v="0"/>
    <n v="0"/>
    <n v="97500.435238944279"/>
    <n v="0"/>
    <n v="0"/>
    <n v="0"/>
    <n v="0"/>
    <n v="936009.33409740357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2244.569142865"/>
    <n v="0"/>
    <n v="0"/>
    <n v="0"/>
    <n v="0"/>
    <n v="0"/>
    <n v="2222244.569142865"/>
    <n v="0"/>
    <n v="0"/>
    <n v="0"/>
    <n v="2222244.569142865"/>
    <n v="0"/>
    <n v="32.208254777245877"/>
    <n v="0"/>
    <n v="32.208254777245877"/>
    <n v="0"/>
    <n v="1099085.1264885752"/>
    <n v="0"/>
    <n v="1099085.1264885752"/>
    <n v="0"/>
    <x v="1"/>
  </r>
  <r>
    <x v="47"/>
    <s v=""/>
    <n v="0"/>
    <x v="1"/>
    <s v="Vestdanmark"/>
    <n v="612159.6716568307"/>
    <n v="0"/>
    <n v="0"/>
    <n v="0"/>
    <n v="0"/>
    <n v="0"/>
    <n v="0"/>
    <n v="0"/>
    <n v="612159.671656830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476733.07017285493"/>
    <n v="33117.004615961538"/>
    <n v="0"/>
    <n v="101549.90665933446"/>
    <n v="0"/>
    <n v="0"/>
    <n v="0"/>
    <n v="0"/>
    <n v="342066.1588975589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75947568.56876355"/>
    <n v="0"/>
    <n v="0"/>
    <n v="0"/>
    <n v="0"/>
    <n v="0"/>
    <n v="475947568.56876355"/>
    <n v="0"/>
    <n v="0"/>
    <n v="0"/>
    <n v="475947568.56876355"/>
    <n v="0"/>
    <n v="0"/>
    <n v="0"/>
    <n v="0"/>
    <n v="0"/>
    <n v="0"/>
    <n v="0"/>
    <n v="0"/>
    <n v="0"/>
    <x v="1"/>
  </r>
  <r>
    <x v="4"/>
    <s v=""/>
    <n v="0"/>
    <x v="2"/>
    <s v="Vestdanmark"/>
    <n v="19329215.833900649"/>
    <n v="0"/>
    <n v="0"/>
    <n v="0"/>
    <n v="0"/>
    <n v="13238404.534113022"/>
    <n v="0"/>
    <n v="0"/>
    <n v="6090811.299787627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693173.0335586986"/>
    <n v="0"/>
    <n v="0"/>
    <n v="0"/>
    <n v="1523855.7302028288"/>
    <n v="0"/>
    <n v="0"/>
    <n v="0"/>
    <n v="169317.30335586984"/>
    <n v="169317.30335586984"/>
    <n v="1523855.7302028288"/>
    <n v="9.6176643583157292E-2"/>
    <n v="0.96176643583157295"/>
    <n v="0.8655897922484157"/>
    <n v="9.6176643583157251E-2"/>
    <n v="7240.581463762499"/>
    <n v="72405.814637624993"/>
    <n v="65165.2331738625"/>
    <n v="7240.5814637624935"/>
    <n v="0"/>
    <x v="0"/>
  </r>
  <r>
    <x v="6"/>
    <s v="Husdyrgødning"/>
    <n v="1"/>
    <x v="2"/>
    <s v="Vestdanmark"/>
    <n v="1481207.6483199911"/>
    <n v="0"/>
    <n v="0"/>
    <n v="0"/>
    <n v="1333086.883487992"/>
    <n v="56074.289543542509"/>
    <n v="0"/>
    <n v="0"/>
    <n v="92046.475288456539"/>
    <n v="92046.475288456539"/>
    <n v="1333086.883487992"/>
    <n v="0.19826810777133538"/>
    <n v="3.0697372548044703"/>
    <n v="2.8714691470331348"/>
    <n v="0.19826810777133552"/>
    <n v="27613.942586536959"/>
    <n v="427540.00763293455"/>
    <n v="399926.06504639756"/>
    <n v="27613.942586536985"/>
    <n v="0"/>
    <x v="0"/>
  </r>
  <r>
    <x v="7"/>
    <s v=""/>
    <n v="0"/>
    <x v="2"/>
    <s v="Vestdanmark"/>
    <n v="1192566.3587373532"/>
    <n v="1159558.9851527149"/>
    <n v="0"/>
    <n v="0"/>
    <n v="0"/>
    <n v="0"/>
    <n v="0"/>
    <n v="0"/>
    <n v="33007.37358463835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  <n v="0"/>
    <x v="0"/>
  </r>
  <r>
    <x v="9"/>
    <s v=""/>
    <n v="0"/>
    <x v="2"/>
    <s v="Vestdanmark"/>
    <n v="173658.75124992887"/>
    <n v="0"/>
    <n v="0"/>
    <n v="20168.939794840036"/>
    <n v="0"/>
    <n v="0"/>
    <n v="0"/>
    <n v="0"/>
    <n v="153489.811455088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58253.649751305209"/>
    <n v="0"/>
    <n v="0"/>
    <n v="267978.92035102146"/>
    <n v="0"/>
    <n v="0"/>
    <n v="0"/>
    <n v="0"/>
    <n v="-209725.2705997162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9740273.2021653466"/>
    <n v="6644128.6892416244"/>
    <n v="0"/>
    <n v="0"/>
    <n v="62867.4837195117"/>
    <n v="0"/>
    <n v="0"/>
    <n v="3464985.9093970521"/>
    <n v="-431708.88019284233"/>
    <n v="0"/>
    <n v="62867.4837195117"/>
    <n v="0"/>
    <n v="0.11566831160843659"/>
    <n v="0.11566831160843659"/>
    <n v="0"/>
    <n v="0"/>
    <n v="17602.895441463279"/>
    <n v="17602.895441463279"/>
    <n v="0"/>
    <n v="0"/>
    <x v="0"/>
  </r>
  <r>
    <x v="14"/>
    <s v=""/>
    <n v="0"/>
    <x v="2"/>
    <s v="Vestdanmark"/>
    <n v="579246.51710100006"/>
    <n v="579246.517101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314324.23534293834"/>
    <n v="0"/>
    <n v="0"/>
    <n v="280672.65868343826"/>
    <n v="0"/>
    <n v="0"/>
    <n v="0"/>
    <n v="0"/>
    <n v="33651.57665950007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738074.2627217553"/>
    <n v="415339.06734260131"/>
    <n v="369095.7908326711"/>
    <n v="0"/>
    <n v="0"/>
    <n v="0"/>
    <n v="953639.40454648295"/>
    <n v="0"/>
    <n v="0"/>
    <n v="0"/>
    <n v="953639.40454648295"/>
    <n v="0"/>
    <n v="9.8566322027598599"/>
    <n v="0"/>
    <n v="9.8566322027598599"/>
    <n v="0"/>
    <n v="810593.49386451044"/>
    <n v="0"/>
    <n v="810593.4938645104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72513.10884401842"/>
    <n v="0"/>
    <n v="0"/>
    <n v="0"/>
    <n v="482490.34921714256"/>
    <n v="0"/>
    <n v="0"/>
    <n v="0"/>
    <n v="-109977.24037312414"/>
    <n v="0"/>
    <n v="482490.34921714256"/>
    <n v="0"/>
    <n v="1.7770893958677856"/>
    <n v="1.7770893958677856"/>
    <n v="0"/>
    <n v="0"/>
    <n v="202645.94667119987"/>
    <n v="202645.94667119987"/>
    <n v="0"/>
    <n v="1"/>
    <x v="1"/>
  </r>
  <r>
    <x v="20"/>
    <s v=""/>
    <n v="0"/>
    <x v="2"/>
    <s v="Vestdanmark"/>
    <n v="686144.91909286368"/>
    <n v="0"/>
    <n v="0"/>
    <n v="0"/>
    <n v="0"/>
    <n v="0"/>
    <n v="0"/>
    <n v="0"/>
    <n v="686144.9190928636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57061.1613346946"/>
    <n v="0"/>
    <n v="0"/>
    <n v="128347.79869443661"/>
    <n v="0"/>
    <n v="0"/>
    <n v="0"/>
    <n v="0"/>
    <n v="1328713.362640257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189422.8658191925"/>
    <n v="0"/>
    <n v="307470.55071854044"/>
    <n v="2778.0605350782976"/>
    <n v="0"/>
    <n v="0"/>
    <n v="0"/>
    <n v="421048.88922296651"/>
    <n v="421048.88922296651"/>
    <n v="2778.0605350782976"/>
    <n v="1.4420334987441694"/>
    <n v="1.4515479671483378"/>
    <n v="9.5144684041682595E-3"/>
    <n v="1.4420334987441694"/>
    <n v="130525.15565911961"/>
    <n v="131386.35442499389"/>
    <n v="861.19876587427223"/>
    <n v="130525.15565911961"/>
    <n v="0"/>
    <x v="0"/>
  </r>
  <r>
    <x v="23"/>
    <s v=""/>
    <n v="0"/>
    <x v="2"/>
    <s v="Vestdanmark"/>
    <n v="0"/>
    <n v="0"/>
    <n v="0"/>
    <n v="0"/>
    <n v="0"/>
    <n v="601145.12417380617"/>
    <n v="0"/>
    <n v="0"/>
    <n v="-601145.1241738061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7641243.9015298951"/>
    <n v="0"/>
    <n v="0"/>
    <n v="0"/>
    <n v="6877119.5113769062"/>
    <n v="506232.40847635537"/>
    <n v="0"/>
    <n v="0"/>
    <n v="257891.98167663347"/>
    <n v="257891.98167663347"/>
    <n v="6877119.5113769062"/>
    <n v="0.13054234220489511"/>
    <n v="3.611671467668772"/>
    <n v="3.4811291254638768"/>
    <n v="0.13054234220489525"/>
    <n v="19599.790607424144"/>
    <n v="542260.87347206904"/>
    <n v="522661.08286464488"/>
    <n v="19599.790607424162"/>
    <n v="0"/>
    <x v="0"/>
  </r>
  <r>
    <x v="25"/>
    <s v=""/>
    <n v="0"/>
    <x v="2"/>
    <s v="Vestdanmark"/>
    <n v="954530.08204683824"/>
    <n v="819310.63076273911"/>
    <n v="0"/>
    <n v="0"/>
    <n v="0"/>
    <n v="0"/>
    <n v="0"/>
    <n v="0"/>
    <n v="135219.4512840991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204301.4084430053"/>
    <n v="3060546.68077358"/>
    <n v="0"/>
    <n v="0"/>
    <n v="242163.91618130018"/>
    <n v="0"/>
    <n v="0"/>
    <n v="0"/>
    <n v="-98409.188511874992"/>
    <n v="0"/>
    <n v="242163.91618130018"/>
    <n v="0"/>
    <n v="0.8693684590908678"/>
    <n v="0.8693684590908678"/>
    <n v="0"/>
    <n v="0"/>
    <n v="72649.174854390047"/>
    <n v="72649.174854390047"/>
    <n v="0"/>
    <n v="0"/>
    <x v="0"/>
  </r>
  <r>
    <x v="27"/>
    <s v=""/>
    <n v="0"/>
    <x v="2"/>
    <s v="Vestdanmark"/>
    <n v="1841747.6674105611"/>
    <n v="0"/>
    <n v="0"/>
    <n v="490824.54885344987"/>
    <n v="0"/>
    <n v="0"/>
    <n v="0"/>
    <n v="0"/>
    <n v="1350923.118557111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61672.869442609102"/>
    <n v="0"/>
    <n v="0"/>
    <n v="34302.712220301015"/>
    <n v="0"/>
    <n v="0"/>
    <n v="0"/>
    <n v="0"/>
    <n v="27370.157222308088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217.4078862639"/>
    <n v="0"/>
    <n v="0"/>
    <n v="0"/>
    <n v="0"/>
    <n v="0"/>
    <n v="0"/>
    <n v="0"/>
    <n v="1022217.407886263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67353.17803041782"/>
    <n v="0"/>
    <n v="0"/>
    <n v="0"/>
    <n v="0"/>
    <n v="0"/>
    <n v="167353.17803041782"/>
    <n v="0"/>
    <n v="0"/>
    <n v="0"/>
    <n v="167353.17803041782"/>
    <n v="0"/>
    <n v="3.0792984757596873"/>
    <n v="0"/>
    <n v="3.0792984757596873"/>
    <n v="0"/>
    <n v="69451.568882623396"/>
    <n v="0"/>
    <n v="69451.56888262339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2867977.1789306658"/>
    <n v="0"/>
    <n v="0"/>
    <n v="0"/>
    <n v="0"/>
    <n v="0"/>
    <n v="0"/>
    <n v="0"/>
    <n v="2867977.1789306658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601521.71713762206"/>
    <n v="0"/>
    <n v="0"/>
    <n v="0"/>
    <n v="0"/>
    <n v="0"/>
    <n v="0"/>
    <n v="601521.7171376220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300760.85856881103"/>
    <n v="113852.8723007386"/>
    <n v="0"/>
    <n v="0"/>
    <n v="0"/>
    <n v="0"/>
    <n v="0"/>
    <n v="0"/>
    <n v="186907.9862680724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92486.94948403907"/>
    <n v="0"/>
    <n v="0"/>
    <n v="0"/>
    <n v="0"/>
    <n v="0"/>
    <n v="192486.94948403907"/>
    <n v="0"/>
    <n v="0"/>
    <n v="0"/>
    <n v="192486.94948403907"/>
    <n v="0"/>
    <n v="6.7370432319413665"/>
    <n v="0"/>
    <n v="6.7370432319413665"/>
    <n v="0"/>
    <n v="0"/>
    <n v="0"/>
    <n v="0"/>
    <n v="0"/>
    <x v="1"/>
  </r>
  <r>
    <x v="38"/>
    <s v="Græs og urter"/>
    <n v="1"/>
    <x v="2"/>
    <s v="Vestdanmark"/>
    <n v="1115035.1111116486"/>
    <n v="471164.6565816346"/>
    <n v="0"/>
    <n v="0"/>
    <n v="21018.886390792875"/>
    <n v="0"/>
    <n v="0"/>
    <n v="0"/>
    <n v="622851.56813922117"/>
    <n v="622851.56813922117"/>
    <n v="21018.886390792875"/>
    <n v="1.6904440699925718"/>
    <n v="1.7474901684126394"/>
    <n v="5.7046098420067498E-2"/>
    <n v="1.6904440699925718"/>
    <n v="124570.31362784424"/>
    <n v="128774.09090600282"/>
    <n v="4203.7772781585754"/>
    <n v="124570.31362784424"/>
    <n v="0"/>
    <x v="0"/>
  </r>
  <r>
    <x v="39"/>
    <s v=""/>
    <n v="0"/>
    <x v="2"/>
    <s v="Vestdanmark"/>
    <n v="99547.272105381227"/>
    <n v="0"/>
    <n v="0"/>
    <n v="0"/>
    <n v="0"/>
    <n v="0"/>
    <n v="0"/>
    <n v="0"/>
    <n v="99547.272105381227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708.16798650907"/>
    <n v="20873.748363999999"/>
    <n v="0"/>
    <n v="0"/>
    <n v="0"/>
    <n v="0"/>
    <n v="0"/>
    <n v="0"/>
    <n v="42834.41962250907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74032.978134946"/>
    <n v="0"/>
    <n v="0"/>
    <n v="0"/>
    <n v="3666629.6803214513"/>
    <n v="0"/>
    <n v="0"/>
    <n v="0"/>
    <n v="407403.29781349469"/>
    <n v="407403.29781349469"/>
    <n v="3666629.6803214513"/>
    <n v="0.203298319641912"/>
    <n v="2.0329831964191194"/>
    <n v="1.8296848767772076"/>
    <n v="0.20329831964191181"/>
    <n v="24444.197868809679"/>
    <n v="244441.97868809674"/>
    <n v="219997.78081928706"/>
    <n v="24444.197868809686"/>
    <n v="0"/>
    <x v="0"/>
  </r>
  <r>
    <x v="42"/>
    <s v="Husdyrgødning"/>
    <n v="1"/>
    <x v="2"/>
    <s v="Vestdanmark"/>
    <n v="7216145.8837897805"/>
    <n v="0"/>
    <n v="0"/>
    <n v="0"/>
    <n v="6494531.2954108026"/>
    <n v="721614.58837897785"/>
    <n v="0"/>
    <n v="0"/>
    <n v="0"/>
    <n v="0"/>
    <n v="6494531.2954108026"/>
    <n v="0"/>
    <n v="2.7978440820629742"/>
    <n v="2.7978440820629742"/>
    <n v="0"/>
    <n v="0"/>
    <n v="324726.56477054016"/>
    <n v="324726.56477054016"/>
    <n v="0"/>
    <n v="0"/>
    <x v="1"/>
  </r>
  <r>
    <x v="43"/>
    <s v=""/>
    <n v="0"/>
    <x v="2"/>
    <s v="Vestdanmark"/>
    <n v="670075.43744177814"/>
    <n v="0"/>
    <n v="0"/>
    <n v="69644.90056848996"/>
    <n v="0"/>
    <n v="0"/>
    <n v="0"/>
    <n v="0"/>
    <n v="600430.5368732882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301188.929717523"/>
    <n v="0"/>
    <n v="0"/>
    <n v="0"/>
    <n v="0"/>
    <n v="0"/>
    <n v="2301188.929717523"/>
    <n v="0"/>
    <n v="0"/>
    <n v="0"/>
    <n v="2301188.929717523"/>
    <n v="0"/>
    <n v="33.352440306562336"/>
    <n v="0"/>
    <n v="33.352440306562336"/>
    <n v="0"/>
    <n v="1138129.6914894583"/>
    <n v="0"/>
    <n v="1138129.6914894583"/>
    <n v="0"/>
    <x v="1"/>
  </r>
  <r>
    <x v="47"/>
    <s v=""/>
    <n v="0"/>
    <x v="2"/>
    <s v="Vestdanmark"/>
    <n v="671197.32778518158"/>
    <n v="0"/>
    <n v="0"/>
    <n v="0"/>
    <n v="0"/>
    <n v="0"/>
    <n v="0"/>
    <n v="0"/>
    <n v="671197.3277851815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5537.64414936668"/>
    <n v="5718.282542457694"/>
    <n v="0"/>
    <n v="37612.453499504722"/>
    <n v="0"/>
    <n v="0"/>
    <n v="0"/>
    <n v="0"/>
    <n v="142206.9081074042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3104893.80827114"/>
    <n v="0"/>
    <n v="0"/>
    <n v="0"/>
    <n v="0"/>
    <n v="0"/>
    <n v="133104893.80827114"/>
    <n v="0"/>
    <n v="0"/>
    <n v="0"/>
    <n v="133104893.80827114"/>
    <n v="0"/>
    <n v="0"/>
    <n v="0"/>
    <n v="0"/>
    <n v="0"/>
    <n v="0"/>
    <n v="0"/>
    <n v="0"/>
    <n v="0"/>
    <x v="1"/>
  </r>
  <r>
    <x v="4"/>
    <s v=""/>
    <n v="0"/>
    <x v="1"/>
    <s v="Østdanmark"/>
    <n v="4812460.2718073083"/>
    <n v="0"/>
    <n v="0"/>
    <n v="0"/>
    <n v="0"/>
    <n v="3693826.1148101897"/>
    <n v="0"/>
    <n v="0"/>
    <n v="1118634.156997118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292358.62093917595"/>
    <n v="0"/>
    <n v="0"/>
    <n v="0"/>
    <n v="219268.96570438196"/>
    <n v="0"/>
    <n v="0"/>
    <n v="0"/>
    <n v="73089.655234793987"/>
    <n v="73089.655234793987"/>
    <n v="219268.96570438196"/>
    <n v="4.1516830127857875E-2"/>
    <n v="0.1660673205114315"/>
    <n v="0.12455049038357362"/>
    <n v="4.1516830127857882E-2"/>
    <n v="3125.5612533206254"/>
    <n v="12502.245013282502"/>
    <n v="9376.6837599618757"/>
    <n v="3125.5612533206258"/>
    <n v="0"/>
    <x v="0"/>
  </r>
  <r>
    <x v="6"/>
    <s v="Husdyrgødning"/>
    <n v="1"/>
    <x v="1"/>
    <s v="Østdanmark"/>
    <n v="272382.94042340637"/>
    <n v="0"/>
    <n v="0"/>
    <n v="0"/>
    <n v="204287.20531755476"/>
    <n v="25779.099718643818"/>
    <n v="0"/>
    <n v="0"/>
    <n v="42316.635387207789"/>
    <n v="42316.635387207789"/>
    <n v="204287.20531755476"/>
    <n v="9.1150032624045585E-2"/>
    <n v="0.53118467287805848"/>
    <n v="0.44003464025401295"/>
    <n v="9.1150032624045529E-2"/>
    <n v="12694.990616162337"/>
    <n v="73981.152211428765"/>
    <n v="61286.161595266429"/>
    <n v="12694.990616162337"/>
    <n v="0"/>
    <x v="0"/>
  </r>
  <r>
    <x v="7"/>
    <s v=""/>
    <n v="0"/>
    <x v="1"/>
    <s v="Østdanmark"/>
    <n v="205919.32963053533"/>
    <n v="200219.97697680999"/>
    <n v="0"/>
    <n v="0"/>
    <n v="0"/>
    <n v="0"/>
    <n v="0"/>
    <n v="0"/>
    <n v="5699.352653725334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525.15144386464101"/>
    <n v="132.53822154679034"/>
    <n v="0"/>
    <n v="0"/>
    <n v="42.512259741423236"/>
    <n v="42.512259741423236"/>
    <n v="525.15144386464101"/>
    <n v="1.9993090633793934E-5"/>
    <n v="2.6696656316889595E-4"/>
    <n v="2.4697347253510203E-4"/>
    <n v="1.9993090633793923E-5"/>
    <n v="2.6782723637096639"/>
    <n v="35.762813327182045"/>
    <n v="33.084540963472385"/>
    <n v="2.678272363709659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22827.041283233735"/>
    <n v="0"/>
    <n v="0"/>
    <n v="223323.94265330929"/>
    <n v="0"/>
    <n v="0"/>
    <n v="0"/>
    <n v="0"/>
    <n v="-200496.9013700755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830672.7259070398"/>
    <n v="1147235.5526749862"/>
    <n v="0"/>
    <n v="0"/>
    <n v="19630.42610089339"/>
    <n v="0"/>
    <n v="0"/>
    <n v="598295.9106759713"/>
    <n v="2065510.8364551889"/>
    <n v="514637.88978790143"/>
    <n v="19630.42610089339"/>
    <n v="0.94686938747351523"/>
    <n v="0.98298691769589641"/>
    <n v="3.6117530222381226E-2"/>
    <n v="0.94686938747351523"/>
    <n v="144098.60914061242"/>
    <n v="149595.12844886258"/>
    <n v="5496.5193082501501"/>
    <n v="144098.60914061242"/>
    <n v="0"/>
    <x v="0"/>
  </r>
  <r>
    <x v="14"/>
    <s v=""/>
    <n v="0"/>
    <x v="1"/>
    <s v="Østdanmark"/>
    <n v="100017.96010626001"/>
    <n v="100017.96010626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22573.44646679725"/>
    <n v="0"/>
    <n v="0"/>
    <n v="233902.44520004498"/>
    <n v="0"/>
    <n v="0"/>
    <n v="0"/>
    <n v="0"/>
    <n v="-111328.99873324773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684425.33771835396"/>
    <n v="71716.212427048929"/>
    <n v="77920.551603575906"/>
    <n v="0"/>
    <n v="0"/>
    <n v="0"/>
    <n v="534788.57368772908"/>
    <n v="0"/>
    <n v="0"/>
    <n v="0"/>
    <n v="534788.57368772908"/>
    <n v="0"/>
    <n v="5.527471130018256"/>
    <n v="0"/>
    <n v="5.527471130018256"/>
    <n v="0"/>
    <n v="454570.28763456969"/>
    <n v="0"/>
    <n v="454570.28763456969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046.46530890666"/>
    <n v="0"/>
    <n v="0"/>
    <n v="0"/>
    <n v="219104.13289704846"/>
    <n v="0"/>
    <n v="0"/>
    <n v="0"/>
    <n v="-25057.667588141805"/>
    <n v="0"/>
    <n v="219104.13289704846"/>
    <n v="0"/>
    <n v="0.80699568767315955"/>
    <n v="0.80699568767315955"/>
    <n v="0"/>
    <n v="0"/>
    <n v="92023.735816760352"/>
    <n v="92023.735816760352"/>
    <n v="0"/>
    <n v="1"/>
    <x v="1"/>
  </r>
  <r>
    <x v="20"/>
    <s v=""/>
    <n v="0"/>
    <x v="1"/>
    <s v="Østdanmark"/>
    <n v="268357.16269202955"/>
    <n v="0"/>
    <n v="0"/>
    <n v="0"/>
    <n v="0"/>
    <n v="0"/>
    <n v="0"/>
    <n v="0"/>
    <n v="268357.16269202955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67494.30742817745"/>
    <n v="0"/>
    <n v="0"/>
    <n v="106960.41463921656"/>
    <n v="0"/>
    <n v="0"/>
    <n v="0"/>
    <n v="0"/>
    <n v="460533.8927889608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41299.6719009152"/>
    <n v="550714.69493164914"/>
    <n v="0"/>
    <n v="256234.83946537593"/>
    <n v="914.88861421207764"/>
    <n v="0"/>
    <n v="0"/>
    <n v="0"/>
    <n v="733435.24888967804"/>
    <n v="733435.24888967804"/>
    <n v="914.88861421207764"/>
    <n v="2.5119130465123032"/>
    <n v="2.5150464119315736"/>
    <n v="3.1333654192703766E-3"/>
    <n v="2.5119130465123032"/>
    <n v="227364.92715580019"/>
    <n v="227648.54262620592"/>
    <n v="283.61547040574408"/>
    <n v="227364.92715580016"/>
    <n v="0"/>
    <x v="0"/>
  </r>
  <r>
    <x v="23"/>
    <s v=""/>
    <n v="0"/>
    <x v="1"/>
    <s v="Østdanmark"/>
    <n v="0"/>
    <n v="0"/>
    <n v="0"/>
    <n v="0"/>
    <n v="0"/>
    <n v="299171.09031254635"/>
    <n v="0"/>
    <n v="0"/>
    <n v="-299171.0903125463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53673.50359972543"/>
    <n v="122269.5653782727"/>
    <n v="0"/>
    <n v="0"/>
    <n v="62288.269154969137"/>
    <n v="62288.269154969137"/>
    <n v="553673.50359972543"/>
    <n v="3.1529698963553829E-2"/>
    <n v="0.31179368975069888"/>
    <n v="0.28026399078714503"/>
    <n v="3.1529698963553843E-2"/>
    <n v="4733.9084557776541"/>
    <n v="46813.094729356788"/>
    <n v="42079.186273579129"/>
    <n v="4733.9084557776587"/>
    <n v="0"/>
    <x v="0"/>
  </r>
  <r>
    <x v="25"/>
    <s v=""/>
    <n v="0"/>
    <x v="1"/>
    <s v="Østdanmark"/>
    <n v="92168.427114874314"/>
    <n v="141469.60847064349"/>
    <n v="0"/>
    <n v="0"/>
    <n v="0"/>
    <n v="0"/>
    <n v="0"/>
    <n v="0"/>
    <n v="-49301.1813557691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5469.8186668158"/>
    <n v="528461.76331446774"/>
    <n v="0"/>
    <n v="0"/>
    <n v="77483.083213312464"/>
    <n v="0"/>
    <n v="0"/>
    <n v="0"/>
    <n v="629524.97213903558"/>
    <n v="52304.337322308449"/>
    <n v="77483.083213312464"/>
    <n v="0.18777257098708736"/>
    <n v="0.46593683972287914"/>
    <n v="0.27816426873579175"/>
    <n v="0.18777257098708738"/>
    <n v="15691.301196692533"/>
    <n v="38936.226160686274"/>
    <n v="23244.924963993737"/>
    <n v="15691.301196692537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02071.35668050894"/>
    <n v="0"/>
    <n v="0"/>
    <n v="0"/>
    <n v="0"/>
    <n v="0"/>
    <n v="0"/>
    <n v="0"/>
    <n v="402071.35668050894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66921.012385379698"/>
    <n v="0"/>
    <n v="0"/>
    <n v="0"/>
    <n v="0"/>
    <n v="0"/>
    <n v="66921.012385379698"/>
    <n v="0"/>
    <n v="0"/>
    <n v="0"/>
    <n v="66921.012385379698"/>
    <n v="0"/>
    <n v="1.2313466278909861"/>
    <n v="0"/>
    <n v="1.2313466278909861"/>
    <n v="0"/>
    <n v="27772.220139932579"/>
    <n v="0"/>
    <n v="27772.22013993257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35557.19695784606"/>
    <n v="0"/>
    <n v="0"/>
    <n v="0"/>
    <n v="0"/>
    <n v="0"/>
    <n v="0"/>
    <n v="235557.1969578460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17778.59847892303"/>
    <n v="19658.870107237683"/>
    <n v="0"/>
    <n v="0"/>
    <n v="0"/>
    <n v="0"/>
    <n v="0"/>
    <n v="0"/>
    <n v="98119.7283716853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75378.303026510737"/>
    <n v="0"/>
    <n v="0"/>
    <n v="0"/>
    <n v="0"/>
    <n v="0"/>
    <n v="75378.303026510737"/>
    <n v="0"/>
    <n v="0"/>
    <n v="0"/>
    <n v="75378.303026510737"/>
    <n v="0"/>
    <n v="2.6382406059278756"/>
    <n v="0"/>
    <n v="2.6382406059278756"/>
    <n v="0"/>
    <n v="0"/>
    <n v="0"/>
    <n v="0"/>
    <n v="0"/>
    <x v="1"/>
  </r>
  <r>
    <x v="38"/>
    <s v="Græs og urter"/>
    <n v="1"/>
    <x v="1"/>
    <s v="Østdanmark"/>
    <n v="441450.20412922179"/>
    <n v="81355.565263148092"/>
    <n v="0"/>
    <n v="0"/>
    <n v="7122.3332592263878"/>
    <n v="0"/>
    <n v="0"/>
    <n v="0"/>
    <n v="352972.30560684728"/>
    <n v="352972.30560684728"/>
    <n v="7122.3332592263878"/>
    <n v="0.95798095630920777"/>
    <n v="0.97731125366807858"/>
    <n v="1.9330297358870787E-2"/>
    <n v="0.95798095630920777"/>
    <n v="70594.461121369459"/>
    <n v="72018.927773214746"/>
    <n v="1424.4666518452777"/>
    <n v="70594.461121369473"/>
    <n v="0"/>
    <x v="0"/>
  </r>
  <r>
    <x v="39"/>
    <s v=""/>
    <n v="0"/>
    <x v="1"/>
    <s v="Østdanmark"/>
    <n v="17150.132696154993"/>
    <n v="0"/>
    <n v="0"/>
    <n v="0"/>
    <n v="0"/>
    <n v="0"/>
    <n v="0"/>
    <n v="0"/>
    <n v="17150.1326961549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741.973573647057"/>
    <n v="3604.250814640001"/>
    <n v="0"/>
    <n v="0"/>
    <n v="0"/>
    <n v="0"/>
    <n v="0"/>
    <n v="0"/>
    <n v="10137.722759007056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2506742.4639529102"/>
    <n v="0"/>
    <n v="0"/>
    <n v="0"/>
    <n v="835580.82131763641"/>
    <n v="835580.82131763641"/>
    <n v="2506742.4639529102"/>
    <n v="0.41696318564571383"/>
    <n v="1.6678527425828558"/>
    <n v="1.2508895569371419"/>
    <n v="0.41696318564571389"/>
    <n v="50134.84927905818"/>
    <n v="200539.39711623278"/>
    <n v="150404.54783717461"/>
    <n v="50134.849279058166"/>
    <n v="0"/>
    <x v="0"/>
  </r>
  <r>
    <x v="42"/>
    <s v="Husdyrgødning"/>
    <n v="1"/>
    <x v="1"/>
    <s v="Østdanmark"/>
    <n v="1638224.8785321345"/>
    <n v="0"/>
    <n v="0"/>
    <n v="0"/>
    <n v="1228668.658899101"/>
    <n v="409556.21963303362"/>
    <n v="0"/>
    <n v="0"/>
    <n v="0"/>
    <n v="0"/>
    <n v="1228668.658899101"/>
    <n v="0"/>
    <n v="0.5293104582537328"/>
    <n v="0.5293104582537328"/>
    <n v="0"/>
    <n v="0"/>
    <n v="61433.43294495505"/>
    <n v="61433.43294495505"/>
    <n v="0"/>
    <n v="0"/>
    <x v="1"/>
  </r>
  <r>
    <x v="43"/>
    <s v=""/>
    <n v="0"/>
    <x v="1"/>
    <s v="Østdanmark"/>
    <n v="149752.58402122525"/>
    <n v="0"/>
    <n v="0"/>
    <n v="84421.151879638346"/>
    <n v="0"/>
    <n v="0"/>
    <n v="0"/>
    <n v="0"/>
    <n v="65331.4321415869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355.98293935158"/>
    <n v="0"/>
    <n v="0"/>
    <n v="0"/>
    <n v="0"/>
    <n v="0"/>
    <n v="647355.98293935158"/>
    <n v="0"/>
    <n v="0"/>
    <n v="0"/>
    <n v="647355.98293935158"/>
    <n v="0"/>
    <n v="9.3824985420606239"/>
    <n v="0"/>
    <n v="9.3824985420606239"/>
    <n v="0"/>
    <n v="320171.47989542095"/>
    <n v="0"/>
    <n v="320171.47989542095"/>
    <n v="0"/>
    <x v="1"/>
  </r>
  <r>
    <x v="47"/>
    <s v=""/>
    <n v="0"/>
    <x v="1"/>
    <s v="Østdanmark"/>
    <n v="178138.28255074998"/>
    <n v="0"/>
    <n v="0"/>
    <n v="0"/>
    <n v="0"/>
    <n v="0"/>
    <n v="0"/>
    <n v="0"/>
    <n v="178138.2825507499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172969.00798479689"/>
    <n v="3942.6753668076931"/>
    <n v="0"/>
    <n v="88596.006060305852"/>
    <n v="0"/>
    <n v="0"/>
    <n v="0"/>
    <n v="0"/>
    <n v="80430.32655768333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9136693.06427222"/>
    <n v="0"/>
    <n v="0"/>
    <n v="0"/>
    <n v="0"/>
    <n v="0"/>
    <n v="139136693.06427222"/>
    <n v="0"/>
    <n v="0"/>
    <n v="0"/>
    <n v="139136693.06427222"/>
    <n v="0"/>
    <n v="0"/>
    <n v="0"/>
    <n v="0"/>
    <n v="0"/>
    <n v="0"/>
    <n v="0"/>
    <n v="0"/>
    <n v="0"/>
    <x v="1"/>
  </r>
  <r>
    <x v="4"/>
    <s v=""/>
    <n v="0"/>
    <x v="2"/>
    <s v="Østdanmark"/>
    <n v="5052646.7653582999"/>
    <n v="0"/>
    <n v="0"/>
    <n v="0"/>
    <n v="0"/>
    <n v="3460511.9226035657"/>
    <n v="0"/>
    <n v="0"/>
    <n v="1592134.842754734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01577.15616398031"/>
    <n v="0"/>
    <n v="0"/>
    <n v="0"/>
    <n v="181419.44054758229"/>
    <n v="0"/>
    <n v="0"/>
    <n v="0"/>
    <n v="20157.715616398025"/>
    <n v="20157.715616398025"/>
    <n v="181419.44054758229"/>
    <n v="1.1450108121638393E-2"/>
    <n v="0.11450108121638396"/>
    <n v="0.10305097309474556"/>
    <n v="1.1450108121638394E-2"/>
    <n v="862.01220519749984"/>
    <n v="8620.1220519750004"/>
    <n v="7758.1098467775009"/>
    <n v="862.0122051974995"/>
    <n v="0"/>
    <x v="0"/>
  </r>
  <r>
    <x v="6"/>
    <s v="Husdyrgødning"/>
    <n v="1"/>
    <x v="2"/>
    <s v="Østdanmark"/>
    <n v="195972.35856769816"/>
    <n v="0"/>
    <n v="0"/>
    <n v="0"/>
    <n v="176375.12271092835"/>
    <n v="7418.9535743485703"/>
    <n v="0"/>
    <n v="0"/>
    <n v="12178.282282421249"/>
    <n v="12178.282282421249"/>
    <n v="176375.12271092835"/>
    <n v="2.623202003633537E-2"/>
    <n v="0.40614403435567503"/>
    <n v="0.37991201431933969"/>
    <n v="2.6232020036335346E-2"/>
    <n v="3653.4846847263748"/>
    <n v="56566.021498004877"/>
    <n v="52912.536813278501"/>
    <n v="3653.4846847263761"/>
    <n v="0"/>
    <x v="0"/>
  </r>
  <r>
    <x v="7"/>
    <s v=""/>
    <n v="0"/>
    <x v="2"/>
    <s v="Østdanmark"/>
    <n v="141978.48085605886"/>
    <n v="138048.85738122172"/>
    <n v="0"/>
    <n v="0"/>
    <n v="0"/>
    <n v="0"/>
    <n v="0"/>
    <n v="0"/>
    <n v="3929.623474837135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  <n v="0"/>
    <x v="0"/>
  </r>
  <r>
    <x v="9"/>
    <s v=""/>
    <n v="0"/>
    <x v="2"/>
    <s v="Østdanmark"/>
    <n v="14575.114892812006"/>
    <n v="0"/>
    <n v="0"/>
    <n v="17596.15120364408"/>
    <n v="0"/>
    <n v="0"/>
    <n v="0"/>
    <n v="0"/>
    <n v="-3021.0363108320744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21135.685502875454"/>
    <n v="0"/>
    <n v="0"/>
    <n v="233795.01599247381"/>
    <n v="0"/>
    <n v="0"/>
    <n v="0"/>
    <n v="0"/>
    <n v="-212659.3304895983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533955.982275791"/>
    <n v="791002.77397514437"/>
    <n v="0"/>
    <n v="0"/>
    <n v="22809.516280488293"/>
    <n v="0"/>
    <n v="0"/>
    <n v="412516.61343583919"/>
    <n v="2307627.078584319"/>
    <n v="1875918.1983914766"/>
    <n v="22809.516280488293"/>
    <n v="3.4514549952655185"/>
    <n v="3.4934216540320819"/>
    <n v="4.19666587665634E-2"/>
    <n v="3.4514549952655185"/>
    <n v="525257.09554961347"/>
    <n v="531643.76010815019"/>
    <n v="6386.6645585367223"/>
    <n v="525257.09554961347"/>
    <n v="0"/>
    <x v="0"/>
  </r>
  <r>
    <x v="14"/>
    <s v=""/>
    <n v="0"/>
    <x v="2"/>
    <s v="Østdanmark"/>
    <n v="68960.976415800003"/>
    <n v="68960.9764158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14043.64550146319"/>
    <n v="0"/>
    <n v="0"/>
    <n v="244869.51675001203"/>
    <n v="0"/>
    <n v="0"/>
    <n v="0"/>
    <n v="0"/>
    <n v="-130825.871248548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0610.47583601228"/>
    <n v="49447.319546988874"/>
    <n v="52105.736853839095"/>
    <n v="0"/>
    <n v="0"/>
    <n v="0"/>
    <n v="529057.41943518422"/>
    <n v="0"/>
    <n v="0"/>
    <n v="0"/>
    <n v="529057.41943518422"/>
    <n v="0"/>
    <n v="5.4682350295642461"/>
    <n v="0"/>
    <n v="5.4682350295642461"/>
    <n v="0"/>
    <n v="449698.80651990656"/>
    <n v="0"/>
    <n v="449698.8065199065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5713.38946982374"/>
    <n v="0"/>
    <n v="0"/>
    <n v="0"/>
    <n v="240541.65078285753"/>
    <n v="0"/>
    <n v="0"/>
    <n v="0"/>
    <n v="-54828.261313033785"/>
    <n v="0"/>
    <n v="240541.65078285753"/>
    <n v="0"/>
    <n v="0.88595350676821505"/>
    <n v="0.88595350676821505"/>
    <n v="0"/>
    <n v="0"/>
    <n v="101027.49332880016"/>
    <n v="101027.49332880016"/>
    <n v="0"/>
    <n v="1"/>
    <x v="1"/>
  </r>
  <r>
    <x v="20"/>
    <s v=""/>
    <n v="0"/>
    <x v="2"/>
    <s v="Østdanmark"/>
    <n v="248947.97885223315"/>
    <n v="0"/>
    <n v="0"/>
    <n v="0"/>
    <n v="0"/>
    <n v="0"/>
    <n v="0"/>
    <n v="0"/>
    <n v="248947.9788522331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8652.13279396389"/>
    <n v="0"/>
    <n v="0"/>
    <n v="111975.50765955324"/>
    <n v="0"/>
    <n v="0"/>
    <n v="0"/>
    <n v="0"/>
    <n v="416676.6251344106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79710.03456447175"/>
    <n v="0"/>
    <n v="268249.01834925939"/>
    <n v="1007.9394649217019"/>
    <n v="0"/>
    <n v="0"/>
    <n v="0"/>
    <n v="773553.76921461651"/>
    <n v="773553.76921461651"/>
    <n v="1007.9394649217019"/>
    <n v="2.6493133620323719"/>
    <n v="2.6527654135882037"/>
    <n v="3.4520515558317407E-3"/>
    <n v="2.6493133620323719"/>
    <n v="239801.66845653113"/>
    <n v="240114.12969065685"/>
    <n v="312.46123412572757"/>
    <n v="239801.66845653113"/>
    <n v="0"/>
    <x v="0"/>
  </r>
  <r>
    <x v="23"/>
    <s v=""/>
    <n v="0"/>
    <x v="2"/>
    <s v="Østdanmark"/>
    <n v="0"/>
    <n v="0"/>
    <n v="0"/>
    <n v="0"/>
    <n v="0"/>
    <n v="290582.47430971975"/>
    <n v="0"/>
    <n v="0"/>
    <n v="-290582.4743097197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543093.8440394944"/>
    <n v="0"/>
    <n v="0"/>
    <n v="0"/>
    <n v="488784.45963554498"/>
    <n v="35979.967167616494"/>
    <n v="0"/>
    <n v="0"/>
    <n v="18329.417236332898"/>
    <n v="18329.417236332898"/>
    <n v="488784.45963554498"/>
    <n v="9.2781677108593509E-3"/>
    <n v="0.25669597333377592"/>
    <n v="0.24741780562291654"/>
    <n v="9.2781677108593752E-3"/>
    <n v="1393.0357099613002"/>
    <n v="38540.654642262714"/>
    <n v="37147.618932301419"/>
    <n v="1393.0357099612957"/>
    <n v="0"/>
    <x v="0"/>
  </r>
  <r>
    <x v="25"/>
    <s v=""/>
    <n v="0"/>
    <x v="2"/>
    <s v="Østdanmark"/>
    <n v="67842.280418029826"/>
    <n v="97541.304810973612"/>
    <n v="0"/>
    <n v="0"/>
    <n v="0"/>
    <n v="0"/>
    <n v="0"/>
    <n v="0"/>
    <n v="-29699.02439294378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62586.9095964739"/>
    <n v="364366.95127418567"/>
    <n v="0"/>
    <n v="0"/>
    <n v="87862.083818699844"/>
    <n v="0"/>
    <n v="0"/>
    <n v="0"/>
    <n v="710357.87450358842"/>
    <n v="611948.68599171343"/>
    <n v="87862.083818699844"/>
    <n v="2.1968957827102513"/>
    <n v="2.5123206636193838"/>
    <n v="0.31542488090913245"/>
    <n v="2.1968957827102513"/>
    <n v="183584.60579751403"/>
    <n v="209943.23094312396"/>
    <n v="26358.625145609953"/>
    <n v="183584.605797514"/>
    <n v="0"/>
    <x v="0"/>
  </r>
  <r>
    <x v="27"/>
    <s v=""/>
    <n v="0"/>
    <x v="2"/>
    <s v="Østdanmark"/>
    <n v="130900.39178627841"/>
    <n v="0"/>
    <n v="0"/>
    <n v="428214.02929147833"/>
    <n v="0"/>
    <n v="0"/>
    <n v="0"/>
    <n v="0"/>
    <n v="-297313.63750519993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4383.3381279488276"/>
    <n v="0"/>
    <n v="0"/>
    <n v="29926.992547120819"/>
    <n v="0"/>
    <n v="0"/>
    <n v="0"/>
    <n v="0"/>
    <n v="-25543.654419171991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70882.10534501984"/>
    <n v="0"/>
    <n v="0"/>
    <n v="0"/>
    <n v="0"/>
    <n v="0"/>
    <n v="0"/>
    <n v="0"/>
    <n v="370882.1053450198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60719.109564821476"/>
    <n v="0"/>
    <n v="0"/>
    <n v="0"/>
    <n v="0"/>
    <n v="0"/>
    <n v="60719.109564821476"/>
    <n v="0"/>
    <n v="0"/>
    <n v="0"/>
    <n v="60719.109564821476"/>
    <n v="0"/>
    <n v="1.1172316159927149"/>
    <n v="0"/>
    <n v="1.1172316159927149"/>
    <n v="0"/>
    <n v="25198.430469400915"/>
    <n v="0"/>
    <n v="25198.43046940091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03838.63815826486"/>
    <n v="0"/>
    <n v="0"/>
    <n v="0"/>
    <n v="0"/>
    <n v="0"/>
    <n v="0"/>
    <n v="0"/>
    <n v="203838.6381582648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8245.06049109949"/>
    <n v="0"/>
    <n v="0"/>
    <n v="0"/>
    <n v="0"/>
    <n v="0"/>
    <n v="0"/>
    <n v="218245.0604910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9122.53024554974"/>
    <n v="13554.514373080499"/>
    <n v="0"/>
    <n v="0"/>
    <n v="0"/>
    <n v="0"/>
    <n v="0"/>
    <n v="0"/>
    <n v="95568.01587246924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9838.419357151841"/>
    <n v="0"/>
    <n v="0"/>
    <n v="0"/>
    <n v="0"/>
    <n v="0"/>
    <n v="69838.419357151841"/>
    <n v="0"/>
    <n v="0"/>
    <n v="0"/>
    <n v="69838.419357151841"/>
    <n v="0"/>
    <n v="2.4443446775003141"/>
    <n v="0"/>
    <n v="2.4443446775003141"/>
    <n v="0"/>
    <n v="0"/>
    <n v="0"/>
    <n v="0"/>
    <n v="0"/>
    <x v="1"/>
  </r>
  <r>
    <x v="38"/>
    <s v="Græs og urter"/>
    <n v="1"/>
    <x v="2"/>
    <s v="Østdanmark"/>
    <n v="404559.22723466193"/>
    <n v="56093.517718673087"/>
    <n v="0"/>
    <n v="0"/>
    <n v="7626.113609207122"/>
    <n v="0"/>
    <n v="0"/>
    <n v="0"/>
    <n v="340839.59590678173"/>
    <n v="340839.59590678173"/>
    <n v="7626.113609207122"/>
    <n v="0.92505229687484192"/>
    <n v="0.94574987425477441"/>
    <n v="2.0697577379932497E-2"/>
    <n v="0.92505229687484192"/>
    <n v="68167.919181356352"/>
    <n v="69693.141903197771"/>
    <n v="1525.2227218414246"/>
    <n v="68167.919181356352"/>
    <n v="0"/>
    <x v="0"/>
  </r>
  <r>
    <x v="39"/>
    <s v=""/>
    <n v="0"/>
    <x v="2"/>
    <s v="Østdanmark"/>
    <n v="11428.212399077393"/>
    <n v="0"/>
    <n v="0"/>
    <n v="0"/>
    <n v="0"/>
    <n v="0"/>
    <n v="0"/>
    <n v="0"/>
    <n v="11428.212399077393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939.6567067551059"/>
    <n v="2485.0802312000001"/>
    <n v="0"/>
    <n v="0"/>
    <n v="0"/>
    <n v="0"/>
    <n v="0"/>
    <n v="0"/>
    <n v="6454.576475555106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884.1812019288"/>
    <n v="0"/>
    <n v="0"/>
    <n v="0"/>
    <n v="3147195.7630817359"/>
    <n v="0"/>
    <n v="0"/>
    <n v="0"/>
    <n v="349688.41812019283"/>
    <n v="349688.41812019283"/>
    <n v="3147195.7630817359"/>
    <n v="0.17449801752615746"/>
    <n v="1.7449801752615748"/>
    <n v="1.5704821577354173"/>
    <n v="0.17449801752615746"/>
    <n v="20981.305087211567"/>
    <n v="209813.05087211571"/>
    <n v="188831.74578490414"/>
    <n v="20981.305087211571"/>
    <n v="0"/>
    <x v="0"/>
  </r>
  <r>
    <x v="42"/>
    <s v="Husdyrgødning"/>
    <n v="1"/>
    <x v="2"/>
    <s v="Østdanmark"/>
    <n v="1045598.7208186348"/>
    <n v="0"/>
    <n v="0"/>
    <n v="0"/>
    <n v="941038.84873677138"/>
    <n v="104559.87208186346"/>
    <n v="0"/>
    <n v="0"/>
    <n v="0"/>
    <n v="0"/>
    <n v="941038.84873677138"/>
    <n v="0"/>
    <n v="0.4053995360358012"/>
    <n v="0.4053995360358012"/>
    <n v="0"/>
    <n v="0"/>
    <n v="47051.942436838573"/>
    <n v="47051.942436838573"/>
    <n v="0"/>
    <n v="0"/>
    <x v="1"/>
  </r>
  <r>
    <x v="43"/>
    <s v=""/>
    <n v="0"/>
    <x v="2"/>
    <s v="Østdanmark"/>
    <n v="97091.997795525866"/>
    <n v="0"/>
    <n v="0"/>
    <n v="60760.863656275607"/>
    <n v="0"/>
    <n v="0"/>
    <n v="0"/>
    <n v="0"/>
    <n v="36331.13413925025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3007.09555249952"/>
    <n v="0"/>
    <n v="0"/>
    <n v="0"/>
    <n v="0"/>
    <n v="0"/>
    <n v="623007.09555249952"/>
    <n v="0"/>
    <n v="0"/>
    <n v="0"/>
    <n v="623007.09555249952"/>
    <n v="0"/>
    <n v="9.0295962650620645"/>
    <n v="0"/>
    <n v="9.0295962650620645"/>
    <n v="0"/>
    <n v="308128.92600867373"/>
    <n v="0"/>
    <n v="308128.92600867373"/>
    <n v="0"/>
    <x v="1"/>
  </r>
  <r>
    <x v="47"/>
    <s v=""/>
    <n v="0"/>
    <x v="2"/>
    <s v="Østdanmark"/>
    <n v="176175.00365604501"/>
    <n v="0"/>
    <n v="0"/>
    <n v="0"/>
    <n v="0"/>
    <n v="0"/>
    <n v="0"/>
    <n v="0"/>
    <n v="176175.00365604501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77252.6136078448"/>
    <n v="47085.713440742315"/>
    <n v="0"/>
    <n v="43439.71273733316"/>
    <n v="0"/>
    <n v="0"/>
    <n v="0"/>
    <n v="0"/>
    <n v="486727.1874297693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22499842.39083052"/>
    <n v="0"/>
    <n v="0"/>
    <n v="0"/>
    <n v="0"/>
    <n v="0"/>
    <n v="522499842.39083052"/>
    <n v="0"/>
    <n v="0"/>
    <n v="0"/>
    <n v="522499842.39083052"/>
    <n v="0"/>
    <n v="0"/>
    <n v="0"/>
    <n v="0"/>
    <n v="0"/>
    <n v="0"/>
    <n v="0"/>
    <n v="0"/>
    <x v="0"/>
  </r>
  <r>
    <x v="4"/>
    <s v=""/>
    <n v="0"/>
    <x v="1"/>
    <s v="Vestdanmark"/>
    <n v="21815696.085202374"/>
    <n v="0"/>
    <n v="0"/>
    <n v="0"/>
    <n v="0"/>
    <n v="16744738.31698148"/>
    <n v="0"/>
    <n v="0"/>
    <n v="5070957.76822089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07351.1837272928"/>
    <n v="0"/>
    <n v="0"/>
    <n v="0"/>
    <n v="1805513.3877954697"/>
    <n v="0"/>
    <n v="0"/>
    <n v="0"/>
    <n v="601837.79593182309"/>
    <n v="601837.79593182309"/>
    <n v="1805513.3877954697"/>
    <n v="0.34185956217688157"/>
    <n v="1.3674382487075265"/>
    <n v="1.0255786865306449"/>
    <n v="0.34185956217688163"/>
    <n v="25736.622914769367"/>
    <n v="102946.49165907748"/>
    <n v="77209.868744308114"/>
    <n v="25736.622914769367"/>
    <x v="0"/>
  </r>
  <r>
    <x v="6"/>
    <s v="Husdyrgødning"/>
    <n v="1"/>
    <x v="1"/>
    <s v="Vestdanmark"/>
    <n v="2037297.4995217314"/>
    <n v="0"/>
    <n v="0"/>
    <n v="0"/>
    <n v="1527973.1246412985"/>
    <n v="192815.65620473531"/>
    <n v="0"/>
    <n v="0"/>
    <n v="316508.71867569746"/>
    <n v="316508.71867569746"/>
    <n v="1527973.1246412985"/>
    <n v="0.6817597800274523"/>
    <n v="3.9730138905048094"/>
    <n v="3.2912541104773569"/>
    <n v="0.68175978002745241"/>
    <n v="94952.615602709237"/>
    <n v="553344.55299509875"/>
    <n v="458391.93739238958"/>
    <n v="94952.615602709178"/>
    <x v="0"/>
  </r>
  <r>
    <x v="7"/>
    <s v=""/>
    <n v="0"/>
    <x v="1"/>
    <s v="Vestdanmark"/>
    <n v="1695589.2743848059"/>
    <n v="1648659.4341996606"/>
    <n v="0"/>
    <n v="0"/>
    <n v="0"/>
    <n v="0"/>
    <n v="0"/>
    <n v="0"/>
    <n v="46929.840185145382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6257.0446016591122"/>
    <n v="1579.1588756568235"/>
    <n v="0"/>
    <n v="0"/>
    <n v="506.52265822954723"/>
    <n v="506.52265822954723"/>
    <n v="6257.0446016591122"/>
    <n v="2.3821254093877377E-4"/>
    <n v="3.1808380466530374E-3"/>
    <n v="2.9426255057142638E-3"/>
    <n v="2.3821254093877361E-4"/>
    <n v="31.910927468461477"/>
    <n v="426.10473737298554"/>
    <n v="394.19380990452407"/>
    <n v="31.910927468461466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  <x v="0"/>
  </r>
  <r>
    <x v="11"/>
    <s v=""/>
    <n v="0"/>
    <x v="1"/>
    <s v="Vestdanmark"/>
    <n v="70289.623650350084"/>
    <n v="0"/>
    <n v="0"/>
    <n v="257923.29437791562"/>
    <n v="0"/>
    <n v="0"/>
    <n v="0"/>
    <n v="0"/>
    <n v="-187633.6707275655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2888299.417168394"/>
    <n v="9446613.3985518552"/>
    <n v="0"/>
    <n v="0"/>
    <n v="66046.573899106617"/>
    <n v="0"/>
    <n v="0"/>
    <n v="4926512.3913847189"/>
    <n v="-1550872.9466672875"/>
    <n v="0"/>
    <n v="66046.573899106617"/>
    <n v="0"/>
    <n v="0.1215174401526188"/>
    <n v="0.1215174401526188"/>
    <n v="0"/>
    <n v="0"/>
    <n v="18493.040691749855"/>
    <n v="18493.040691749855"/>
    <n v="0"/>
    <x v="0"/>
  </r>
  <r>
    <x v="14"/>
    <s v=""/>
    <n v="0"/>
    <x v="1"/>
    <s v="Vestdanmark"/>
    <n v="823571.93327261996"/>
    <n v="823571.933272619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377350.81919472688"/>
    <n v="0"/>
    <n v="0"/>
    <n v="270140.71358529059"/>
    <n v="0"/>
    <n v="0"/>
    <n v="0"/>
    <n v="0"/>
    <n v="107210.10560943629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138392.1592439888"/>
    <n v="590528.53760249668"/>
    <n v="548687.13677357347"/>
    <n v="0"/>
    <n v="0"/>
    <n v="0"/>
    <n v="999176.48486791842"/>
    <n v="0"/>
    <n v="0"/>
    <n v="0"/>
    <n v="999176.48486791842"/>
    <n v="0"/>
    <n v="10.327294646211824"/>
    <n v="0"/>
    <n v="10.327294646211824"/>
    <n v="0"/>
    <n v="849300.01213773061"/>
    <n v="0"/>
    <n v="849300.01213773061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48896.7894108406"/>
    <n v="0"/>
    <n v="0"/>
    <n v="0"/>
    <n v="506863.86710295174"/>
    <n v="0"/>
    <n v="0"/>
    <n v="0"/>
    <n v="-57967.077692111139"/>
    <n v="0"/>
    <n v="506863.86710295174"/>
    <n v="0"/>
    <n v="1.8668609741908415"/>
    <n v="1.8668609741908415"/>
    <n v="0"/>
    <n v="0"/>
    <n v="212882.82418323972"/>
    <n v="212882.82418323972"/>
    <n v="0"/>
    <x v="1"/>
  </r>
  <r>
    <x v="20"/>
    <s v=""/>
    <n v="0"/>
    <x v="1"/>
    <s v="Vestdanmark"/>
    <n v="841621.76621839835"/>
    <n v="0"/>
    <n v="0"/>
    <n v="0"/>
    <n v="0"/>
    <n v="0"/>
    <n v="0"/>
    <n v="0"/>
    <n v="841621.76621839835"/>
    <n v="0"/>
    <n v="0"/>
    <n v="0"/>
    <n v="0"/>
    <n v="0"/>
    <n v="0"/>
    <n v="0"/>
    <n v="0"/>
    <n v="0"/>
    <n v="0"/>
    <x v="0"/>
  </r>
  <r>
    <x v="21"/>
    <s v=""/>
    <n v="0"/>
    <x v="1"/>
    <s v="Vestdanmark"/>
    <n v="1805737.9339992611"/>
    <n v="0"/>
    <n v="0"/>
    <n v="123531.68309679118"/>
    <n v="0"/>
    <n v="0"/>
    <n v="0"/>
    <n v="0"/>
    <n v="1682206.25090247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836920.0011490174"/>
    <n v="4534717.2198337205"/>
    <n v="0"/>
    <n v="295933.04302308214"/>
    <n v="2871.1113857879218"/>
    <n v="0"/>
    <n v="0"/>
    <n v="0"/>
    <n v="3398.6269064266235"/>
    <n v="3398.6269064266235"/>
    <n v="2871.1113857879218"/>
    <n v="1.1639821346744288E-2"/>
    <n v="2.1472975887473912E-2"/>
    <n v="9.8331545407296227E-3"/>
    <n v="1.1639821346744289E-2"/>
    <n v="1053.5743409922532"/>
    <n v="1943.618870586509"/>
    <n v="890.04452959425578"/>
    <n v="1053.5743409922534"/>
    <x v="0"/>
  </r>
  <r>
    <x v="23"/>
    <s v=""/>
    <n v="0"/>
    <x v="1"/>
    <s v="Vestdanmark"/>
    <n v="0"/>
    <n v="0"/>
    <n v="0"/>
    <n v="0"/>
    <n v="0"/>
    <n v="584756.7791203158"/>
    <n v="0"/>
    <n v="0"/>
    <n v="-584756.779120315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790098.0268014707"/>
    <n v="1720313.3142519915"/>
    <n v="0"/>
    <n v="0"/>
    <n v="876386.02801516652"/>
    <n v="876386.02801516652"/>
    <n v="7790098.0268014707"/>
    <n v="0.4436178435209972"/>
    <n v="4.3868875637076341"/>
    <n v="3.9432697201866369"/>
    <n v="0.4436178435209972"/>
    <n v="66605.33812915266"/>
    <n v="658652.78816606442"/>
    <n v="592047.45003691176"/>
    <n v="66605.33812915266"/>
    <x v="0"/>
  </r>
  <r>
    <x v="25"/>
    <s v=""/>
    <n v="0"/>
    <x v="1"/>
    <s v="Vestdanmark"/>
    <n v="1296795.0922933305"/>
    <n v="1164894.7731358123"/>
    <n v="0"/>
    <n v="0"/>
    <n v="0"/>
    <n v="0"/>
    <n v="0"/>
    <n v="0"/>
    <n v="131900.31915751821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026803.5120526911"/>
    <n v="4351481.2300827308"/>
    <n v="0"/>
    <n v="0"/>
    <n v="252542.91678668751"/>
    <n v="0"/>
    <n v="0"/>
    <n v="0"/>
    <n v="-577220.63481672714"/>
    <n v="0"/>
    <n v="252542.91678668751"/>
    <n v="0"/>
    <n v="0.90662907126420822"/>
    <n v="0.90662907126420822"/>
    <n v="0"/>
    <n v="0"/>
    <n v="75762.875036006255"/>
    <n v="75762.87503600625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267791.6894289495"/>
    <n v="0"/>
    <n v="0"/>
    <n v="0"/>
    <n v="0"/>
    <n v="0"/>
    <n v="0"/>
    <n v="0"/>
    <n v="1267791.6894289495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217981.68444215492"/>
    <n v="0"/>
    <n v="0"/>
    <n v="0"/>
    <n v="0"/>
    <n v="0"/>
    <n v="217981.68444215492"/>
    <n v="0"/>
    <n v="0"/>
    <n v="0"/>
    <n v="217981.68444215492"/>
    <n v="0"/>
    <n v="4.0108629937356497"/>
    <n v="0"/>
    <n v="4.0108629937356497"/>
    <n v="0"/>
    <n v="90462.399043494297"/>
    <n v="0"/>
    <n v="90462.399043494297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728642.31006080401"/>
    <n v="0"/>
    <n v="0"/>
    <n v="0"/>
    <n v="0"/>
    <n v="0"/>
    <n v="0"/>
    <n v="728642.3100608040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64321.15503040201"/>
    <n v="161875.86352463221"/>
    <n v="0"/>
    <n v="0"/>
    <n v="0"/>
    <n v="0"/>
    <n v="0"/>
    <n v="0"/>
    <n v="202445.2915057698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33165.53921945728"/>
    <n v="0"/>
    <n v="0"/>
    <n v="0"/>
    <n v="0"/>
    <n v="0"/>
    <n v="233165.53921945728"/>
    <n v="0"/>
    <n v="0"/>
    <n v="0"/>
    <n v="233165.53921945728"/>
    <n v="0"/>
    <n v="8.1607938726810048"/>
    <n v="0"/>
    <n v="8.1607938726810048"/>
    <n v="0"/>
    <n v="0"/>
    <n v="0"/>
    <n v="0"/>
    <x v="0"/>
  </r>
  <r>
    <x v="38"/>
    <s v="Græs og urter"/>
    <n v="1"/>
    <x v="1"/>
    <s v="Vestdanmark"/>
    <n v="1333999.0253631743"/>
    <n v="669901.28667965194"/>
    <n v="0"/>
    <n v="0"/>
    <n v="21522.666740773606"/>
    <n v="0"/>
    <n v="0"/>
    <n v="0"/>
    <n v="642575.07194274873"/>
    <n v="642575.07194274873"/>
    <n v="21522.666740773606"/>
    <n v="1.7439744482554977"/>
    <n v="1.8023878266966269"/>
    <n v="5.8413378441129198E-2"/>
    <n v="1.7439744482554977"/>
    <n v="128515.01438854975"/>
    <n v="132819.54773670447"/>
    <n v="4304.5333481547214"/>
    <n v="128515.01438854974"/>
    <x v="0"/>
  </r>
  <r>
    <x v="39"/>
    <s v=""/>
    <n v="0"/>
    <x v="1"/>
    <s v="Vestdanmark"/>
    <n v="146835.36007534855"/>
    <n v="0"/>
    <n v="0"/>
    <n v="0"/>
    <n v="0"/>
    <n v="0"/>
    <n v="0"/>
    <n v="0"/>
    <n v="146835.36007534855"/>
    <n v="0"/>
    <n v="0"/>
    <n v="0"/>
    <n v="0"/>
    <n v="0"/>
    <n v="0"/>
    <n v="0"/>
    <n v="0"/>
    <n v="0"/>
    <n v="0"/>
    <x v="0"/>
  </r>
  <r>
    <x v="40"/>
    <s v=""/>
    <n v="0"/>
    <x v="1"/>
    <s v="Vestdanmark"/>
    <n v="97609.837071587375"/>
    <n v="29678.267865680002"/>
    <n v="0"/>
    <n v="0"/>
    <n v="0"/>
    <n v="0"/>
    <n v="0"/>
    <n v="0"/>
    <n v="67931.569205907377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2962169.1298708953"/>
    <n v="0"/>
    <n v="0"/>
    <n v="0"/>
    <n v="987389.70995696541"/>
    <n v="987389.70995696541"/>
    <n v="2962169.1298708953"/>
    <n v="0.49271733916562538"/>
    <n v="1.9708693566625011"/>
    <n v="1.4781520174968756"/>
    <n v="0.49271733916562543"/>
    <n v="59243.38259741792"/>
    <n v="236973.53038967162"/>
    <n v="177730.1477922537"/>
    <n v="59243.38259741792"/>
    <x v="0"/>
  </r>
  <r>
    <x v="42"/>
    <s v="Husdyrgødning"/>
    <n v="1"/>
    <x v="1"/>
    <s v="Vestdanmark"/>
    <n v="11306124.881910803"/>
    <n v="0"/>
    <n v="0"/>
    <n v="0"/>
    <n v="8479593.6614331026"/>
    <n v="2826531.2204777007"/>
    <n v="0"/>
    <n v="0"/>
    <n v="0"/>
    <n v="0"/>
    <n v="8479593.6614331026"/>
    <n v="0"/>
    <n v="3.6530089493453812"/>
    <n v="3.6530089493453812"/>
    <n v="0"/>
    <n v="0"/>
    <n v="423979.68307165516"/>
    <n v="423979.68307165516"/>
    <n v="0"/>
    <x v="0"/>
  </r>
  <r>
    <x v="43"/>
    <s v=""/>
    <n v="0"/>
    <x v="1"/>
    <s v="Vestdanmark"/>
    <n v="1033509.7693363478"/>
    <n v="0"/>
    <n v="0"/>
    <n v="97500.435238944279"/>
    <n v="0"/>
    <n v="0"/>
    <n v="0"/>
    <n v="0"/>
    <n v="936009.33409740357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2244.569142865"/>
    <n v="0"/>
    <n v="0"/>
    <n v="0"/>
    <n v="0"/>
    <n v="0"/>
    <n v="2222244.569142865"/>
    <n v="0"/>
    <n v="0"/>
    <n v="0"/>
    <n v="2222244.569142865"/>
    <n v="0"/>
    <n v="32.208254777245877"/>
    <n v="0"/>
    <n v="32.208254777245877"/>
    <n v="0"/>
    <n v="1099085.1264885752"/>
    <n v="0"/>
    <n v="1099085.1264885752"/>
    <x v="0"/>
  </r>
  <r>
    <x v="47"/>
    <s v=""/>
    <n v="0"/>
    <x v="1"/>
    <s v="Vestdanmark"/>
    <n v="612159.6716568307"/>
    <n v="0"/>
    <n v="0"/>
    <n v="0"/>
    <n v="0"/>
    <n v="0"/>
    <n v="0"/>
    <n v="0"/>
    <n v="612159.671656830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476733.07017285493"/>
    <n v="33117.004615961538"/>
    <n v="0"/>
    <n v="101549.90665933446"/>
    <n v="0"/>
    <n v="0"/>
    <n v="0"/>
    <n v="0"/>
    <n v="342066.1588975589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75947568.56876355"/>
    <n v="0"/>
    <n v="0"/>
    <n v="0"/>
    <n v="0"/>
    <n v="0"/>
    <n v="475947568.56876355"/>
    <n v="0"/>
    <n v="0"/>
    <n v="0"/>
    <n v="475947568.56876355"/>
    <n v="0"/>
    <n v="0"/>
    <n v="0"/>
    <n v="0"/>
    <n v="0"/>
    <n v="0"/>
    <n v="0"/>
    <n v="0"/>
    <x v="0"/>
  </r>
  <r>
    <x v="4"/>
    <s v=""/>
    <n v="0"/>
    <x v="2"/>
    <s v="Vestdanmark"/>
    <n v="19329215.833900649"/>
    <n v="0"/>
    <n v="0"/>
    <n v="0"/>
    <n v="0"/>
    <n v="13238404.534113022"/>
    <n v="0"/>
    <n v="0"/>
    <n v="6090811.299787627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693173.0335586986"/>
    <n v="0"/>
    <n v="0"/>
    <n v="0"/>
    <n v="1523855.7302028288"/>
    <n v="0"/>
    <n v="0"/>
    <n v="0"/>
    <n v="169317.30335586984"/>
    <n v="169317.30335586984"/>
    <n v="1523855.7302028288"/>
    <n v="9.6176643583157292E-2"/>
    <n v="0.96176643583157295"/>
    <n v="0.8655897922484157"/>
    <n v="9.6176643583157251E-2"/>
    <n v="7240.581463762499"/>
    <n v="72405.814637624993"/>
    <n v="65165.2331738625"/>
    <n v="7240.5814637624935"/>
    <x v="0"/>
  </r>
  <r>
    <x v="6"/>
    <s v="Husdyrgødning"/>
    <n v="1"/>
    <x v="2"/>
    <s v="Vestdanmark"/>
    <n v="1481207.6483199911"/>
    <n v="0"/>
    <n v="0"/>
    <n v="0"/>
    <n v="1333086.883487992"/>
    <n v="56074.289543542509"/>
    <n v="0"/>
    <n v="0"/>
    <n v="92046.475288456539"/>
    <n v="92046.475288456539"/>
    <n v="1333086.883487992"/>
    <n v="0.19826810777133538"/>
    <n v="3.0697372548044703"/>
    <n v="2.8714691470331348"/>
    <n v="0.19826810777133552"/>
    <n v="27613.942586536959"/>
    <n v="427540.00763293455"/>
    <n v="399926.06504639756"/>
    <n v="27613.942586536985"/>
    <x v="0"/>
  </r>
  <r>
    <x v="7"/>
    <s v=""/>
    <n v="0"/>
    <x v="2"/>
    <s v="Vestdanmark"/>
    <n v="1192566.3587373532"/>
    <n v="1159558.9851527149"/>
    <n v="0"/>
    <n v="0"/>
    <n v="0"/>
    <n v="0"/>
    <n v="0"/>
    <n v="0"/>
    <n v="33007.37358463835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  <x v="0"/>
  </r>
  <r>
    <x v="9"/>
    <s v=""/>
    <n v="0"/>
    <x v="2"/>
    <s v="Vestdanmark"/>
    <n v="173658.75124992887"/>
    <n v="0"/>
    <n v="0"/>
    <n v="20168.939794840036"/>
    <n v="0"/>
    <n v="0"/>
    <n v="0"/>
    <n v="0"/>
    <n v="153489.81145508884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x v="0"/>
  </r>
  <r>
    <x v="11"/>
    <s v=""/>
    <n v="0"/>
    <x v="2"/>
    <s v="Vestdanmark"/>
    <n v="58253.649751305209"/>
    <n v="0"/>
    <n v="0"/>
    <n v="267978.92035102146"/>
    <n v="0"/>
    <n v="0"/>
    <n v="0"/>
    <n v="0"/>
    <n v="-209725.2705997162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9740273.2021653466"/>
    <n v="6644128.6892416244"/>
    <n v="0"/>
    <n v="0"/>
    <n v="62867.4837195117"/>
    <n v="0"/>
    <n v="0"/>
    <n v="3464985.9093970521"/>
    <n v="-431708.88019284233"/>
    <n v="0"/>
    <n v="62867.4837195117"/>
    <n v="0"/>
    <n v="0.11566831160843659"/>
    <n v="0.11566831160843659"/>
    <n v="0"/>
    <n v="0"/>
    <n v="17602.895441463279"/>
    <n v="17602.895441463279"/>
    <n v="0"/>
    <x v="0"/>
  </r>
  <r>
    <x v="14"/>
    <s v=""/>
    <n v="0"/>
    <x v="2"/>
    <s v="Vestdanmark"/>
    <n v="579246.51710100006"/>
    <n v="579246.5171010000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314324.23534293834"/>
    <n v="0"/>
    <n v="0"/>
    <n v="280672.65868343826"/>
    <n v="0"/>
    <n v="0"/>
    <n v="0"/>
    <n v="0"/>
    <n v="33651.57665950007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738074.2627217553"/>
    <n v="415339.06734260131"/>
    <n v="369095.7908326711"/>
    <n v="0"/>
    <n v="0"/>
    <n v="0"/>
    <n v="953639.40454648295"/>
    <n v="0"/>
    <n v="0"/>
    <n v="0"/>
    <n v="953639.40454648295"/>
    <n v="0"/>
    <n v="9.8566322027598599"/>
    <n v="0"/>
    <n v="9.8566322027598599"/>
    <n v="0"/>
    <n v="810593.49386451044"/>
    <n v="0"/>
    <n v="810593.4938645104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72513.10884401842"/>
    <n v="0"/>
    <n v="0"/>
    <n v="0"/>
    <n v="482490.34921714256"/>
    <n v="0"/>
    <n v="0"/>
    <n v="0"/>
    <n v="-109977.24037312414"/>
    <n v="0"/>
    <n v="482490.34921714256"/>
    <n v="0"/>
    <n v="1.7770893958677856"/>
    <n v="1.7770893958677856"/>
    <n v="0"/>
    <n v="0"/>
    <n v="202645.94667119987"/>
    <n v="202645.94667119987"/>
    <n v="0"/>
    <x v="1"/>
  </r>
  <r>
    <x v="20"/>
    <s v=""/>
    <n v="0"/>
    <x v="2"/>
    <s v="Vestdanmark"/>
    <n v="686144.91909286368"/>
    <n v="0"/>
    <n v="0"/>
    <n v="0"/>
    <n v="0"/>
    <n v="0"/>
    <n v="0"/>
    <n v="0"/>
    <n v="686144.91909286368"/>
    <n v="0"/>
    <n v="0"/>
    <n v="0"/>
    <n v="0"/>
    <n v="0"/>
    <n v="0"/>
    <n v="0"/>
    <n v="0"/>
    <n v="0"/>
    <n v="0"/>
    <x v="0"/>
  </r>
  <r>
    <x v="21"/>
    <s v=""/>
    <n v="0"/>
    <x v="2"/>
    <s v="Vestdanmark"/>
    <n v="1457061.1613346946"/>
    <n v="0"/>
    <n v="0"/>
    <n v="128347.79869443661"/>
    <n v="0"/>
    <n v="0"/>
    <n v="0"/>
    <n v="0"/>
    <n v="1328713.362640257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189422.8658191925"/>
    <n v="0"/>
    <n v="307470.55071854044"/>
    <n v="2778.0605350782976"/>
    <n v="0"/>
    <n v="0"/>
    <n v="0"/>
    <n v="421048.88922296651"/>
    <n v="421048.88922296651"/>
    <n v="2778.0605350782976"/>
    <n v="1.4420334987441694"/>
    <n v="1.4515479671483378"/>
    <n v="9.5144684041682595E-3"/>
    <n v="1.4420334987441694"/>
    <n v="130525.15565911961"/>
    <n v="131386.35442499389"/>
    <n v="861.19876587427223"/>
    <n v="130525.15565911961"/>
    <x v="0"/>
  </r>
  <r>
    <x v="23"/>
    <s v=""/>
    <n v="0"/>
    <x v="2"/>
    <s v="Vestdanmark"/>
    <n v="0"/>
    <n v="0"/>
    <n v="0"/>
    <n v="0"/>
    <n v="0"/>
    <n v="601145.12417380617"/>
    <n v="0"/>
    <n v="0"/>
    <n v="-601145.1241738061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7641243.9015298951"/>
    <n v="0"/>
    <n v="0"/>
    <n v="0"/>
    <n v="6877119.5113769062"/>
    <n v="506232.40847635537"/>
    <n v="0"/>
    <n v="0"/>
    <n v="257891.98167663347"/>
    <n v="257891.98167663347"/>
    <n v="6877119.5113769062"/>
    <n v="0.13054234220489511"/>
    <n v="3.611671467668772"/>
    <n v="3.4811291254638768"/>
    <n v="0.13054234220489525"/>
    <n v="19599.790607424144"/>
    <n v="542260.87347206904"/>
    <n v="522661.08286464488"/>
    <n v="19599.790607424162"/>
    <x v="0"/>
  </r>
  <r>
    <x v="25"/>
    <s v=""/>
    <n v="0"/>
    <x v="2"/>
    <s v="Vestdanmark"/>
    <n v="954530.08204683824"/>
    <n v="819310.63076273911"/>
    <n v="0"/>
    <n v="0"/>
    <n v="0"/>
    <n v="0"/>
    <n v="0"/>
    <n v="0"/>
    <n v="135219.4512840991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204301.4084430053"/>
    <n v="3060546.68077358"/>
    <n v="0"/>
    <n v="0"/>
    <n v="242163.91618130018"/>
    <n v="0"/>
    <n v="0"/>
    <n v="0"/>
    <n v="-98409.188511874992"/>
    <n v="0"/>
    <n v="242163.91618130018"/>
    <n v="0"/>
    <n v="0.8693684590908678"/>
    <n v="0.8693684590908678"/>
    <n v="0"/>
    <n v="0"/>
    <n v="72649.174854390047"/>
    <n v="72649.174854390047"/>
    <n v="0"/>
    <x v="0"/>
  </r>
  <r>
    <x v="27"/>
    <s v=""/>
    <n v="0"/>
    <x v="2"/>
    <s v="Vestdanmark"/>
    <n v="1841747.6674105611"/>
    <n v="0"/>
    <n v="0"/>
    <n v="490824.54885344987"/>
    <n v="0"/>
    <n v="0"/>
    <n v="0"/>
    <n v="0"/>
    <n v="1350923.118557111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61672.869442609102"/>
    <n v="0"/>
    <n v="0"/>
    <n v="34302.712220301015"/>
    <n v="0"/>
    <n v="0"/>
    <n v="0"/>
    <n v="0"/>
    <n v="27370.157222308088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217.4078862639"/>
    <n v="0"/>
    <n v="0"/>
    <n v="0"/>
    <n v="0"/>
    <n v="0"/>
    <n v="0"/>
    <n v="0"/>
    <n v="1022217.407886263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67353.17803041782"/>
    <n v="0"/>
    <n v="0"/>
    <n v="0"/>
    <n v="0"/>
    <n v="0"/>
    <n v="167353.17803041782"/>
    <n v="0"/>
    <n v="0"/>
    <n v="0"/>
    <n v="167353.17803041782"/>
    <n v="0"/>
    <n v="3.0792984757596873"/>
    <n v="0"/>
    <n v="3.0792984757596873"/>
    <n v="0"/>
    <n v="69451.568882623396"/>
    <n v="0"/>
    <n v="69451.56888262339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2867977.1789306658"/>
    <n v="0"/>
    <n v="0"/>
    <n v="0"/>
    <n v="0"/>
    <n v="0"/>
    <n v="0"/>
    <n v="0"/>
    <n v="2867977.1789306658"/>
    <n v="0"/>
    <n v="0"/>
    <n v="0"/>
    <n v="0"/>
    <n v="0"/>
    <n v="0"/>
    <n v="0"/>
    <n v="0"/>
    <n v="0"/>
    <n v="0"/>
    <x v="0"/>
  </r>
  <r>
    <x v="35"/>
    <s v=""/>
    <n v="0"/>
    <x v="2"/>
    <s v="Vestdanmark"/>
    <n v="601521.71713762206"/>
    <n v="0"/>
    <n v="0"/>
    <n v="0"/>
    <n v="0"/>
    <n v="0"/>
    <n v="0"/>
    <n v="601521.7171376220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300760.85856881103"/>
    <n v="113852.8723007386"/>
    <n v="0"/>
    <n v="0"/>
    <n v="0"/>
    <n v="0"/>
    <n v="0"/>
    <n v="0"/>
    <n v="186907.9862680724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92486.94948403907"/>
    <n v="0"/>
    <n v="0"/>
    <n v="0"/>
    <n v="0"/>
    <n v="0"/>
    <n v="192486.94948403907"/>
    <n v="0"/>
    <n v="0"/>
    <n v="0"/>
    <n v="192486.94948403907"/>
    <n v="0"/>
    <n v="6.7370432319413665"/>
    <n v="0"/>
    <n v="6.7370432319413665"/>
    <n v="0"/>
    <n v="0"/>
    <n v="0"/>
    <n v="0"/>
    <x v="0"/>
  </r>
  <r>
    <x v="38"/>
    <s v="Græs og urter"/>
    <n v="1"/>
    <x v="2"/>
    <s v="Vestdanmark"/>
    <n v="1115035.1111116486"/>
    <n v="471164.6565816346"/>
    <n v="0"/>
    <n v="0"/>
    <n v="21018.886390792875"/>
    <n v="0"/>
    <n v="0"/>
    <n v="0"/>
    <n v="622851.56813922117"/>
    <n v="622851.56813922117"/>
    <n v="21018.886390792875"/>
    <n v="1.6904440699925718"/>
    <n v="1.7474901684126394"/>
    <n v="5.7046098420067498E-2"/>
    <n v="1.6904440699925718"/>
    <n v="124570.31362784424"/>
    <n v="128774.09090600282"/>
    <n v="4203.7772781585754"/>
    <n v="124570.31362784424"/>
    <x v="0"/>
  </r>
  <r>
    <x v="39"/>
    <s v=""/>
    <n v="0"/>
    <x v="2"/>
    <s v="Vestdanmark"/>
    <n v="99547.272105381227"/>
    <n v="0"/>
    <n v="0"/>
    <n v="0"/>
    <n v="0"/>
    <n v="0"/>
    <n v="0"/>
    <n v="0"/>
    <n v="99547.272105381227"/>
    <n v="0"/>
    <n v="0"/>
    <n v="0"/>
    <n v="0"/>
    <n v="0"/>
    <n v="0"/>
    <n v="0"/>
    <n v="0"/>
    <n v="0"/>
    <n v="0"/>
    <x v="0"/>
  </r>
  <r>
    <x v="40"/>
    <s v=""/>
    <n v="0"/>
    <x v="2"/>
    <s v="Vestdanmark"/>
    <n v="63708.16798650907"/>
    <n v="20873.748363999999"/>
    <n v="0"/>
    <n v="0"/>
    <n v="0"/>
    <n v="0"/>
    <n v="0"/>
    <n v="0"/>
    <n v="42834.41962250907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74032.978134946"/>
    <n v="0"/>
    <n v="0"/>
    <n v="0"/>
    <n v="3666629.6803214513"/>
    <n v="0"/>
    <n v="0"/>
    <n v="0"/>
    <n v="407403.29781349469"/>
    <n v="407403.29781349469"/>
    <n v="3666629.6803214513"/>
    <n v="0.203298319641912"/>
    <n v="2.0329831964191194"/>
    <n v="1.8296848767772076"/>
    <n v="0.20329831964191181"/>
    <n v="24444.197868809679"/>
    <n v="244441.97868809674"/>
    <n v="219997.78081928706"/>
    <n v="24444.197868809686"/>
    <x v="0"/>
  </r>
  <r>
    <x v="42"/>
    <s v="Husdyrgødning"/>
    <n v="1"/>
    <x v="2"/>
    <s v="Vestdanmark"/>
    <n v="7216145.8837897805"/>
    <n v="0"/>
    <n v="0"/>
    <n v="0"/>
    <n v="6494531.2954108026"/>
    <n v="721614.58837897785"/>
    <n v="0"/>
    <n v="0"/>
    <n v="0"/>
    <n v="0"/>
    <n v="6494531.2954108026"/>
    <n v="0"/>
    <n v="2.7978440820629742"/>
    <n v="2.7978440820629742"/>
    <n v="0"/>
    <n v="0"/>
    <n v="324726.56477054016"/>
    <n v="324726.56477054016"/>
    <n v="0"/>
    <x v="0"/>
  </r>
  <r>
    <x v="43"/>
    <s v=""/>
    <n v="0"/>
    <x v="2"/>
    <s v="Vestdanmark"/>
    <n v="670075.43744177814"/>
    <n v="0"/>
    <n v="0"/>
    <n v="69644.90056848996"/>
    <n v="0"/>
    <n v="0"/>
    <n v="0"/>
    <n v="0"/>
    <n v="600430.5368732882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301188.929717523"/>
    <n v="0"/>
    <n v="0"/>
    <n v="0"/>
    <n v="0"/>
    <n v="0"/>
    <n v="2301188.929717523"/>
    <n v="0"/>
    <n v="0"/>
    <n v="0"/>
    <n v="2301188.929717523"/>
    <n v="0"/>
    <n v="33.352440306562336"/>
    <n v="0"/>
    <n v="33.352440306562336"/>
    <n v="0"/>
    <n v="1138129.6914894583"/>
    <n v="0"/>
    <n v="1138129.6914894583"/>
    <x v="0"/>
  </r>
  <r>
    <x v="47"/>
    <s v=""/>
    <n v="0"/>
    <x v="2"/>
    <s v="Vestdanmark"/>
    <n v="671197.32778518158"/>
    <n v="0"/>
    <n v="0"/>
    <n v="0"/>
    <n v="0"/>
    <n v="0"/>
    <n v="0"/>
    <n v="0"/>
    <n v="671197.32778518158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5537.64414936668"/>
    <n v="5718.282542457694"/>
    <n v="0"/>
    <n v="37612.453499504722"/>
    <n v="0"/>
    <n v="0"/>
    <n v="0"/>
    <n v="0"/>
    <n v="142206.9081074042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3104893.80827114"/>
    <n v="0"/>
    <n v="0"/>
    <n v="0"/>
    <n v="0"/>
    <n v="0"/>
    <n v="133104893.80827114"/>
    <n v="0"/>
    <n v="0"/>
    <n v="0"/>
    <n v="133104893.80827114"/>
    <n v="0"/>
    <n v="0"/>
    <n v="0"/>
    <n v="0"/>
    <n v="0"/>
    <n v="0"/>
    <n v="0"/>
    <n v="0"/>
    <x v="0"/>
  </r>
  <r>
    <x v="4"/>
    <s v=""/>
    <n v="0"/>
    <x v="1"/>
    <s v="Østdanmark"/>
    <n v="4812460.2718073083"/>
    <n v="0"/>
    <n v="0"/>
    <n v="0"/>
    <n v="0"/>
    <n v="3693826.1148101897"/>
    <n v="0"/>
    <n v="0"/>
    <n v="1118634.156997118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292358.62093917595"/>
    <n v="0"/>
    <n v="0"/>
    <n v="0"/>
    <n v="219268.96570438196"/>
    <n v="0"/>
    <n v="0"/>
    <n v="0"/>
    <n v="73089.655234793987"/>
    <n v="73089.655234793987"/>
    <n v="219268.96570438196"/>
    <n v="4.1516830127857875E-2"/>
    <n v="0.1660673205114315"/>
    <n v="0.12455049038357362"/>
    <n v="4.1516830127857882E-2"/>
    <n v="3125.5612533206254"/>
    <n v="12502.245013282502"/>
    <n v="9376.6837599618757"/>
    <n v="3125.5612533206258"/>
    <x v="0"/>
  </r>
  <r>
    <x v="6"/>
    <s v="Husdyrgødning"/>
    <n v="1"/>
    <x v="1"/>
    <s v="Østdanmark"/>
    <n v="272382.94042340637"/>
    <n v="0"/>
    <n v="0"/>
    <n v="0"/>
    <n v="204287.20531755476"/>
    <n v="25779.099718643818"/>
    <n v="0"/>
    <n v="0"/>
    <n v="42316.635387207789"/>
    <n v="42316.635387207789"/>
    <n v="204287.20531755476"/>
    <n v="9.1150032624045585E-2"/>
    <n v="0.53118467287805848"/>
    <n v="0.44003464025401295"/>
    <n v="9.1150032624045529E-2"/>
    <n v="12694.990616162337"/>
    <n v="73981.152211428765"/>
    <n v="61286.161595266429"/>
    <n v="12694.990616162337"/>
    <x v="0"/>
  </r>
  <r>
    <x v="7"/>
    <s v=""/>
    <n v="0"/>
    <x v="1"/>
    <s v="Østdanmark"/>
    <n v="205919.32963053533"/>
    <n v="200219.97697680999"/>
    <n v="0"/>
    <n v="0"/>
    <n v="0"/>
    <n v="0"/>
    <n v="0"/>
    <n v="0"/>
    <n v="5699.3526537253347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525.15144386464101"/>
    <n v="132.53822154679034"/>
    <n v="0"/>
    <n v="0"/>
    <n v="42.512259741423236"/>
    <n v="42.512259741423236"/>
    <n v="525.15144386464101"/>
    <n v="1.9993090633793934E-5"/>
    <n v="2.6696656316889595E-4"/>
    <n v="2.4697347253510203E-4"/>
    <n v="1.9993090633793923E-5"/>
    <n v="2.6782723637096639"/>
    <n v="35.762813327182045"/>
    <n v="33.084540963472385"/>
    <n v="2.6782723637096595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  <x v="0"/>
  </r>
  <r>
    <x v="11"/>
    <s v=""/>
    <n v="0"/>
    <x v="1"/>
    <s v="Østdanmark"/>
    <n v="22827.041283233735"/>
    <n v="0"/>
    <n v="0"/>
    <n v="223323.94265330929"/>
    <n v="0"/>
    <n v="0"/>
    <n v="0"/>
    <n v="0"/>
    <n v="-200496.9013700755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830672.7259070398"/>
    <n v="1147235.5526749862"/>
    <n v="0"/>
    <n v="0"/>
    <n v="19630.42610089339"/>
    <n v="0"/>
    <n v="0"/>
    <n v="598295.9106759713"/>
    <n v="2065510.8364551889"/>
    <n v="514637.88978790143"/>
    <n v="19630.42610089339"/>
    <n v="0.94686938747351523"/>
    <n v="0.98298691769589641"/>
    <n v="3.6117530222381226E-2"/>
    <n v="0.94686938747351523"/>
    <n v="144098.60914061242"/>
    <n v="149595.12844886258"/>
    <n v="5496.5193082501501"/>
    <n v="144098.60914061242"/>
    <x v="0"/>
  </r>
  <r>
    <x v="14"/>
    <s v=""/>
    <n v="0"/>
    <x v="1"/>
    <s v="Østdanmark"/>
    <n v="100017.96010626001"/>
    <n v="100017.960106260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22573.44646679725"/>
    <n v="0"/>
    <n v="0"/>
    <n v="233902.44520004498"/>
    <n v="0"/>
    <n v="0"/>
    <n v="0"/>
    <n v="0"/>
    <n v="-111328.99873324773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684425.33771835396"/>
    <n v="71716.212427048929"/>
    <n v="77920.551603575906"/>
    <n v="0"/>
    <n v="0"/>
    <n v="0"/>
    <n v="534788.57368772908"/>
    <n v="0"/>
    <n v="0"/>
    <n v="0"/>
    <n v="534788.57368772908"/>
    <n v="0"/>
    <n v="5.527471130018256"/>
    <n v="0"/>
    <n v="5.527471130018256"/>
    <n v="0"/>
    <n v="454570.28763456969"/>
    <n v="0"/>
    <n v="454570.28763456969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4046.46530890666"/>
    <n v="0"/>
    <n v="0"/>
    <n v="0"/>
    <n v="219104.13289704846"/>
    <n v="0"/>
    <n v="0"/>
    <n v="0"/>
    <n v="-25057.667588141805"/>
    <n v="0"/>
    <n v="219104.13289704846"/>
    <n v="0"/>
    <n v="0.80699568767315955"/>
    <n v="0.80699568767315955"/>
    <n v="0"/>
    <n v="0"/>
    <n v="92023.735816760352"/>
    <n v="92023.735816760352"/>
    <n v="0"/>
    <x v="1"/>
  </r>
  <r>
    <x v="20"/>
    <s v=""/>
    <n v="0"/>
    <x v="1"/>
    <s v="Østdanmark"/>
    <n v="268357.16269202955"/>
    <n v="0"/>
    <n v="0"/>
    <n v="0"/>
    <n v="0"/>
    <n v="0"/>
    <n v="0"/>
    <n v="0"/>
    <n v="268357.16269202955"/>
    <n v="0"/>
    <n v="0"/>
    <n v="0"/>
    <n v="0"/>
    <n v="0"/>
    <n v="0"/>
    <n v="0"/>
    <n v="0"/>
    <n v="0"/>
    <n v="0"/>
    <x v="0"/>
  </r>
  <r>
    <x v="21"/>
    <s v=""/>
    <n v="0"/>
    <x v="1"/>
    <s v="Østdanmark"/>
    <n v="567494.30742817745"/>
    <n v="0"/>
    <n v="0"/>
    <n v="106960.41463921656"/>
    <n v="0"/>
    <n v="0"/>
    <n v="0"/>
    <n v="0"/>
    <n v="460533.8927889608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41299.6719009152"/>
    <n v="550714.69493164914"/>
    <n v="0"/>
    <n v="256234.83946537593"/>
    <n v="914.88861421207764"/>
    <n v="0"/>
    <n v="0"/>
    <n v="0"/>
    <n v="733435.24888967804"/>
    <n v="733435.24888967804"/>
    <n v="914.88861421207764"/>
    <n v="2.5119130465123032"/>
    <n v="2.5150464119315736"/>
    <n v="3.1333654192703766E-3"/>
    <n v="2.5119130465123032"/>
    <n v="227364.92715580019"/>
    <n v="227648.54262620592"/>
    <n v="283.61547040574408"/>
    <n v="227364.92715580016"/>
    <x v="0"/>
  </r>
  <r>
    <x v="23"/>
    <s v=""/>
    <n v="0"/>
    <x v="1"/>
    <s v="Østdanmark"/>
    <n v="0"/>
    <n v="0"/>
    <n v="0"/>
    <n v="0"/>
    <n v="0"/>
    <n v="299171.09031254635"/>
    <n v="0"/>
    <n v="0"/>
    <n v="-299171.0903125463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53673.50359972543"/>
    <n v="122269.5653782727"/>
    <n v="0"/>
    <n v="0"/>
    <n v="62288.269154969137"/>
    <n v="62288.269154969137"/>
    <n v="553673.50359972543"/>
    <n v="3.1529698963553829E-2"/>
    <n v="0.31179368975069888"/>
    <n v="0.28026399078714503"/>
    <n v="3.1529698963553843E-2"/>
    <n v="4733.9084557776541"/>
    <n v="46813.094729356788"/>
    <n v="42079.186273579129"/>
    <n v="4733.9084557776587"/>
    <x v="0"/>
  </r>
  <r>
    <x v="25"/>
    <s v=""/>
    <n v="0"/>
    <x v="1"/>
    <s v="Østdanmark"/>
    <n v="92168.427114874314"/>
    <n v="141469.60847064349"/>
    <n v="0"/>
    <n v="0"/>
    <n v="0"/>
    <n v="0"/>
    <n v="0"/>
    <n v="0"/>
    <n v="-49301.1813557691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5469.8186668158"/>
    <n v="528461.76331446774"/>
    <n v="0"/>
    <n v="0"/>
    <n v="77483.083213312464"/>
    <n v="0"/>
    <n v="0"/>
    <n v="0"/>
    <n v="629524.97213903558"/>
    <n v="52304.337322308449"/>
    <n v="77483.083213312464"/>
    <n v="0.18777257098708736"/>
    <n v="0.46593683972287914"/>
    <n v="0.27816426873579175"/>
    <n v="0.18777257098708738"/>
    <n v="15691.301196692533"/>
    <n v="38936.226160686274"/>
    <n v="23244.924963993737"/>
    <n v="15691.301196692537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02071.35668050894"/>
    <n v="0"/>
    <n v="0"/>
    <n v="0"/>
    <n v="0"/>
    <n v="0"/>
    <n v="0"/>
    <n v="0"/>
    <n v="402071.35668050894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66921.012385379698"/>
    <n v="0"/>
    <n v="0"/>
    <n v="0"/>
    <n v="0"/>
    <n v="0"/>
    <n v="66921.012385379698"/>
    <n v="0"/>
    <n v="0"/>
    <n v="0"/>
    <n v="66921.012385379698"/>
    <n v="0"/>
    <n v="1.2313466278909861"/>
    <n v="0"/>
    <n v="1.2313466278909861"/>
    <n v="0"/>
    <n v="27772.220139932579"/>
    <n v="0"/>
    <n v="27772.22013993257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35557.19695784606"/>
    <n v="0"/>
    <n v="0"/>
    <n v="0"/>
    <n v="0"/>
    <n v="0"/>
    <n v="0"/>
    <n v="235557.1969578460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17778.59847892303"/>
    <n v="19658.870107237683"/>
    <n v="0"/>
    <n v="0"/>
    <n v="0"/>
    <n v="0"/>
    <n v="0"/>
    <n v="0"/>
    <n v="98119.7283716853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75378.303026510737"/>
    <n v="0"/>
    <n v="0"/>
    <n v="0"/>
    <n v="0"/>
    <n v="0"/>
    <n v="75378.303026510737"/>
    <n v="0"/>
    <n v="0"/>
    <n v="0"/>
    <n v="75378.303026510737"/>
    <n v="0"/>
    <n v="2.6382406059278756"/>
    <n v="0"/>
    <n v="2.6382406059278756"/>
    <n v="0"/>
    <n v="0"/>
    <n v="0"/>
    <n v="0"/>
    <x v="0"/>
  </r>
  <r>
    <x v="38"/>
    <s v="Græs og urter"/>
    <n v="1"/>
    <x v="1"/>
    <s v="Østdanmark"/>
    <n v="441450.20412922179"/>
    <n v="81355.565263148092"/>
    <n v="0"/>
    <n v="0"/>
    <n v="7122.3332592263878"/>
    <n v="0"/>
    <n v="0"/>
    <n v="0"/>
    <n v="352972.30560684728"/>
    <n v="352972.30560684728"/>
    <n v="7122.3332592263878"/>
    <n v="0.95798095630920777"/>
    <n v="0.97731125366807858"/>
    <n v="1.9330297358870787E-2"/>
    <n v="0.95798095630920777"/>
    <n v="70594.461121369459"/>
    <n v="72018.927773214746"/>
    <n v="1424.4666518452777"/>
    <n v="70594.461121369473"/>
    <x v="0"/>
  </r>
  <r>
    <x v="39"/>
    <s v=""/>
    <n v="0"/>
    <x v="1"/>
    <s v="Østdanmark"/>
    <n v="17150.132696154993"/>
    <n v="0"/>
    <n v="0"/>
    <n v="0"/>
    <n v="0"/>
    <n v="0"/>
    <n v="0"/>
    <n v="0"/>
    <n v="17150.132696154993"/>
    <n v="0"/>
    <n v="0"/>
    <n v="0"/>
    <n v="0"/>
    <n v="0"/>
    <n v="0"/>
    <n v="0"/>
    <n v="0"/>
    <n v="0"/>
    <n v="0"/>
    <x v="0"/>
  </r>
  <r>
    <x v="40"/>
    <s v=""/>
    <n v="0"/>
    <x v="1"/>
    <s v="Østdanmark"/>
    <n v="13741.973573647057"/>
    <n v="3604.250814640001"/>
    <n v="0"/>
    <n v="0"/>
    <n v="0"/>
    <n v="0"/>
    <n v="0"/>
    <n v="0"/>
    <n v="10137.722759007056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2506742.4639529102"/>
    <n v="0"/>
    <n v="0"/>
    <n v="0"/>
    <n v="835580.82131763641"/>
    <n v="835580.82131763641"/>
    <n v="2506742.4639529102"/>
    <n v="0.41696318564571383"/>
    <n v="1.6678527425828558"/>
    <n v="1.2508895569371419"/>
    <n v="0.41696318564571389"/>
    <n v="50134.84927905818"/>
    <n v="200539.39711623278"/>
    <n v="150404.54783717461"/>
    <n v="50134.849279058166"/>
    <x v="0"/>
  </r>
  <r>
    <x v="42"/>
    <s v="Husdyrgødning"/>
    <n v="1"/>
    <x v="1"/>
    <s v="Østdanmark"/>
    <n v="1638224.8785321345"/>
    <n v="0"/>
    <n v="0"/>
    <n v="0"/>
    <n v="1228668.658899101"/>
    <n v="409556.21963303362"/>
    <n v="0"/>
    <n v="0"/>
    <n v="0"/>
    <n v="0"/>
    <n v="1228668.658899101"/>
    <n v="0"/>
    <n v="0.5293104582537328"/>
    <n v="0.5293104582537328"/>
    <n v="0"/>
    <n v="0"/>
    <n v="61433.43294495505"/>
    <n v="61433.43294495505"/>
    <n v="0"/>
    <x v="0"/>
  </r>
  <r>
    <x v="43"/>
    <s v=""/>
    <n v="0"/>
    <x v="1"/>
    <s v="Østdanmark"/>
    <n v="149752.58402122525"/>
    <n v="0"/>
    <n v="0"/>
    <n v="84421.151879638346"/>
    <n v="0"/>
    <n v="0"/>
    <n v="0"/>
    <n v="0"/>
    <n v="65331.4321415869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355.98293935158"/>
    <n v="0"/>
    <n v="0"/>
    <n v="0"/>
    <n v="0"/>
    <n v="0"/>
    <n v="647355.98293935158"/>
    <n v="0"/>
    <n v="0"/>
    <n v="0"/>
    <n v="647355.98293935158"/>
    <n v="0"/>
    <n v="9.3824985420606239"/>
    <n v="0"/>
    <n v="9.3824985420606239"/>
    <n v="0"/>
    <n v="320171.47989542095"/>
    <n v="0"/>
    <n v="320171.47989542095"/>
    <x v="0"/>
  </r>
  <r>
    <x v="47"/>
    <s v=""/>
    <n v="0"/>
    <x v="1"/>
    <s v="Østdanmark"/>
    <n v="178138.28255074998"/>
    <n v="0"/>
    <n v="0"/>
    <n v="0"/>
    <n v="0"/>
    <n v="0"/>
    <n v="0"/>
    <n v="0"/>
    <n v="178138.28255074998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172969.00798479689"/>
    <n v="3942.6753668076931"/>
    <n v="0"/>
    <n v="88596.006060305852"/>
    <n v="0"/>
    <n v="0"/>
    <n v="0"/>
    <n v="0"/>
    <n v="80430.32655768333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9136693.06427222"/>
    <n v="0"/>
    <n v="0"/>
    <n v="0"/>
    <n v="0"/>
    <n v="0"/>
    <n v="139136693.06427222"/>
    <n v="0"/>
    <n v="0"/>
    <n v="0"/>
    <n v="139136693.06427222"/>
    <n v="0"/>
    <n v="0"/>
    <n v="0"/>
    <n v="0"/>
    <n v="0"/>
    <n v="0"/>
    <n v="0"/>
    <n v="0"/>
    <x v="0"/>
  </r>
  <r>
    <x v="4"/>
    <s v=""/>
    <n v="0"/>
    <x v="2"/>
    <s v="Østdanmark"/>
    <n v="5052646.7653582999"/>
    <n v="0"/>
    <n v="0"/>
    <n v="0"/>
    <n v="0"/>
    <n v="3460511.9226035657"/>
    <n v="0"/>
    <n v="0"/>
    <n v="1592134.842754734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01577.15616398031"/>
    <n v="0"/>
    <n v="0"/>
    <n v="0"/>
    <n v="181419.44054758229"/>
    <n v="0"/>
    <n v="0"/>
    <n v="0"/>
    <n v="20157.715616398025"/>
    <n v="20157.715616398025"/>
    <n v="181419.44054758229"/>
    <n v="1.1450108121638393E-2"/>
    <n v="0.11450108121638396"/>
    <n v="0.10305097309474556"/>
    <n v="1.1450108121638394E-2"/>
    <n v="862.01220519749984"/>
    <n v="8620.1220519750004"/>
    <n v="7758.1098467775009"/>
    <n v="862.0122051974995"/>
    <x v="0"/>
  </r>
  <r>
    <x v="6"/>
    <s v="Husdyrgødning"/>
    <n v="1"/>
    <x v="2"/>
    <s v="Østdanmark"/>
    <n v="195972.35856769816"/>
    <n v="0"/>
    <n v="0"/>
    <n v="0"/>
    <n v="176375.12271092835"/>
    <n v="7418.9535743485703"/>
    <n v="0"/>
    <n v="0"/>
    <n v="12178.282282421249"/>
    <n v="12178.282282421249"/>
    <n v="176375.12271092835"/>
    <n v="2.623202003633537E-2"/>
    <n v="0.40614403435567503"/>
    <n v="0.37991201431933969"/>
    <n v="2.6232020036335346E-2"/>
    <n v="3653.4846847263748"/>
    <n v="56566.021498004877"/>
    <n v="52912.536813278501"/>
    <n v="3653.4846847263761"/>
    <x v="0"/>
  </r>
  <r>
    <x v="7"/>
    <s v=""/>
    <n v="0"/>
    <x v="2"/>
    <s v="Østdanmark"/>
    <n v="141978.48085605886"/>
    <n v="138048.85738122172"/>
    <n v="0"/>
    <n v="0"/>
    <n v="0"/>
    <n v="0"/>
    <n v="0"/>
    <n v="0"/>
    <n v="3929.6234748371353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  <x v="0"/>
  </r>
  <r>
    <x v="9"/>
    <s v=""/>
    <n v="0"/>
    <x v="2"/>
    <s v="Østdanmark"/>
    <n v="14575.114892812006"/>
    <n v="0"/>
    <n v="0"/>
    <n v="17596.15120364408"/>
    <n v="0"/>
    <n v="0"/>
    <n v="0"/>
    <n v="0"/>
    <n v="-3021.0363108320744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x v="0"/>
  </r>
  <r>
    <x v="11"/>
    <s v=""/>
    <n v="0"/>
    <x v="2"/>
    <s v="Østdanmark"/>
    <n v="21135.685502875454"/>
    <n v="0"/>
    <n v="0"/>
    <n v="233795.01599247381"/>
    <n v="0"/>
    <n v="0"/>
    <n v="0"/>
    <n v="0"/>
    <n v="-212659.3304895983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533955.982275791"/>
    <n v="791002.77397514437"/>
    <n v="0"/>
    <n v="0"/>
    <n v="22809.516280488293"/>
    <n v="0"/>
    <n v="0"/>
    <n v="412516.61343583919"/>
    <n v="2307627.078584319"/>
    <n v="1875918.1983914766"/>
    <n v="22809.516280488293"/>
    <n v="3.4514549952655185"/>
    <n v="3.4934216540320819"/>
    <n v="4.19666587665634E-2"/>
    <n v="3.4514549952655185"/>
    <n v="525257.09554961347"/>
    <n v="531643.76010815019"/>
    <n v="6386.6645585367223"/>
    <n v="525257.09554961347"/>
    <x v="0"/>
  </r>
  <r>
    <x v="14"/>
    <s v=""/>
    <n v="0"/>
    <x v="2"/>
    <s v="Østdanmark"/>
    <n v="68960.976415800003"/>
    <n v="68960.976415800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14043.64550146319"/>
    <n v="0"/>
    <n v="0"/>
    <n v="244869.51675001203"/>
    <n v="0"/>
    <n v="0"/>
    <n v="0"/>
    <n v="0"/>
    <n v="-130825.8712485488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0610.47583601228"/>
    <n v="49447.319546988874"/>
    <n v="52105.736853839095"/>
    <n v="0"/>
    <n v="0"/>
    <n v="0"/>
    <n v="529057.41943518422"/>
    <n v="0"/>
    <n v="0"/>
    <n v="0"/>
    <n v="529057.41943518422"/>
    <n v="0"/>
    <n v="5.4682350295642461"/>
    <n v="0"/>
    <n v="5.4682350295642461"/>
    <n v="0"/>
    <n v="449698.80651990656"/>
    <n v="0"/>
    <n v="449698.8065199065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5713.38946982374"/>
    <n v="0"/>
    <n v="0"/>
    <n v="0"/>
    <n v="240541.65078285753"/>
    <n v="0"/>
    <n v="0"/>
    <n v="0"/>
    <n v="-54828.261313033785"/>
    <n v="0"/>
    <n v="240541.65078285753"/>
    <n v="0"/>
    <n v="0.88595350676821505"/>
    <n v="0.88595350676821505"/>
    <n v="0"/>
    <n v="0"/>
    <n v="101027.49332880016"/>
    <n v="101027.49332880016"/>
    <n v="0"/>
    <x v="1"/>
  </r>
  <r>
    <x v="20"/>
    <s v=""/>
    <n v="0"/>
    <x v="2"/>
    <s v="Østdanmark"/>
    <n v="248947.97885223315"/>
    <n v="0"/>
    <n v="0"/>
    <n v="0"/>
    <n v="0"/>
    <n v="0"/>
    <n v="0"/>
    <n v="0"/>
    <n v="248947.97885223315"/>
    <n v="0"/>
    <n v="0"/>
    <n v="0"/>
    <n v="0"/>
    <n v="0"/>
    <n v="0"/>
    <n v="0"/>
    <n v="0"/>
    <n v="0"/>
    <n v="0"/>
    <x v="0"/>
  </r>
  <r>
    <x v="21"/>
    <s v=""/>
    <n v="0"/>
    <x v="2"/>
    <s v="Østdanmark"/>
    <n v="528652.13279396389"/>
    <n v="0"/>
    <n v="0"/>
    <n v="111975.50765955324"/>
    <n v="0"/>
    <n v="0"/>
    <n v="0"/>
    <n v="0"/>
    <n v="416676.6251344106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79710.03456447175"/>
    <n v="0"/>
    <n v="268249.01834925939"/>
    <n v="1007.9394649217019"/>
    <n v="0"/>
    <n v="0"/>
    <n v="0"/>
    <n v="773553.76921461651"/>
    <n v="773553.76921461651"/>
    <n v="1007.9394649217019"/>
    <n v="2.6493133620323719"/>
    <n v="2.6527654135882037"/>
    <n v="3.4520515558317407E-3"/>
    <n v="2.6493133620323719"/>
    <n v="239801.66845653113"/>
    <n v="240114.12969065685"/>
    <n v="312.46123412572757"/>
    <n v="239801.66845653113"/>
    <x v="0"/>
  </r>
  <r>
    <x v="23"/>
    <s v=""/>
    <n v="0"/>
    <x v="2"/>
    <s v="Østdanmark"/>
    <n v="0"/>
    <n v="0"/>
    <n v="0"/>
    <n v="0"/>
    <n v="0"/>
    <n v="290582.47430971975"/>
    <n v="0"/>
    <n v="0"/>
    <n v="-290582.4743097197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543093.8440394944"/>
    <n v="0"/>
    <n v="0"/>
    <n v="0"/>
    <n v="488784.45963554498"/>
    <n v="35979.967167616494"/>
    <n v="0"/>
    <n v="0"/>
    <n v="18329.417236332898"/>
    <n v="18329.417236332898"/>
    <n v="488784.45963554498"/>
    <n v="9.2781677108593509E-3"/>
    <n v="0.25669597333377592"/>
    <n v="0.24741780562291654"/>
    <n v="9.2781677108593752E-3"/>
    <n v="1393.0357099613002"/>
    <n v="38540.654642262714"/>
    <n v="37147.618932301419"/>
    <n v="1393.0357099612957"/>
    <x v="0"/>
  </r>
  <r>
    <x v="25"/>
    <s v=""/>
    <n v="0"/>
    <x v="2"/>
    <s v="Østdanmark"/>
    <n v="67842.280418029826"/>
    <n v="97541.304810973612"/>
    <n v="0"/>
    <n v="0"/>
    <n v="0"/>
    <n v="0"/>
    <n v="0"/>
    <n v="0"/>
    <n v="-29699.024392943786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62586.9095964739"/>
    <n v="364366.95127418567"/>
    <n v="0"/>
    <n v="0"/>
    <n v="87862.083818699844"/>
    <n v="0"/>
    <n v="0"/>
    <n v="0"/>
    <n v="710357.87450358842"/>
    <n v="611948.68599171343"/>
    <n v="87862.083818699844"/>
    <n v="2.1968957827102513"/>
    <n v="2.5123206636193838"/>
    <n v="0.31542488090913245"/>
    <n v="2.1968957827102513"/>
    <n v="183584.60579751403"/>
    <n v="209943.23094312396"/>
    <n v="26358.625145609953"/>
    <n v="183584.605797514"/>
    <x v="0"/>
  </r>
  <r>
    <x v="27"/>
    <s v=""/>
    <n v="0"/>
    <x v="2"/>
    <s v="Østdanmark"/>
    <n v="130900.39178627841"/>
    <n v="0"/>
    <n v="0"/>
    <n v="428214.02929147833"/>
    <n v="0"/>
    <n v="0"/>
    <n v="0"/>
    <n v="0"/>
    <n v="-297313.63750519993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4383.3381279488276"/>
    <n v="0"/>
    <n v="0"/>
    <n v="29926.992547120819"/>
    <n v="0"/>
    <n v="0"/>
    <n v="0"/>
    <n v="0"/>
    <n v="-25543.654419171991"/>
    <n v="0"/>
    <n v="0"/>
    <n v="0"/>
    <n v="0"/>
    <n v="0"/>
    <n v="0"/>
    <n v="0"/>
    <n v="0"/>
    <n v="0"/>
    <n v="0"/>
    <x v="0"/>
  </r>
  <r>
    <x v="30"/>
    <s v=""/>
    <n v="0"/>
    <x v="2"/>
    <s v="Østdanmark"/>
    <n v="370882.10534501984"/>
    <n v="0"/>
    <n v="0"/>
    <n v="0"/>
    <n v="0"/>
    <n v="0"/>
    <n v="0"/>
    <n v="0"/>
    <n v="370882.1053450198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60719.109564821476"/>
    <n v="0"/>
    <n v="0"/>
    <n v="0"/>
    <n v="0"/>
    <n v="0"/>
    <n v="60719.109564821476"/>
    <n v="0"/>
    <n v="0"/>
    <n v="0"/>
    <n v="60719.109564821476"/>
    <n v="0"/>
    <n v="1.1172316159927149"/>
    <n v="0"/>
    <n v="1.1172316159927149"/>
    <n v="0"/>
    <n v="25198.430469400915"/>
    <n v="0"/>
    <n v="25198.43046940091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03838.63815826486"/>
    <n v="0"/>
    <n v="0"/>
    <n v="0"/>
    <n v="0"/>
    <n v="0"/>
    <n v="0"/>
    <n v="0"/>
    <n v="203838.63815826486"/>
    <n v="0"/>
    <n v="0"/>
    <n v="0"/>
    <n v="0"/>
    <n v="0"/>
    <n v="0"/>
    <n v="0"/>
    <n v="0"/>
    <n v="0"/>
    <n v="0"/>
    <x v="0"/>
  </r>
  <r>
    <x v="35"/>
    <s v=""/>
    <n v="0"/>
    <x v="2"/>
    <s v="Østdanmark"/>
    <n v="218245.06049109949"/>
    <n v="0"/>
    <n v="0"/>
    <n v="0"/>
    <n v="0"/>
    <n v="0"/>
    <n v="0"/>
    <n v="218245.0604910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9122.53024554974"/>
    <n v="13554.514373080499"/>
    <n v="0"/>
    <n v="0"/>
    <n v="0"/>
    <n v="0"/>
    <n v="0"/>
    <n v="0"/>
    <n v="95568.01587246924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9838.419357151841"/>
    <n v="0"/>
    <n v="0"/>
    <n v="0"/>
    <n v="0"/>
    <n v="0"/>
    <n v="69838.419357151841"/>
    <n v="0"/>
    <n v="0"/>
    <n v="0"/>
    <n v="69838.419357151841"/>
    <n v="0"/>
    <n v="2.4443446775003141"/>
    <n v="0"/>
    <n v="2.4443446775003141"/>
    <n v="0"/>
    <n v="0"/>
    <n v="0"/>
    <n v="0"/>
    <x v="0"/>
  </r>
  <r>
    <x v="38"/>
    <s v="Græs og urter"/>
    <n v="1"/>
    <x v="2"/>
    <s v="Østdanmark"/>
    <n v="404559.22723466193"/>
    <n v="56093.517718673087"/>
    <n v="0"/>
    <n v="0"/>
    <n v="7626.113609207122"/>
    <n v="0"/>
    <n v="0"/>
    <n v="0"/>
    <n v="340839.59590678173"/>
    <n v="340839.59590678173"/>
    <n v="7626.113609207122"/>
    <n v="0.92505229687484192"/>
    <n v="0.94574987425477441"/>
    <n v="2.0697577379932497E-2"/>
    <n v="0.92505229687484192"/>
    <n v="68167.919181356352"/>
    <n v="69693.141903197771"/>
    <n v="1525.2227218414246"/>
    <n v="68167.919181356352"/>
    <x v="0"/>
  </r>
  <r>
    <x v="39"/>
    <s v=""/>
    <n v="0"/>
    <x v="2"/>
    <s v="Østdanmark"/>
    <n v="11428.212399077393"/>
    <n v="0"/>
    <n v="0"/>
    <n v="0"/>
    <n v="0"/>
    <n v="0"/>
    <n v="0"/>
    <n v="0"/>
    <n v="11428.212399077393"/>
    <n v="0"/>
    <n v="0"/>
    <n v="0"/>
    <n v="0"/>
    <n v="0"/>
    <n v="0"/>
    <n v="0"/>
    <n v="0"/>
    <n v="0"/>
    <n v="0"/>
    <x v="0"/>
  </r>
  <r>
    <x v="40"/>
    <s v=""/>
    <n v="0"/>
    <x v="2"/>
    <s v="Østdanmark"/>
    <n v="8939.6567067551059"/>
    <n v="2485.0802312000001"/>
    <n v="0"/>
    <n v="0"/>
    <n v="0"/>
    <n v="0"/>
    <n v="0"/>
    <n v="0"/>
    <n v="6454.576475555106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884.1812019288"/>
    <n v="0"/>
    <n v="0"/>
    <n v="0"/>
    <n v="3147195.7630817359"/>
    <n v="0"/>
    <n v="0"/>
    <n v="0"/>
    <n v="349688.41812019283"/>
    <n v="349688.41812019283"/>
    <n v="3147195.7630817359"/>
    <n v="0.17449801752615746"/>
    <n v="1.7449801752615748"/>
    <n v="1.5704821577354173"/>
    <n v="0.17449801752615746"/>
    <n v="20981.305087211567"/>
    <n v="209813.05087211571"/>
    <n v="188831.74578490414"/>
    <n v="20981.305087211571"/>
    <x v="0"/>
  </r>
  <r>
    <x v="42"/>
    <s v="Husdyrgødning"/>
    <n v="1"/>
    <x v="2"/>
    <s v="Østdanmark"/>
    <n v="1045598.7208186348"/>
    <n v="0"/>
    <n v="0"/>
    <n v="0"/>
    <n v="941038.84873677138"/>
    <n v="104559.87208186346"/>
    <n v="0"/>
    <n v="0"/>
    <n v="0"/>
    <n v="0"/>
    <n v="941038.84873677138"/>
    <n v="0"/>
    <n v="0.4053995360358012"/>
    <n v="0.4053995360358012"/>
    <n v="0"/>
    <n v="0"/>
    <n v="47051.942436838573"/>
    <n v="47051.942436838573"/>
    <n v="0"/>
    <x v="0"/>
  </r>
  <r>
    <x v="43"/>
    <s v=""/>
    <n v="0"/>
    <x v="2"/>
    <s v="Østdanmark"/>
    <n v="97091.997795525866"/>
    <n v="0"/>
    <n v="0"/>
    <n v="60760.863656275607"/>
    <n v="0"/>
    <n v="0"/>
    <n v="0"/>
    <n v="0"/>
    <n v="36331.13413925025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3007.09555249952"/>
    <n v="0"/>
    <n v="0"/>
    <n v="0"/>
    <n v="0"/>
    <n v="0"/>
    <n v="623007.09555249952"/>
    <n v="0"/>
    <n v="0"/>
    <n v="0"/>
    <n v="623007.09555249952"/>
    <n v="0"/>
    <n v="9.0295962650620645"/>
    <n v="0"/>
    <n v="9.0295962650620645"/>
    <n v="0"/>
    <n v="308128.92600867373"/>
    <n v="0"/>
    <n v="308128.92600867373"/>
    <x v="0"/>
  </r>
  <r>
    <x v="47"/>
    <s v=""/>
    <n v="0"/>
    <x v="2"/>
    <s v="Østdanmark"/>
    <n v="176175.00365604501"/>
    <n v="0"/>
    <n v="0"/>
    <n v="0"/>
    <n v="0"/>
    <n v="0"/>
    <n v="0"/>
    <n v="0"/>
    <n v="176175.00365604501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1138.95623976586"/>
    <n v="3933584.0832407586"/>
    <n v="1276448.0350116263"/>
    <n v="1276448.0350116263"/>
  </r>
  <r>
    <x v="0"/>
    <x v="1"/>
    <x v="1"/>
    <s v="Konventionel"/>
    <x v="0"/>
    <s v="Halm"/>
    <n v="126256.2651539473"/>
    <n v="487349.18349423661"/>
    <n v="143842.50032724062"/>
    <n v="143842.50032724062"/>
  </r>
  <r>
    <x v="0"/>
    <x v="2"/>
    <x v="1"/>
    <s v="Konventionel"/>
    <x v="0"/>
    <s v="Halm"/>
    <n v="140284.73905994146"/>
    <n v="617252.85186374246"/>
    <n v="327761.26433964726"/>
    <n v="327761.26433964726"/>
  </r>
  <r>
    <x v="0"/>
    <x v="3"/>
    <x v="1"/>
    <s v="Konventionel"/>
    <x v="0"/>
    <s v="Græs"/>
    <n v="140284.73905994146"/>
    <n v="6960928.7521542953"/>
    <n v="0"/>
    <n v="6960928.7521542953"/>
  </r>
  <r>
    <x v="0"/>
    <x v="4"/>
    <x v="1"/>
    <s v="Konventionel"/>
    <x v="0"/>
    <s v="Grøntsager"/>
    <n v="14028.473905994144"/>
    <n v="291090.8335493785"/>
    <n v="0"/>
    <n v="291090.8335493785"/>
  </r>
  <r>
    <x v="0"/>
    <x v="5"/>
    <x v="1"/>
    <s v="Konventionel"/>
    <x v="0"/>
    <s v="Kartofler"/>
    <n v="35071.184764985366"/>
    <n v="1489504.7624790345"/>
    <n v="0"/>
    <n v="1489504.7624790345"/>
  </r>
  <r>
    <x v="0"/>
    <x v="6"/>
    <x v="1"/>
    <s v="Konventionel"/>
    <x v="0"/>
    <s v="Roer"/>
    <n v="14028.473905994144"/>
    <n v="1139865.8499139121"/>
    <n v="0"/>
    <n v="1139865.8499139121"/>
  </r>
  <r>
    <x v="0"/>
    <x v="7"/>
    <x v="1"/>
    <s v="Konventionel"/>
    <x v="0"/>
    <s v="Majs"/>
    <n v="70142.369529970732"/>
    <n v="3122036.8677789979"/>
    <n v="0"/>
    <n v="3122036.8677789979"/>
  </r>
  <r>
    <x v="0"/>
    <x v="8"/>
    <x v="1"/>
    <s v="Konventionel"/>
    <x v="0"/>
    <s v="Frugt"/>
    <n v="7014.236952997072"/>
    <n v="59550.871730945146"/>
    <n v="0"/>
    <n v="59550.871730945146"/>
  </r>
  <r>
    <x v="0"/>
    <x v="9"/>
    <x v="1"/>
    <s v="Konventionel"/>
    <x v="0"/>
    <s v="Øvrige"/>
    <n v="35071.184764985366"/>
    <n v="1044979.0400226681"/>
    <n v="0"/>
    <n v="1044979.0400226681"/>
  </r>
  <r>
    <x v="0"/>
    <x v="10"/>
    <x v="1"/>
    <s v="Konventionel"/>
    <x v="0"/>
    <s v="Halm"/>
    <n v="56668.45145378921"/>
    <n v="809727.61227932072"/>
    <n v="133737.54543094253"/>
    <n v="133737.54543094253"/>
  </r>
  <r>
    <x v="0"/>
    <x v="11"/>
    <x v="1"/>
    <s v="Konventionel"/>
    <x v="0"/>
    <s v="Juletræer"/>
    <n v="14028.473905994144"/>
    <n v="701423.69529970724"/>
    <n v="0"/>
    <n v="701423.69529970724"/>
  </r>
  <r>
    <x v="0"/>
    <x v="12"/>
    <x v="1"/>
    <s v="Konventionel"/>
    <x v="0"/>
    <s v="Pil &amp; poppel"/>
    <n v="7014.236952997072"/>
    <n v="171078.95007309935"/>
    <n v="0"/>
    <n v="171078.95007309935"/>
  </r>
  <r>
    <x v="0"/>
    <x v="13"/>
    <x v="1"/>
    <s v="Konventionel"/>
    <x v="0"/>
    <s v="Græs"/>
    <n v="182370.16077792388"/>
    <n v="2514884.5171275707"/>
    <n v="0"/>
    <n v="2514884.5171275707"/>
  </r>
  <r>
    <x v="0"/>
    <x v="0"/>
    <x v="2"/>
    <s v="Konventionel"/>
    <x v="0"/>
    <s v="Halm"/>
    <n v="456814.61907104118"/>
    <n v="3202270.4796879985"/>
    <n v="1039136.7706587557"/>
    <n v="1039136.7706587557"/>
  </r>
  <r>
    <x v="0"/>
    <x v="1"/>
    <x v="2"/>
    <s v="Konventionel"/>
    <x v="0"/>
    <s v="Halm"/>
    <n v="102783.28929098426"/>
    <n v="396743.49666319927"/>
    <n v="117099.97365632544"/>
    <n v="117099.97365632544"/>
  </r>
  <r>
    <x v="0"/>
    <x v="2"/>
    <x v="2"/>
    <s v="Konventionel"/>
    <x v="0"/>
    <s v="Halm"/>
    <n v="114203.65476776029"/>
    <n v="502496.0809781453"/>
    <n v="266825.41899939516"/>
    <n v="266825.41899939516"/>
  </r>
  <r>
    <x v="0"/>
    <x v="3"/>
    <x v="2"/>
    <s v="Konventionel"/>
    <x v="0"/>
    <s v="Græs"/>
    <n v="114203.65476776029"/>
    <n v="5666785.3495762656"/>
    <n v="0"/>
    <n v="5666785.3495762656"/>
  </r>
  <r>
    <x v="0"/>
    <x v="4"/>
    <x v="2"/>
    <s v="Konventionel"/>
    <x v="0"/>
    <s v="Grøntsager"/>
    <n v="11420.365476776029"/>
    <n v="236972.58364310261"/>
    <n v="0"/>
    <n v="236972.58364310261"/>
  </r>
  <r>
    <x v="0"/>
    <x v="5"/>
    <x v="2"/>
    <s v="Konventionel"/>
    <x v="0"/>
    <s v="Kartofler"/>
    <n v="28550.913691940073"/>
    <n v="1212582.9852127142"/>
    <n v="0"/>
    <n v="1212582.9852127142"/>
  </r>
  <r>
    <x v="0"/>
    <x v="6"/>
    <x v="2"/>
    <s v="Konventionel"/>
    <x v="0"/>
    <s v="Roer"/>
    <n v="11420.365476776029"/>
    <n v="927947.30829207005"/>
    <n v="0"/>
    <n v="927947.30829207005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5710.1827383880145"/>
    <n v="48479.451448914246"/>
    <n v="0"/>
    <n v="48479.451448914246"/>
  </r>
  <r>
    <x v="0"/>
    <x v="9"/>
    <x v="2"/>
    <s v="Konventionel"/>
    <x v="0"/>
    <s v="Øvrige"/>
    <n v="28550.913691940073"/>
    <n v="850701.41147214919"/>
    <n v="0"/>
    <n v="850701.41147214919"/>
  </r>
  <r>
    <x v="0"/>
    <x v="10"/>
    <x v="2"/>
    <s v="Konventionel"/>
    <x v="0"/>
    <s v="Halm"/>
    <n v="46132.91730390468"/>
    <n v="659186.8317847302"/>
    <n v="108873.68483721506"/>
    <n v="108873.68483721506"/>
  </r>
  <r>
    <x v="0"/>
    <x v="11"/>
    <x v="2"/>
    <s v="Konventionel"/>
    <x v="0"/>
    <s v="Juletræer"/>
    <n v="11420.365476776029"/>
    <n v="571018.27383880154"/>
    <n v="0"/>
    <n v="571018.27383880154"/>
  </r>
  <r>
    <x v="0"/>
    <x v="12"/>
    <x v="2"/>
    <s v="Konventionel"/>
    <x v="0"/>
    <s v="Pil &amp; poppel"/>
    <n v="5710.1827383880145"/>
    <n v="139272.74971678085"/>
    <n v="0"/>
    <n v="139272.74971678085"/>
  </r>
  <r>
    <x v="0"/>
    <x v="13"/>
    <x v="2"/>
    <s v="Konventionel"/>
    <x v="0"/>
    <s v="Græs"/>
    <n v="148464.75119808837"/>
    <n v="2047328.919021639"/>
    <n v="0"/>
    <n v="2047328.9190216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7576.600106784259"/>
    <n v="411321.01772153366"/>
    <n v="133473.67025063766"/>
    <n v="133473.67025063766"/>
  </r>
  <r>
    <x v="0"/>
    <x v="1"/>
    <x v="1"/>
    <s v="Økologisk"/>
    <x v="0"/>
    <s v="Halm"/>
    <n v="19704.73502402646"/>
    <n v="43354.357999863023"/>
    <n v="12796.16231234817"/>
    <n v="12796.16231234817"/>
  </r>
  <r>
    <x v="0"/>
    <x v="2"/>
    <x v="1"/>
    <s v="Økologisk"/>
    <x v="0"/>
    <s v="Halm"/>
    <n v="21894.150026696065"/>
    <n v="52983.84306460448"/>
    <n v="28134.420667304985"/>
    <n v="28134.420667304985"/>
  </r>
  <r>
    <x v="0"/>
    <x v="3"/>
    <x v="1"/>
    <s v="Økologisk"/>
    <x v="0"/>
    <s v="Græs"/>
    <n v="21894.150026696065"/>
    <n v="847382.42497323384"/>
    <n v="0"/>
    <n v="847382.42497323384"/>
  </r>
  <r>
    <x v="0"/>
    <x v="4"/>
    <x v="1"/>
    <s v="Økologisk"/>
    <x v="0"/>
    <s v="Grøntsager"/>
    <n v="2189.4150026696066"/>
    <n v="25895.305944074775"/>
    <n v="0"/>
    <n v="25895.305944074775"/>
  </r>
  <r>
    <x v="0"/>
    <x v="5"/>
    <x v="1"/>
    <s v="Økologisk"/>
    <x v="0"/>
    <s v="Kartofler"/>
    <n v="5473.5375066740162"/>
    <n v="132505.65488180541"/>
    <n v="0"/>
    <n v="132505.65488180541"/>
  </r>
  <r>
    <x v="0"/>
    <x v="6"/>
    <x v="1"/>
    <s v="Økologisk"/>
    <x v="0"/>
    <s v="Roer"/>
    <n v="2189.4150026696066"/>
    <n v="101401.9389027463"/>
    <n v="0"/>
    <n v="101401.9389027463"/>
  </r>
  <r>
    <x v="0"/>
    <x v="7"/>
    <x v="1"/>
    <s v="Økologisk"/>
    <x v="0"/>
    <s v="Majs"/>
    <n v="10947.075013348032"/>
    <n v="404421.07634062041"/>
    <n v="0"/>
    <n v="404421.07634062041"/>
  </r>
  <r>
    <x v="0"/>
    <x v="8"/>
    <x v="1"/>
    <s v="Økologisk"/>
    <x v="0"/>
    <s v="Frugt"/>
    <n v="1094.7075013348033"/>
    <n v="5297.6180112095135"/>
    <n v="0"/>
    <n v="5297.6180112095135"/>
  </r>
  <r>
    <x v="0"/>
    <x v="9"/>
    <x v="1"/>
    <s v="Økologisk"/>
    <x v="0"/>
    <s v="Øvrige"/>
    <n v="5473.5375066740162"/>
    <n v="92960.852173114792"/>
    <n v="0"/>
    <n v="92960.852173114792"/>
  </r>
  <r>
    <x v="0"/>
    <x v="10"/>
    <x v="1"/>
    <s v="Økologisk"/>
    <x v="0"/>
    <s v="Halm"/>
    <n v="8844.2091864295289"/>
    <n v="72032.993947854004"/>
    <n v="11897.230197585002"/>
    <n v="11897.230197585002"/>
  </r>
  <r>
    <x v="0"/>
    <x v="11"/>
    <x v="1"/>
    <s v="Økologisk"/>
    <x v="0"/>
    <s v="Juletræer"/>
    <n v="2189.4150026696066"/>
    <n v="62398.327576083771"/>
    <n v="0"/>
    <n v="62398.327576083771"/>
  </r>
  <r>
    <x v="0"/>
    <x v="12"/>
    <x v="1"/>
    <s v="Økologisk"/>
    <x v="0"/>
    <s v="Pil &amp; poppel"/>
    <n v="1094.7075013348033"/>
    <n v="15219.104286849706"/>
    <n v="0"/>
    <n v="15219.104286849706"/>
  </r>
  <r>
    <x v="0"/>
    <x v="13"/>
    <x v="1"/>
    <s v="Økologisk"/>
    <x v="0"/>
    <s v="Græs"/>
    <n v="28462.395034704889"/>
    <n v="392496.42752858042"/>
    <n v="0"/>
    <n v="392496.42752858042"/>
  </r>
  <r>
    <x v="0"/>
    <x v="0"/>
    <x v="2"/>
    <s v="Økologisk"/>
    <x v="0"/>
    <s v="Halm"/>
    <n v="96900.070712039029"/>
    <n v="455110.56211323367"/>
    <n v="147683.37740574437"/>
    <n v="147683.37740574437"/>
  </r>
  <r>
    <x v="0"/>
    <x v="1"/>
    <x v="2"/>
    <s v="Økologisk"/>
    <x v="0"/>
    <s v="Halm"/>
    <n v="21802.515910208782"/>
    <n v="47969.895505641362"/>
    <n v="14158.451360264802"/>
    <n v="14158.451360264802"/>
  </r>
  <r>
    <x v="0"/>
    <x v="2"/>
    <x v="2"/>
    <s v="Økologisk"/>
    <x v="0"/>
    <s v="Halm"/>
    <n v="24225.017678009757"/>
    <n v="58624.542780783624"/>
    <n v="31129.632216596103"/>
    <n v="31129.632216596103"/>
  </r>
  <r>
    <x v="0"/>
    <x v="3"/>
    <x v="2"/>
    <s v="Økologisk"/>
    <x v="0"/>
    <s v="Græs"/>
    <n v="24225.017678009757"/>
    <n v="937595.39420261851"/>
    <n v="0"/>
    <n v="937595.39420261851"/>
  </r>
  <r>
    <x v="0"/>
    <x v="4"/>
    <x v="2"/>
    <s v="Økologisk"/>
    <x v="0"/>
    <s v="Grøntsager"/>
    <n v="2422.5017678009758"/>
    <n v="28652.139658666041"/>
    <n v="0"/>
    <n v="28652.139658666041"/>
  </r>
  <r>
    <x v="0"/>
    <x v="5"/>
    <x v="2"/>
    <s v="Økologisk"/>
    <x v="0"/>
    <s v="Kartofler"/>
    <n v="6056.2544195024393"/>
    <n v="146612.30639390086"/>
    <n v="0"/>
    <n v="146612.30639390086"/>
  </r>
  <r>
    <x v="0"/>
    <x v="6"/>
    <x v="2"/>
    <s v="Økologisk"/>
    <x v="0"/>
    <s v="Roer"/>
    <n v="2422.5017678009758"/>
    <n v="112197.26545713212"/>
    <n v="0"/>
    <n v="112197.26545713212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1211.2508839004879"/>
    <n v="5861.6064024596308"/>
    <n v="0"/>
    <n v="5861.6064024596308"/>
  </r>
  <r>
    <x v="0"/>
    <x v="9"/>
    <x v="2"/>
    <s v="Økologisk"/>
    <x v="0"/>
    <s v="Øvrige"/>
    <n v="6056.2544195024393"/>
    <n v="102857.53429617804"/>
    <n v="0"/>
    <n v="102857.53429617804"/>
  </r>
  <r>
    <x v="0"/>
    <x v="10"/>
    <x v="2"/>
    <s v="Økologisk"/>
    <x v="0"/>
    <s v="Halm"/>
    <n v="9785.7703371919033"/>
    <n v="79701.680570335564"/>
    <n v="13163.818257590547"/>
    <n v="13163.818257590547"/>
  </r>
  <r>
    <x v="0"/>
    <x v="11"/>
    <x v="2"/>
    <s v="Økologisk"/>
    <x v="0"/>
    <s v="Juletræer"/>
    <n v="2422.5017678009758"/>
    <n v="69041.300382327798"/>
    <n v="0"/>
    <n v="69041.300382327798"/>
  </r>
  <r>
    <x v="0"/>
    <x v="12"/>
    <x v="2"/>
    <s v="Økologisk"/>
    <x v="0"/>
    <s v="Pil &amp; poppel"/>
    <n v="1211.2508839004879"/>
    <n v="16839.34155666532"/>
    <n v="0"/>
    <n v="16839.34155666532"/>
  </r>
  <r>
    <x v="0"/>
    <x v="13"/>
    <x v="2"/>
    <s v="Økologisk"/>
    <x v="0"/>
    <s v="Græs"/>
    <n v="31492.522981412687"/>
    <n v="434281.89191368106"/>
    <n v="0"/>
    <n v="434281.89191368106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8.68709801232"/>
    <n v="151320.83586847963"/>
    <n v="49103.611239321639"/>
    <n v="49103.611239321639"/>
  </r>
  <r>
    <x v="0"/>
    <x v="1"/>
    <x v="1"/>
    <s v="Konventionel"/>
    <x v="1"/>
    <s v="Halm"/>
    <n v="1542.0658644465243"/>
    <n v="7142.8490841163002"/>
    <n v="2108.2322624463368"/>
    <n v="2108.2322624463368"/>
  </r>
  <r>
    <x v="0"/>
    <x v="2"/>
    <x v="1"/>
    <s v="Konventionel"/>
    <x v="1"/>
    <s v="Halm"/>
    <n v="1651.2179103063932"/>
    <n v="8718.4305664177573"/>
    <n v="4629.4866307678276"/>
    <n v="4629.4866307678276"/>
  </r>
  <r>
    <x v="0"/>
    <x v="3"/>
    <x v="1"/>
    <s v="Konventionel"/>
    <x v="1"/>
    <s v="Græs"/>
    <n v="15238.021720870902"/>
    <n v="907332.76534753689"/>
    <n v="0"/>
    <n v="907332.76534753689"/>
  </r>
  <r>
    <x v="0"/>
    <x v="4"/>
    <x v="1"/>
    <s v="Konventionel"/>
    <x v="1"/>
    <s v="Grøntsager"/>
    <n v="71.268800751408534"/>
    <n v="1774.5931387100727"/>
    <n v="0"/>
    <n v="1774.5931387100727"/>
  </r>
  <r>
    <x v="0"/>
    <x v="5"/>
    <x v="1"/>
    <s v="Konventionel"/>
    <x v="1"/>
    <s v="Kartofler"/>
    <n v="1125.1496418632635"/>
    <n v="57343.340795151846"/>
    <n v="0"/>
    <n v="57343.340795151846"/>
  </r>
  <r>
    <x v="0"/>
    <x v="6"/>
    <x v="1"/>
    <s v="Konventionel"/>
    <x v="1"/>
    <s v="Roer"/>
    <n v="29.518660249897398"/>
    <n v="2878.2015474705927"/>
    <n v="0"/>
    <n v="2878.2015474705927"/>
  </r>
  <r>
    <x v="0"/>
    <x v="7"/>
    <x v="1"/>
    <s v="Konventionel"/>
    <x v="1"/>
    <s v="Majs"/>
    <n v="3810.4154462517859"/>
    <n v="203521.90981520037"/>
    <n v="0"/>
    <n v="203521.90981520037"/>
  </r>
  <r>
    <x v="0"/>
    <x v="8"/>
    <x v="1"/>
    <s v="Konventionel"/>
    <x v="1"/>
    <s v="Frugt"/>
    <n v="64.91370276951497"/>
    <n v="661.34080381581862"/>
    <n v="0"/>
    <n v="661.34080381581862"/>
  </r>
  <r>
    <x v="0"/>
    <x v="9"/>
    <x v="1"/>
    <s v="Konventionel"/>
    <x v="1"/>
    <s v="Øvrige"/>
    <n v="1148.0573462747577"/>
    <n v="41048.942200513149"/>
    <n v="0"/>
    <n v="41048.942200513149"/>
  </r>
  <r>
    <x v="0"/>
    <x v="10"/>
    <x v="1"/>
    <s v="Konventionel"/>
    <x v="1"/>
    <s v="Halm"/>
    <n v="2833.7440917610315"/>
    <n v="48589.16970625348"/>
    <n v="8025.1632678672395"/>
    <n v="8025.1632678672395"/>
  </r>
  <r>
    <x v="0"/>
    <x v="11"/>
    <x v="1"/>
    <s v="Konventionel"/>
    <x v="1"/>
    <s v="Juletræer"/>
    <n v="325.57753513414758"/>
    <n v="19534.652108048856"/>
    <n v="0"/>
    <n v="19534.652108048856"/>
  </r>
  <r>
    <x v="0"/>
    <x v="12"/>
    <x v="1"/>
    <s v="Konventionel"/>
    <x v="1"/>
    <s v="Pil &amp; poppel"/>
    <n v="534.71836671684468"/>
    <n v="15650.293660005213"/>
    <n v="0"/>
    <n v="15650.293660005213"/>
  </r>
  <r>
    <x v="0"/>
    <x v="13"/>
    <x v="1"/>
    <s v="Konventionel"/>
    <x v="1"/>
    <s v="Græs"/>
    <n v="15113.849399235503"/>
    <n v="250103.97985854914"/>
    <n v="0"/>
    <n v="250103.97985854914"/>
  </r>
  <r>
    <x v="0"/>
    <x v="0"/>
    <x v="2"/>
    <s v="Konventionel"/>
    <x v="1"/>
    <s v="Halm"/>
    <n v="0.43582889538516162"/>
    <n v="3.6661926679799794"/>
    <n v="1.1896795207595032"/>
    <n v="1.1896795207595032"/>
  </r>
  <r>
    <x v="0"/>
    <x v="1"/>
    <x v="2"/>
    <s v="Konventionel"/>
    <x v="1"/>
    <s v="Halm"/>
    <n v="3.7361084700125495E-2"/>
    <n v="0.1730565443309813"/>
    <n v="5.107813222560717E-2"/>
    <n v="5.107813222560717E-2"/>
  </r>
  <r>
    <x v="0"/>
    <x v="2"/>
    <x v="2"/>
    <s v="Konventionel"/>
    <x v="1"/>
    <s v="Halm"/>
    <n v="4.0005614304589723E-2"/>
    <n v="0.21122964352823376"/>
    <n v="0.11216294071349212"/>
    <n v="0.11216294071349212"/>
  </r>
  <r>
    <x v="0"/>
    <x v="3"/>
    <x v="2"/>
    <s v="Konventionel"/>
    <x v="1"/>
    <s v="Græs"/>
    <n v="0.36918592992793164"/>
    <n v="21.982807011628761"/>
    <n v="0"/>
    <n v="21.982807011628761"/>
  </r>
  <r>
    <x v="0"/>
    <x v="4"/>
    <x v="2"/>
    <s v="Konventionel"/>
    <x v="1"/>
    <s v="Grøntsager"/>
    <n v="1.7266964808312041E-3"/>
    <n v="4.2994742372696987E-2"/>
    <n v="0"/>
    <n v="4.2994742372696987E-2"/>
  </r>
  <r>
    <x v="0"/>
    <x v="5"/>
    <x v="2"/>
    <s v="Konventionel"/>
    <x v="1"/>
    <s v="Kartofler"/>
    <n v="2.7260061998102159E-2"/>
    <n v="1.3893112232302602"/>
    <n v="0"/>
    <n v="1.3893112232302602"/>
  </r>
  <r>
    <x v="0"/>
    <x v="6"/>
    <x v="2"/>
    <s v="Konventionel"/>
    <x v="1"/>
    <s v="Roer"/>
    <n v="7.1517643393687155E-4"/>
    <n v="6.9732904591384981E-2"/>
    <n v="0"/>
    <n v="6.9732904591384981E-2"/>
  </r>
  <r>
    <x v="0"/>
    <x v="7"/>
    <x v="2"/>
    <s v="Konventionel"/>
    <x v="1"/>
    <s v="Majs"/>
    <n v="9.2318530299077425E-2"/>
    <n v="4.9309173403343243"/>
    <n v="0"/>
    <n v="4.9309173403343243"/>
  </r>
  <r>
    <x v="0"/>
    <x v="8"/>
    <x v="2"/>
    <s v="Konventionel"/>
    <x v="1"/>
    <s v="Frugt"/>
    <n v="1.5727255257291396E-3"/>
    <n v="1.6022927656128474E-2"/>
    <n v="0"/>
    <n v="1.6022927656128474E-2"/>
  </r>
  <r>
    <x v="0"/>
    <x v="9"/>
    <x v="2"/>
    <s v="Konventionel"/>
    <x v="1"/>
    <s v="Øvrige"/>
    <n v="2.7815068567234969E-2"/>
    <n v="0.99453145404679411"/>
    <n v="0"/>
    <n v="0.99453145404679411"/>
  </r>
  <r>
    <x v="0"/>
    <x v="10"/>
    <x v="2"/>
    <s v="Konventionel"/>
    <x v="1"/>
    <s v="Halm"/>
    <n v="6.8655791864482674E-2"/>
    <n v="1.1772156603412456"/>
    <n v="0.19443320256021493"/>
    <n v="0.19443320256021493"/>
  </r>
  <r>
    <x v="0"/>
    <x v="11"/>
    <x v="2"/>
    <s v="Konventionel"/>
    <x v="1"/>
    <s v="Juletræer"/>
    <n v="7.888074139408327E-3"/>
    <n v="0.47328444836449962"/>
    <n v="0"/>
    <n v="0.47328444836449962"/>
  </r>
  <r>
    <x v="0"/>
    <x v="12"/>
    <x v="2"/>
    <s v="Konventionel"/>
    <x v="1"/>
    <s v="Pil &amp; poppel"/>
    <n v="1.2955126399086169E-2"/>
    <n v="0.37917443119276595"/>
    <n v="0"/>
    <n v="0.37917443119276595"/>
  </r>
  <r>
    <x v="0"/>
    <x v="13"/>
    <x v="2"/>
    <s v="Konventionel"/>
    <x v="1"/>
    <s v="Græs"/>
    <n v="0.36617748993000948"/>
    <n v="6.059505103361797"/>
    <n v="0"/>
    <n v="6.05950510336179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4829574932523"/>
    <n v="15823.086247750271"/>
    <n v="5134.5914873949623"/>
    <n v="5134.5914873949623"/>
  </r>
  <r>
    <x v="0"/>
    <x v="1"/>
    <x v="1"/>
    <s v="Økologisk"/>
    <x v="1"/>
    <s v="Halm"/>
    <n v="240.66923895986218"/>
    <n v="635.42455147138662"/>
    <n v="187.54736716213364"/>
    <n v="187.54736716213364"/>
  </r>
  <r>
    <x v="0"/>
    <x v="2"/>
    <x v="1"/>
    <s v="Økologisk"/>
    <x v="1"/>
    <s v="Halm"/>
    <n v="257.704529354177"/>
    <n v="748.37395324453018"/>
    <n v="397.3865691728455"/>
    <n v="397.3865691728455"/>
  </r>
  <r>
    <x v="0"/>
    <x v="3"/>
    <x v="1"/>
    <s v="Økologisk"/>
    <x v="1"/>
    <s v="Græs"/>
    <n v="2378.1883610607765"/>
    <n v="110453.34126138227"/>
    <n v="0"/>
    <n v="110453.34126138227"/>
  </r>
  <r>
    <x v="0"/>
    <x v="4"/>
    <x v="1"/>
    <s v="Økologisk"/>
    <x v="1"/>
    <s v="Grøntsager"/>
    <n v="11.122876417849888"/>
    <n v="157.86698499854344"/>
    <n v="0"/>
    <n v="157.86698499854344"/>
  </r>
  <r>
    <x v="0"/>
    <x v="5"/>
    <x v="1"/>
    <s v="Økologisk"/>
    <x v="1"/>
    <s v="Kartofler"/>
    <n v="175.60138919253245"/>
    <n v="5101.237079984895"/>
    <n v="0"/>
    <n v="5101.237079984895"/>
  </r>
  <r>
    <x v="0"/>
    <x v="6"/>
    <x v="1"/>
    <s v="Økologisk"/>
    <x v="1"/>
    <s v="Roer"/>
    <n v="4.6069585361111542"/>
    <n v="256.04347870273068"/>
    <n v="0"/>
    <n v="256.04347870273068"/>
  </r>
  <r>
    <x v="0"/>
    <x v="7"/>
    <x v="1"/>
    <s v="Økologisk"/>
    <x v="1"/>
    <s v="Majs"/>
    <n v="594.6891158890071"/>
    <n v="26363.734098026827"/>
    <n v="0"/>
    <n v="26363.734098026827"/>
  </r>
  <r>
    <x v="0"/>
    <x v="8"/>
    <x v="1"/>
    <s v="Økologisk"/>
    <x v="1"/>
    <s v="Frugt"/>
    <n v="10.131040316629504"/>
    <n v="58.832572085118187"/>
    <n v="0"/>
    <n v="58.832572085118187"/>
  </r>
  <r>
    <x v="0"/>
    <x v="9"/>
    <x v="1"/>
    <s v="Økologisk"/>
    <x v="1"/>
    <s v="Øvrige"/>
    <n v="179.17658005444198"/>
    <n v="3651.6949159878468"/>
    <n v="0"/>
    <n v="3651.6949159878468"/>
  </r>
  <r>
    <x v="0"/>
    <x v="10"/>
    <x v="1"/>
    <s v="Økologisk"/>
    <x v="1"/>
    <s v="Halm"/>
    <n v="442.26063859854253"/>
    <n v="4322.4700680880987"/>
    <n v="713.91481325131133"/>
    <n v="713.91481325131133"/>
  </r>
  <r>
    <x v="0"/>
    <x v="11"/>
    <x v="1"/>
    <s v="Økologisk"/>
    <x v="1"/>
    <s v="Juletræer"/>
    <n v="50.812678893768705"/>
    <n v="1737.7936181668899"/>
    <n v="0"/>
    <n v="1737.7936181668899"/>
  </r>
  <r>
    <x v="0"/>
    <x v="12"/>
    <x v="1"/>
    <s v="Økologisk"/>
    <x v="1"/>
    <s v="Pil &amp; poppel"/>
    <n v="83.453155499160744"/>
    <n v="1392.2428868640475"/>
    <n v="0"/>
    <n v="1392.2428868640475"/>
  </r>
  <r>
    <x v="0"/>
    <x v="13"/>
    <x v="1"/>
    <s v="Økologisk"/>
    <x v="1"/>
    <s v="Græs"/>
    <n v="2358.8088657766393"/>
    <n v="39033.569110871831"/>
    <n v="0"/>
    <n v="39033.569110871831"/>
  </r>
  <r>
    <x v="0"/>
    <x v="0"/>
    <x v="2"/>
    <s v="Økologisk"/>
    <x v="1"/>
    <s v="Halm"/>
    <n v="9.2448553566549435E-2"/>
    <n v="0.52104374584321522"/>
    <n v="0.16907869552612334"/>
    <n v="0.16907869552612334"/>
  </r>
  <r>
    <x v="0"/>
    <x v="1"/>
    <x v="2"/>
    <s v="Økologisk"/>
    <x v="1"/>
    <s v="Halm"/>
    <n v="7.9250785727538933E-3"/>
    <n v="2.0924109450927736E-2"/>
    <n v="6.1758105327325025E-3"/>
    <n v="6.1758105327325025E-3"/>
  </r>
  <r>
    <x v="0"/>
    <x v="2"/>
    <x v="2"/>
    <s v="Økologisk"/>
    <x v="1"/>
    <s v="Halm"/>
    <n v="8.4860393979432746E-3"/>
    <n v="2.464345841162727E-2"/>
    <n v="1.3085676416574083E-2"/>
    <n v="1.3085676416574083E-2"/>
  </r>
  <r>
    <x v="0"/>
    <x v="3"/>
    <x v="2"/>
    <s v="Økologisk"/>
    <x v="1"/>
    <s v="Græs"/>
    <n v="7.8312166954409748E-2"/>
    <n v="3.6371553419240317"/>
    <n v="0"/>
    <n v="3.6371553419240317"/>
  </r>
  <r>
    <x v="0"/>
    <x v="4"/>
    <x v="2"/>
    <s v="Økologisk"/>
    <x v="1"/>
    <s v="Grøntsager"/>
    <n v="3.6626895047934632E-4"/>
    <n v="5.1984552141533628E-3"/>
    <n v="0"/>
    <n v="5.1984552141533628E-3"/>
  </r>
  <r>
    <x v="0"/>
    <x v="5"/>
    <x v="2"/>
    <s v="Økologisk"/>
    <x v="1"/>
    <s v="Kartofler"/>
    <n v="5.7824373935368217E-3"/>
    <n v="0.16798035699056785"/>
    <n v="0"/>
    <n v="0.16798035699056785"/>
  </r>
  <r>
    <x v="0"/>
    <x v="6"/>
    <x v="2"/>
    <s v="Økologisk"/>
    <x v="1"/>
    <s v="Roer"/>
    <n v="1.5170409204721518E-4"/>
    <n v="8.4313421005947301E-3"/>
    <n v="0"/>
    <n v="8.4313421005947301E-3"/>
  </r>
  <r>
    <x v="0"/>
    <x v="7"/>
    <x v="2"/>
    <s v="Økologisk"/>
    <x v="1"/>
    <s v="Majs"/>
    <n v="1.9582718548289149E-2"/>
    <n v="0.86814029537401272"/>
    <n v="0"/>
    <n v="0.86814029537401272"/>
  </r>
  <r>
    <x v="0"/>
    <x v="8"/>
    <x v="2"/>
    <s v="Økologisk"/>
    <x v="1"/>
    <s v="Frugt"/>
    <n v="3.3360844485163561E-4"/>
    <n v="1.9373176166046242E-3"/>
    <n v="0"/>
    <n v="1.9373176166046242E-3"/>
  </r>
  <r>
    <x v="0"/>
    <x v="9"/>
    <x v="2"/>
    <s v="Økologisk"/>
    <x v="1"/>
    <s v="Øvrige"/>
    <n v="5.9001660597165087E-3"/>
    <n v="0.1202478939892942"/>
    <n v="0"/>
    <n v="0.1202478939892942"/>
  </r>
  <r>
    <x v="0"/>
    <x v="10"/>
    <x v="2"/>
    <s v="Økologisk"/>
    <x v="1"/>
    <s v="Halm"/>
    <n v="1.4563349789435716E-2"/>
    <n v="0.14233607529580511"/>
    <n v="2.3508741764098708E-2"/>
    <n v="2.3508741764098708E-2"/>
  </r>
  <r>
    <x v="0"/>
    <x v="11"/>
    <x v="2"/>
    <s v="Økologisk"/>
    <x v="1"/>
    <s v="Juletræer"/>
    <n v="1.6732278477532812E-3"/>
    <n v="5.722439239316221E-2"/>
    <n v="0"/>
    <n v="5.722439239316221E-2"/>
  </r>
  <r>
    <x v="0"/>
    <x v="12"/>
    <x v="2"/>
    <s v="Økologisk"/>
    <x v="1"/>
    <s v="Pil &amp; poppel"/>
    <n v="2.7480571149576727E-3"/>
    <n v="4.584563577148898E-2"/>
    <n v="0"/>
    <n v="4.584563577148898E-2"/>
  </r>
  <r>
    <x v="0"/>
    <x v="13"/>
    <x v="2"/>
    <s v="Økologisk"/>
    <x v="1"/>
    <s v="Græs"/>
    <n v="7.7674013015456553E-2"/>
    <n v="1.2853495673797752"/>
    <n v="0"/>
    <n v="1.2853495673797752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29674680641973877"/>
    <n v="2.9122731582033161"/>
    <n v="0.94503263983697616"/>
    <n v="0.94503263983697616"/>
  </r>
  <r>
    <x v="0"/>
    <x v="1"/>
    <x v="1"/>
    <s v="Konventionel"/>
    <x v="2"/>
    <s v="Halm"/>
    <n v="1.7086450333499009E-2"/>
    <n v="9.2335177602228646E-2"/>
    <n v="2.7252990800632915E-2"/>
    <n v="2.7252990800632915E-2"/>
  </r>
  <r>
    <x v="0"/>
    <x v="2"/>
    <x v="1"/>
    <s v="Konventionel"/>
    <x v="2"/>
    <s v="Halm"/>
    <n v="2.2126179468366147E-2"/>
    <n v="0.13629726552513546"/>
    <n v="7.2373847993846926E-2"/>
    <n v="7.2373847993846926E-2"/>
  </r>
  <r>
    <x v="0"/>
    <x v="3"/>
    <x v="1"/>
    <s v="Konventionel"/>
    <x v="2"/>
    <s v="Græs"/>
    <n v="0.51029954485989426"/>
    <n v="35.44948878232713"/>
    <n v="0"/>
    <n v="35.44948878232713"/>
  </r>
  <r>
    <x v="0"/>
    <x v="4"/>
    <x v="1"/>
    <s v="Konventionel"/>
    <x v="2"/>
    <s v="Grøntsager"/>
    <n v="5.9312754358377721E-4"/>
    <n v="1.7230355141108728E-2"/>
    <n v="0"/>
    <n v="1.7230355141108728E-2"/>
  </r>
  <r>
    <x v="0"/>
    <x v="5"/>
    <x v="1"/>
    <s v="Konventionel"/>
    <x v="2"/>
    <s v="Kartofler"/>
    <n v="3.1394414813143305E-2"/>
    <n v="1.8666886496674167"/>
    <n v="0"/>
    <n v="1.8666886496674167"/>
  </r>
  <r>
    <x v="0"/>
    <x v="6"/>
    <x v="1"/>
    <s v="Konventionel"/>
    <x v="2"/>
    <s v="Roer"/>
    <n v="3.3950117003646611E-4"/>
    <n v="3.8620031605222829E-2"/>
    <n v="0"/>
    <n v="3.8620031605222829E-2"/>
  </r>
  <r>
    <x v="0"/>
    <x v="7"/>
    <x v="1"/>
    <s v="Konventionel"/>
    <x v="2"/>
    <s v="Majs"/>
    <n v="4.2220294070089238E-2"/>
    <n v="2.6309154046835412"/>
    <n v="0"/>
    <n v="2.6309154046835412"/>
  </r>
  <r>
    <x v="0"/>
    <x v="8"/>
    <x v="1"/>
    <s v="Konventionel"/>
    <x v="2"/>
    <s v="Frugt"/>
    <n v="1.2099053290264164E-3"/>
    <n v="1.4380934740807986E-2"/>
    <n v="0"/>
    <n v="1.4380934740807986E-2"/>
  </r>
  <r>
    <x v="0"/>
    <x v="9"/>
    <x v="1"/>
    <s v="Konventionel"/>
    <x v="2"/>
    <s v="Øvrige"/>
    <n v="2.1398266344745977E-2"/>
    <n v="0.89261414925364546"/>
    <n v="0"/>
    <n v="0.89261414925364546"/>
  </r>
  <r>
    <x v="0"/>
    <x v="10"/>
    <x v="1"/>
    <s v="Konventionel"/>
    <x v="2"/>
    <s v="Halm"/>
    <n v="6.8082129291564208E-2"/>
    <n v="1.3619424919198089"/>
    <n v="0.22494335517932812"/>
    <n v="0.22494335517932812"/>
  </r>
  <r>
    <x v="0"/>
    <x v="11"/>
    <x v="1"/>
    <s v="Konventionel"/>
    <x v="2"/>
    <s v="Juletræer"/>
    <n v="6.0683334637179846E-3"/>
    <n v="0.42478334246025895"/>
    <n v="0"/>
    <n v="0.42478334246025895"/>
  </r>
  <r>
    <x v="0"/>
    <x v="12"/>
    <x v="1"/>
    <s v="Konventionel"/>
    <x v="2"/>
    <s v="Pil &amp; poppel"/>
    <n v="1.4324445842879414E-2"/>
    <n v="0.48912741902515072"/>
    <n v="0"/>
    <n v="0.48912741902515072"/>
  </r>
  <r>
    <x v="0"/>
    <x v="13"/>
    <x v="1"/>
    <s v="Konventionel"/>
    <x v="2"/>
    <s v="Græs"/>
    <n v="0.52979341323357754"/>
    <n v="10.228191635887448"/>
    <n v="0"/>
    <n v="10.228191635887448"/>
  </r>
  <r>
    <x v="0"/>
    <x v="0"/>
    <x v="2"/>
    <s v="Konventionel"/>
    <x v="2"/>
    <s v="Halm"/>
    <n v="0.28302441074714974"/>
    <n v="2.7776015670725269"/>
    <n v="0.90133170851503497"/>
    <n v="0.90133170851503497"/>
  </r>
  <r>
    <x v="0"/>
    <x v="1"/>
    <x v="2"/>
    <s v="Konventionel"/>
    <x v="2"/>
    <s v="Halm"/>
    <n v="1.6296325462585758E-2"/>
    <n v="8.8065342799813429E-2"/>
    <n v="2.5992736890777059E-2"/>
    <n v="2.5992736890777059E-2"/>
  </r>
  <r>
    <x v="0"/>
    <x v="2"/>
    <x v="2"/>
    <s v="Konventionel"/>
    <x v="2"/>
    <s v="Halm"/>
    <n v="2.1103003539193144E-2"/>
    <n v="0.12999450180142977"/>
    <n v="6.9027080456559198E-2"/>
    <n v="6.9027080456559198E-2"/>
  </r>
  <r>
    <x v="0"/>
    <x v="3"/>
    <x v="2"/>
    <s v="Konventionel"/>
    <x v="2"/>
    <s v="Græs"/>
    <n v="0.48670187804556381"/>
    <n v="33.810206064069227"/>
    <n v="0"/>
    <n v="33.810206064069227"/>
  </r>
  <r>
    <x v="0"/>
    <x v="4"/>
    <x v="2"/>
    <s v="Konventionel"/>
    <x v="2"/>
    <s v="Grøntsager"/>
    <n v="5.6569968029666602E-4"/>
    <n v="1.6433575712618147E-2"/>
    <n v="0"/>
    <n v="1.6433575712618147E-2"/>
  </r>
  <r>
    <x v="0"/>
    <x v="5"/>
    <x v="2"/>
    <s v="Konventionel"/>
    <x v="2"/>
    <s v="Kartofler"/>
    <n v="2.9942649966292749E-2"/>
    <n v="1.780367787255051"/>
    <n v="0"/>
    <n v="1.780367787255051"/>
  </r>
  <r>
    <x v="0"/>
    <x v="6"/>
    <x v="2"/>
    <s v="Konventionel"/>
    <x v="2"/>
    <s v="Roer"/>
    <n v="3.2380169396541565E-4"/>
    <n v="3.6834134189952412E-2"/>
    <n v="0"/>
    <n v="3.6834134189952412E-2"/>
  </r>
  <r>
    <x v="0"/>
    <x v="7"/>
    <x v="2"/>
    <s v="Konventionel"/>
    <x v="2"/>
    <s v="Majs"/>
    <n v="4.0267910529275863E-2"/>
    <n v="2.5092545767212968"/>
    <n v="0"/>
    <n v="2.5092545767212968"/>
  </r>
  <r>
    <x v="0"/>
    <x v="8"/>
    <x v="2"/>
    <s v="Konventionel"/>
    <x v="2"/>
    <s v="Frugt"/>
    <n v="1.1539559496494725E-3"/>
    <n v="1.3715920417533629E-2"/>
    <n v="0"/>
    <n v="1.3715920417533629E-2"/>
  </r>
  <r>
    <x v="0"/>
    <x v="9"/>
    <x v="2"/>
    <s v="Konventionel"/>
    <x v="2"/>
    <s v="Øvrige"/>
    <n v="2.040875113805252E-2"/>
    <n v="0.85133719437486421"/>
    <n v="0"/>
    <n v="0.85133719437486421"/>
  </r>
  <r>
    <x v="0"/>
    <x v="10"/>
    <x v="2"/>
    <s v="Konventionel"/>
    <x v="2"/>
    <s v="Halm"/>
    <n v="6.4933822734728863E-2"/>
    <n v="1.2989624922934593"/>
    <n v="0.21454135031554414"/>
    <n v="0.21454135031554414"/>
  </r>
  <r>
    <x v="0"/>
    <x v="11"/>
    <x v="2"/>
    <s v="Konventionel"/>
    <x v="2"/>
    <s v="Juletræer"/>
    <n v="5.7877168873610831E-3"/>
    <n v="0.4051401821152758"/>
    <n v="0"/>
    <n v="0.4051401821152758"/>
  </r>
  <r>
    <x v="0"/>
    <x v="12"/>
    <x v="2"/>
    <s v="Konventionel"/>
    <x v="2"/>
    <s v="Pil &amp; poppel"/>
    <n v="1.3662043722977473E-2"/>
    <n v="0.4665088100528893"/>
    <n v="0"/>
    <n v="0.4665088100528893"/>
  </r>
  <r>
    <x v="0"/>
    <x v="13"/>
    <x v="2"/>
    <s v="Konventionel"/>
    <x v="2"/>
    <s v="Græs"/>
    <n v="0.50529429585861441"/>
    <n v="9.7552116758464091"/>
    <n v="0"/>
    <n v="9.755211675846409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4.6313085394988143E-2"/>
    <n v="0.30452613544449708"/>
    <n v="9.881873095173932E-2"/>
    <n v="9.881873095173932E-2"/>
  </r>
  <r>
    <x v="0"/>
    <x v="1"/>
    <x v="1"/>
    <s v="Økologisk"/>
    <x v="2"/>
    <s v="Halm"/>
    <n v="2.6666714393322154E-3"/>
    <n v="8.2140947011462347E-3"/>
    <n v="2.4244134590852054E-3"/>
    <n v="2.4244134590852054E-3"/>
  </r>
  <r>
    <x v="0"/>
    <x v="2"/>
    <x v="1"/>
    <s v="Økologisk"/>
    <x v="2"/>
    <s v="Halm"/>
    <n v="3.4532187609588785E-3"/>
    <n v="1.1699505162128679E-2"/>
    <n v="6.2124372410903295E-3"/>
    <n v="6.2124372410903295E-3"/>
  </r>
  <r>
    <x v="0"/>
    <x v="3"/>
    <x v="1"/>
    <s v="Økologisk"/>
    <x v="2"/>
    <s v="Græs"/>
    <n v="7.9642125498364996E-2"/>
    <n v="4.3154117558139271"/>
    <n v="0"/>
    <n v="4.3154117558139271"/>
  </r>
  <r>
    <x v="0"/>
    <x v="4"/>
    <x v="1"/>
    <s v="Økologisk"/>
    <x v="2"/>
    <s v="Grøntsager"/>
    <n v="9.2569038593999904E-5"/>
    <n v="1.5328044255587476E-3"/>
    <n v="0"/>
    <n v="1.5328044255587476E-3"/>
  </r>
  <r>
    <x v="0"/>
    <x v="5"/>
    <x v="1"/>
    <s v="Økologisk"/>
    <x v="2"/>
    <s v="Kartofler"/>
    <n v="4.8997063581206323E-3"/>
    <n v="0.16605975906578929"/>
    <n v="0"/>
    <n v="0.16605975906578929"/>
  </r>
  <r>
    <x v="0"/>
    <x v="6"/>
    <x v="1"/>
    <s v="Økologisk"/>
    <x v="2"/>
    <s v="Roer"/>
    <n v="5.2985731739795291E-5"/>
    <n v="3.4356201526264695E-3"/>
    <n v="0"/>
    <n v="3.4356201526264695E-3"/>
  </r>
  <r>
    <x v="0"/>
    <x v="7"/>
    <x v="1"/>
    <s v="Økologisk"/>
    <x v="2"/>
    <s v="Majs"/>
    <n v="6.5892944502451414E-3"/>
    <n v="0.34080239432923787"/>
    <n v="0"/>
    <n v="0.34080239432923787"/>
  </r>
  <r>
    <x v="0"/>
    <x v="8"/>
    <x v="1"/>
    <s v="Økologisk"/>
    <x v="2"/>
    <s v="Frugt"/>
    <n v="1.8882915539718639E-4"/>
    <n v="1.2793213043990458E-3"/>
    <n v="0"/>
    <n v="1.2793213043990458E-3"/>
  </r>
  <r>
    <x v="0"/>
    <x v="9"/>
    <x v="1"/>
    <s v="Økologisk"/>
    <x v="2"/>
    <s v="Øvrige"/>
    <n v="3.3396138225904128E-3"/>
    <n v="7.940654194805552E-2"/>
    <n v="0"/>
    <n v="7.940654194805552E-2"/>
  </r>
  <r>
    <x v="0"/>
    <x v="10"/>
    <x v="1"/>
    <s v="Økologisk"/>
    <x v="2"/>
    <s v="Halm"/>
    <n v="1.0625534629319271E-2"/>
    <n v="0.12115777428118996"/>
    <n v="2.0010856856704395E-2"/>
    <n v="2.0010856856704395E-2"/>
  </r>
  <r>
    <x v="0"/>
    <x v="11"/>
    <x v="1"/>
    <s v="Økologisk"/>
    <x v="2"/>
    <s v="Juletræer"/>
    <n v="9.4708094520454093E-4"/>
    <n v="3.778852971366118E-2"/>
    <n v="0"/>
    <n v="3.778852971366118E-2"/>
  </r>
  <r>
    <x v="0"/>
    <x v="12"/>
    <x v="1"/>
    <s v="Økologisk"/>
    <x v="2"/>
    <s v="Pil &amp; poppel"/>
    <n v="2.2356071546690416E-3"/>
    <n v="4.3512549010387688E-2"/>
    <n v="0"/>
    <n v="4.3512549010387688E-2"/>
  </r>
  <r>
    <x v="0"/>
    <x v="13"/>
    <x v="1"/>
    <s v="Økologisk"/>
    <x v="2"/>
    <s v="Græs"/>
    <n v="8.2684521140500539E-2"/>
    <n v="1.5963073651385034"/>
    <n v="0"/>
    <n v="1.5963073651385034"/>
  </r>
  <r>
    <x v="0"/>
    <x v="0"/>
    <x v="2"/>
    <s v="Økologisk"/>
    <x v="2"/>
    <s v="Halm"/>
    <n v="6.0035481067577209E-2"/>
    <n v="0.39475610150212581"/>
    <n v="0.12809835493743982"/>
    <n v="0.12809835493743982"/>
  </r>
  <r>
    <x v="0"/>
    <x v="1"/>
    <x v="2"/>
    <s v="Økologisk"/>
    <x v="2"/>
    <s v="Halm"/>
    <n v="3.4567963102454641E-3"/>
    <n v="1.06479005385229E-2"/>
    <n v="3.1427581877030439E-3"/>
    <n v="3.1427581877030439E-3"/>
  </r>
  <r>
    <x v="0"/>
    <x v="2"/>
    <x v="2"/>
    <s v="Økologisk"/>
    <x v="2"/>
    <s v="Halm"/>
    <n v="4.4763946901318786E-3"/>
    <n v="1.5166025210166807E-2"/>
    <n v="8.053159386598575E-3"/>
    <n v="8.053159386598575E-3"/>
  </r>
  <r>
    <x v="0"/>
    <x v="3"/>
    <x v="2"/>
    <s v="Økologisk"/>
    <x v="2"/>
    <s v="Græs"/>
    <n v="0.10323979231269535"/>
    <n v="5.5940522760550913"/>
    <n v="0"/>
    <n v="5.5940522760550913"/>
  </r>
  <r>
    <x v="0"/>
    <x v="4"/>
    <x v="2"/>
    <s v="Økologisk"/>
    <x v="2"/>
    <s v="Grøntsager"/>
    <n v="1.1999690188111097E-4"/>
    <n v="1.9869686997983755E-3"/>
    <n v="0"/>
    <n v="1.9869686997983755E-3"/>
  </r>
  <r>
    <x v="0"/>
    <x v="5"/>
    <x v="2"/>
    <s v="Økologisk"/>
    <x v="2"/>
    <s v="Kartofler"/>
    <n v="6.3514712049711885E-3"/>
    <n v="0.21526265064083791"/>
    <n v="0"/>
    <n v="0.21526265064083791"/>
  </r>
  <r>
    <x v="0"/>
    <x v="6"/>
    <x v="2"/>
    <s v="Økologisk"/>
    <x v="2"/>
    <s v="Roer"/>
    <n v="6.8685207810845745E-5"/>
    <n v="4.4535816793306099E-3"/>
    <n v="0"/>
    <n v="4.4535816793306099E-3"/>
  </r>
  <r>
    <x v="0"/>
    <x v="7"/>
    <x v="2"/>
    <s v="Økologisk"/>
    <x v="2"/>
    <s v="Majs"/>
    <n v="8.5416779910585158E-3"/>
    <n v="0.4417808815379009"/>
    <n v="0"/>
    <n v="0.4417808815379009"/>
  </r>
  <r>
    <x v="0"/>
    <x v="8"/>
    <x v="2"/>
    <s v="Økologisk"/>
    <x v="2"/>
    <s v="Frugt"/>
    <n v="2.4477853477413049E-4"/>
    <n v="1.6583794686654296E-3"/>
    <n v="0"/>
    <n v="1.6583794686654296E-3"/>
  </r>
  <r>
    <x v="0"/>
    <x v="9"/>
    <x v="2"/>
    <s v="Økologisk"/>
    <x v="2"/>
    <s v="Øvrige"/>
    <n v="4.329129029283868E-3"/>
    <n v="0.10293440622896084"/>
    <n v="0"/>
    <n v="0.10293440622896084"/>
  </r>
  <r>
    <x v="0"/>
    <x v="10"/>
    <x v="2"/>
    <s v="Økologisk"/>
    <x v="2"/>
    <s v="Halm"/>
    <n v="1.3773841186154611E-2"/>
    <n v="0.15705637406820919"/>
    <n v="2.5939999629061253E-2"/>
    <n v="2.5939999629061253E-2"/>
  </r>
  <r>
    <x v="0"/>
    <x v="11"/>
    <x v="2"/>
    <s v="Økologisk"/>
    <x v="2"/>
    <s v="Juletræer"/>
    <n v="1.2276975215614421E-3"/>
    <n v="4.8985131110301533E-2"/>
    <n v="0"/>
    <n v="4.8985131110301533E-2"/>
  </r>
  <r>
    <x v="0"/>
    <x v="12"/>
    <x v="2"/>
    <s v="Økologisk"/>
    <x v="2"/>
    <s v="Pil &amp; poppel"/>
    <n v="2.8980092745709792E-3"/>
    <n v="5.6405156124576618E-2"/>
    <n v="0"/>
    <n v="5.6405156124576618E-2"/>
  </r>
  <r>
    <x v="0"/>
    <x v="13"/>
    <x v="2"/>
    <s v="Økologisk"/>
    <x v="2"/>
    <s v="Græs"/>
    <n v="0.10718363851546366"/>
    <n v="2.0692873251795416"/>
    <n v="0"/>
    <n v="2.069287325179541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635.09976023421"/>
    <n v="1280272.0493192419"/>
    <n v="415448.28000409401"/>
    <n v="415448.28000409401"/>
  </r>
  <r>
    <x v="1"/>
    <x v="1"/>
    <x v="1"/>
    <s v="Konventionel"/>
    <x v="0"/>
    <s v="Halm"/>
    <n v="41092.897446052695"/>
    <n v="158618.58414176342"/>
    <n v="46816.727131313375"/>
    <n v="46816.727131313375"/>
  </r>
  <r>
    <x v="1"/>
    <x v="2"/>
    <x v="1"/>
    <s v="Konventionel"/>
    <x v="0"/>
    <s v="Halm"/>
    <n v="45658.774940058553"/>
    <n v="200898.60973625764"/>
    <n v="106677.16176995281"/>
    <n v="106677.16176995281"/>
  </r>
  <r>
    <x v="1"/>
    <x v="3"/>
    <x v="1"/>
    <s v="Konventionel"/>
    <x v="0"/>
    <s v="Græs"/>
    <n v="45658.774940058553"/>
    <n v="2265588.4125257055"/>
    <n v="0"/>
    <n v="2265588.4125257055"/>
  </r>
  <r>
    <x v="1"/>
    <x v="4"/>
    <x v="1"/>
    <s v="Konventionel"/>
    <x v="0"/>
    <s v="Grøntsager"/>
    <n v="4565.8774940058547"/>
    <n v="94741.958000621496"/>
    <n v="0"/>
    <n v="94741.958000621496"/>
  </r>
  <r>
    <x v="1"/>
    <x v="5"/>
    <x v="1"/>
    <s v="Konventionel"/>
    <x v="0"/>
    <s v="Kartofler"/>
    <n v="11414.693735014638"/>
    <n v="484792.31011091266"/>
    <n v="0"/>
    <n v="484792.31011091266"/>
  </r>
  <r>
    <x v="1"/>
    <x v="6"/>
    <x v="1"/>
    <s v="Konventionel"/>
    <x v="0"/>
    <s v="Roer"/>
    <n v="4565.8774940058547"/>
    <n v="370994.58324429661"/>
    <n v="0"/>
    <n v="370994.58324429661"/>
  </r>
  <r>
    <x v="1"/>
    <x v="7"/>
    <x v="1"/>
    <s v="Konventionel"/>
    <x v="0"/>
    <s v="Majs"/>
    <n v="22829.387470029276"/>
    <n v="1016136.0362910032"/>
    <n v="0"/>
    <n v="1016136.0362910032"/>
  </r>
  <r>
    <x v="1"/>
    <x v="8"/>
    <x v="1"/>
    <s v="Konventionel"/>
    <x v="0"/>
    <s v="Frugt"/>
    <n v="2282.9387470029274"/>
    <n v="19382.149962054853"/>
    <n v="0"/>
    <n v="19382.149962054853"/>
  </r>
  <r>
    <x v="1"/>
    <x v="9"/>
    <x v="1"/>
    <s v="Konventionel"/>
    <x v="0"/>
    <s v="Øvrige"/>
    <n v="11414.693735014638"/>
    <n v="340111.56969174428"/>
    <n v="0"/>
    <n v="340111.56969174428"/>
  </r>
  <r>
    <x v="1"/>
    <x v="10"/>
    <x v="1"/>
    <s v="Konventionel"/>
    <x v="0"/>
    <s v="Halm"/>
    <n v="18444.002451504257"/>
    <n v="263543.78287730424"/>
    <n v="43527.845785550046"/>
    <n v="43527.845785550046"/>
  </r>
  <r>
    <x v="1"/>
    <x v="11"/>
    <x v="1"/>
    <s v="Konventionel"/>
    <x v="0"/>
    <s v="Juletræer"/>
    <n v="4565.8774940058547"/>
    <n v="228293.87470029277"/>
    <n v="0"/>
    <n v="228293.87470029277"/>
  </r>
  <r>
    <x v="1"/>
    <x v="12"/>
    <x v="1"/>
    <s v="Konventionel"/>
    <x v="0"/>
    <s v="Pil &amp; poppel"/>
    <n v="2282.9387470029274"/>
    <n v="55681.432853729944"/>
    <n v="0"/>
    <n v="55681.432853729944"/>
  </r>
  <r>
    <x v="1"/>
    <x v="13"/>
    <x v="1"/>
    <s v="Konventionel"/>
    <x v="0"/>
    <s v="Græs"/>
    <n v="59356.407422076118"/>
    <n v="818524.85835042968"/>
    <n v="0"/>
    <n v="818524.85835042968"/>
  </r>
  <r>
    <x v="1"/>
    <x v="0"/>
    <x v="2"/>
    <s v="Konventionel"/>
    <x v="0"/>
    <s v="Halm"/>
    <n v="165742.2609289588"/>
    <n v="1161853.2491120012"/>
    <n v="377021.37933684443"/>
    <n v="377021.37933684443"/>
  </r>
  <r>
    <x v="1"/>
    <x v="1"/>
    <x v="2"/>
    <s v="Konventionel"/>
    <x v="0"/>
    <s v="Halm"/>
    <n v="37292.008709015725"/>
    <n v="143947.1536168007"/>
    <n v="42486.412602094526"/>
    <n v="42486.412602094526"/>
  </r>
  <r>
    <x v="1"/>
    <x v="2"/>
    <x v="2"/>
    <s v="Konventionel"/>
    <x v="0"/>
    <s v="Halm"/>
    <n v="41435.5652322397"/>
    <n v="182316.4870218547"/>
    <n v="96810.054608604842"/>
    <n v="96810.054608604842"/>
  </r>
  <r>
    <x v="1"/>
    <x v="3"/>
    <x v="2"/>
    <s v="Konventionel"/>
    <x v="0"/>
    <s v="Græs"/>
    <n v="41435.5652322397"/>
    <n v="2056032.7468237341"/>
    <n v="0"/>
    <n v="2056032.7468237341"/>
  </r>
  <r>
    <x v="1"/>
    <x v="4"/>
    <x v="2"/>
    <s v="Konventionel"/>
    <x v="0"/>
    <s v="Grøntsager"/>
    <n v="4143.5565232239696"/>
    <n v="85978.797856897378"/>
    <n v="0"/>
    <n v="85978.797856897378"/>
  </r>
  <r>
    <x v="1"/>
    <x v="5"/>
    <x v="2"/>
    <s v="Konventionel"/>
    <x v="0"/>
    <s v="Kartofler"/>
    <n v="10358.891308059925"/>
    <n v="439951.43137458741"/>
    <n v="0"/>
    <n v="439951.43137458741"/>
  </r>
  <r>
    <x v="1"/>
    <x v="6"/>
    <x v="2"/>
    <s v="Konventionel"/>
    <x v="0"/>
    <s v="Roer"/>
    <n v="4143.5565232239696"/>
    <n v="336679.4285437506"/>
    <n v="0"/>
    <n v="336679.4285437506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2071.7782616119848"/>
    <n v="17589.397441085752"/>
    <n v="0"/>
    <n v="17589.397441085752"/>
  </r>
  <r>
    <x v="1"/>
    <x v="9"/>
    <x v="2"/>
    <s v="Konventionel"/>
    <x v="0"/>
    <s v="Øvrige"/>
    <n v="10358.891308059925"/>
    <n v="308652.94022239564"/>
    <n v="0"/>
    <n v="308652.94022239564"/>
  </r>
  <r>
    <x v="1"/>
    <x v="10"/>
    <x v="2"/>
    <s v="Konventionel"/>
    <x v="0"/>
    <s v="Halm"/>
    <n v="16738.023911640095"/>
    <n v="239167.29306250089"/>
    <n v="39501.736431470628"/>
    <n v="39501.736431470628"/>
  </r>
  <r>
    <x v="1"/>
    <x v="11"/>
    <x v="2"/>
    <s v="Konventionel"/>
    <x v="0"/>
    <s v="Juletræer"/>
    <n v="4143.5565232239696"/>
    <n v="207177.82616119849"/>
    <n v="0"/>
    <n v="207177.82616119849"/>
  </r>
  <r>
    <x v="1"/>
    <x v="12"/>
    <x v="2"/>
    <s v="Konventionel"/>
    <x v="0"/>
    <s v="Pil &amp; poppel"/>
    <n v="2071.7782616119848"/>
    <n v="50531.177112487436"/>
    <n v="0"/>
    <n v="50531.177112487436"/>
  </r>
  <r>
    <x v="1"/>
    <x v="13"/>
    <x v="2"/>
    <s v="Konventionel"/>
    <x v="0"/>
    <s v="Græs"/>
    <n v="53866.234801911611"/>
    <n v="742815.37791836122"/>
    <n v="0"/>
    <n v="742815.37791836122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503.743893215742"/>
    <n v="133873.53394326637"/>
    <n v="43441.961764589942"/>
    <n v="43441.961764589942"/>
  </r>
  <r>
    <x v="1"/>
    <x v="1"/>
    <x v="1"/>
    <s v="Økologisk"/>
    <x v="0"/>
    <s v="Halm"/>
    <n v="6413.3423759735424"/>
    <n v="14110.63589561699"/>
    <n v="4164.7943962480504"/>
    <n v="4164.7943962480504"/>
  </r>
  <r>
    <x v="1"/>
    <x v="2"/>
    <x v="1"/>
    <s v="Økologisk"/>
    <x v="0"/>
    <s v="Halm"/>
    <n v="7125.9359733039355"/>
    <n v="17244.765055395525"/>
    <n v="9156.9702444150244"/>
    <n v="9156.9702444150244"/>
  </r>
  <r>
    <x v="1"/>
    <x v="3"/>
    <x v="1"/>
    <s v="Økologisk"/>
    <x v="0"/>
    <s v="Græs"/>
    <n v="7125.9359733039355"/>
    <n v="275799.37553636619"/>
    <n v="0"/>
    <n v="275799.37553636619"/>
  </r>
  <r>
    <x v="1"/>
    <x v="4"/>
    <x v="1"/>
    <s v="Økologisk"/>
    <x v="0"/>
    <s v="Grøntsager"/>
    <n v="712.59359733039355"/>
    <n v="8428.2007724252289"/>
    <n v="0"/>
    <n v="8428.2007724252289"/>
  </r>
  <r>
    <x v="1"/>
    <x v="5"/>
    <x v="1"/>
    <s v="Økologisk"/>
    <x v="0"/>
    <s v="Kartofler"/>
    <n v="1781.4839933259839"/>
    <n v="43126.899726051706"/>
    <n v="0"/>
    <n v="43126.899726051706"/>
  </r>
  <r>
    <x v="1"/>
    <x v="6"/>
    <x v="1"/>
    <s v="Økologisk"/>
    <x v="0"/>
    <s v="Roer"/>
    <n v="712.59359733039355"/>
    <n v="33003.506567223834"/>
    <n v="0"/>
    <n v="33003.506567223834"/>
  </r>
  <r>
    <x v="1"/>
    <x v="7"/>
    <x v="1"/>
    <s v="Økologisk"/>
    <x v="0"/>
    <s v="Majs"/>
    <n v="3562.9679866519677"/>
    <n v="131627.79522127967"/>
    <n v="0"/>
    <n v="131627.79522127967"/>
  </r>
  <r>
    <x v="1"/>
    <x v="8"/>
    <x v="1"/>
    <s v="Økologisk"/>
    <x v="0"/>
    <s v="Frugt"/>
    <n v="356.29679866519677"/>
    <n v="1724.2270977804867"/>
    <n v="0"/>
    <n v="1724.2270977804867"/>
  </r>
  <r>
    <x v="1"/>
    <x v="9"/>
    <x v="1"/>
    <s v="Økologisk"/>
    <x v="0"/>
    <s v="Øvrige"/>
    <n v="1781.4839933259839"/>
    <n v="30256.167962751118"/>
    <n v="0"/>
    <n v="30256.167962751118"/>
  </r>
  <r>
    <x v="1"/>
    <x v="10"/>
    <x v="1"/>
    <s v="Økologisk"/>
    <x v="0"/>
    <s v="Halm"/>
    <n v="2878.5437352058666"/>
    <n v="23444.733054807584"/>
    <n v="3872.2170325989314"/>
    <n v="3872.2170325989314"/>
  </r>
  <r>
    <x v="1"/>
    <x v="11"/>
    <x v="1"/>
    <s v="Økologisk"/>
    <x v="0"/>
    <s v="Juletræer"/>
    <n v="712.59359733039355"/>
    <n v="20308.917523916214"/>
    <n v="0"/>
    <n v="20308.917523916214"/>
  </r>
  <r>
    <x v="1"/>
    <x v="12"/>
    <x v="1"/>
    <s v="Økologisk"/>
    <x v="0"/>
    <s v="Pil &amp; poppel"/>
    <n v="356.29679866519677"/>
    <n v="4953.3945180283454"/>
    <n v="0"/>
    <n v="4953.3945180283454"/>
  </r>
  <r>
    <x v="1"/>
    <x v="13"/>
    <x v="1"/>
    <s v="Økologisk"/>
    <x v="0"/>
    <s v="Græs"/>
    <n v="9263.7167652951175"/>
    <n v="127746.65419341969"/>
    <n v="0"/>
    <n v="127746.65419341969"/>
  </r>
  <r>
    <x v="1"/>
    <x v="0"/>
    <x v="2"/>
    <s v="Økologisk"/>
    <x v="0"/>
    <s v="Halm"/>
    <n v="35157.449287960953"/>
    <n v="165123.99207076619"/>
    <n v="53582.735426963634"/>
    <n v="53582.735426963634"/>
  </r>
  <r>
    <x v="1"/>
    <x v="1"/>
    <x v="2"/>
    <s v="Økologisk"/>
    <x v="0"/>
    <s v="Halm"/>
    <n v="7910.4260897912154"/>
    <n v="17404.519482758635"/>
    <n v="5136.9935237077916"/>
    <n v="5136.9935237077916"/>
  </r>
  <r>
    <x v="1"/>
    <x v="2"/>
    <x v="2"/>
    <s v="Økologisk"/>
    <x v="0"/>
    <s v="Halm"/>
    <n v="8789.3623219902383"/>
    <n v="21270.256819216378"/>
    <n v="11294.506371003898"/>
    <n v="11294.506371003898"/>
  </r>
  <r>
    <x v="1"/>
    <x v="3"/>
    <x v="2"/>
    <s v="Økologisk"/>
    <x v="0"/>
    <s v="Græs"/>
    <n v="8789.3623219902383"/>
    <n v="340179.96356538142"/>
    <n v="0"/>
    <n v="340179.96356538142"/>
  </r>
  <r>
    <x v="1"/>
    <x v="4"/>
    <x v="2"/>
    <s v="Økologisk"/>
    <x v="0"/>
    <s v="Grøntsager"/>
    <n v="878.93623219902383"/>
    <n v="10395.618286333955"/>
    <n v="0"/>
    <n v="10395.618286333955"/>
  </r>
  <r>
    <x v="1"/>
    <x v="5"/>
    <x v="2"/>
    <s v="Økologisk"/>
    <x v="0"/>
    <s v="Kartofler"/>
    <n v="2197.3405804975596"/>
    <n v="53194.127611654651"/>
    <n v="0"/>
    <n v="53194.127611654651"/>
  </r>
  <r>
    <x v="1"/>
    <x v="6"/>
    <x v="2"/>
    <s v="Økologisk"/>
    <x v="0"/>
    <s v="Roer"/>
    <n v="878.93623219902383"/>
    <n v="40707.603633017112"/>
    <n v="0"/>
    <n v="40707.603633017112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439.46811609951192"/>
    <n v="2126.718054240368"/>
    <n v="0"/>
    <n v="2126.718054240368"/>
  </r>
  <r>
    <x v="1"/>
    <x v="9"/>
    <x v="2"/>
    <s v="Økologisk"/>
    <x v="0"/>
    <s v="Øvrige"/>
    <n v="2197.3405804975596"/>
    <n v="37318.94640870783"/>
    <n v="0"/>
    <n v="37318.94640870783"/>
  </r>
  <r>
    <x v="1"/>
    <x v="10"/>
    <x v="2"/>
    <s v="Økologisk"/>
    <x v="0"/>
    <s v="Halm"/>
    <n v="3550.4899206509294"/>
    <n v="28917.499979375105"/>
    <n v="4776.1190412596297"/>
    <n v="4776.1190412596297"/>
  </r>
  <r>
    <x v="1"/>
    <x v="11"/>
    <x v="2"/>
    <s v="Økologisk"/>
    <x v="0"/>
    <s v="Juletræer"/>
    <n v="878.93623219902383"/>
    <n v="25049.682617672181"/>
    <n v="0"/>
    <n v="25049.682617672181"/>
  </r>
  <r>
    <x v="1"/>
    <x v="12"/>
    <x v="2"/>
    <s v="Økologisk"/>
    <x v="0"/>
    <s v="Pil &amp; poppel"/>
    <n v="439.46811609951192"/>
    <n v="6109.6786872371167"/>
    <n v="0"/>
    <n v="6109.6786872371167"/>
  </r>
  <r>
    <x v="1"/>
    <x v="13"/>
    <x v="2"/>
    <s v="Økologisk"/>
    <x v="0"/>
    <s v="Græs"/>
    <n v="11426.171018587311"/>
    <n v="157566.89834631904"/>
    <n v="0"/>
    <n v="157566.89834631904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266161074505"/>
    <n v="21396.145894695874"/>
    <n v="6943.04934282881"/>
    <n v="6943.04934282881"/>
  </r>
  <r>
    <x v="1"/>
    <x v="1"/>
    <x v="1"/>
    <s v="Konventionel"/>
    <x v="1"/>
    <s v="Halm"/>
    <n v="68.781025480452769"/>
    <n v="318.59371002545726"/>
    <n v="94.03384142355003"/>
    <n v="94.03384142355003"/>
  </r>
  <r>
    <x v="1"/>
    <x v="2"/>
    <x v="1"/>
    <s v="Konventionel"/>
    <x v="1"/>
    <s v="Halm"/>
    <n v="277.81730642917057"/>
    <n v="1466.8753779460208"/>
    <n v="778.91082568933689"/>
    <n v="778.91082568933689"/>
  </r>
  <r>
    <x v="1"/>
    <x v="3"/>
    <x v="1"/>
    <s v="Konventionel"/>
    <x v="1"/>
    <s v="Græs"/>
    <n v="816.89928733229783"/>
    <n v="48641.451164914346"/>
    <n v="0"/>
    <n v="48641.451164914346"/>
  </r>
  <r>
    <x v="1"/>
    <x v="4"/>
    <x v="1"/>
    <s v="Konventionel"/>
    <x v="1"/>
    <s v="Grøntsager"/>
    <n v="15.471187824817051"/>
    <n v="385.23257683794458"/>
    <n v="0"/>
    <n v="385.23257683794458"/>
  </r>
  <r>
    <x v="1"/>
    <x v="5"/>
    <x v="1"/>
    <s v="Konventionel"/>
    <x v="1"/>
    <s v="Kartofler"/>
    <n v="26.302435262527187"/>
    <n v="1340.5057006495601"/>
    <n v="0"/>
    <n v="1340.5057006495601"/>
  </r>
  <r>
    <x v="1"/>
    <x v="6"/>
    <x v="1"/>
    <s v="Konventionel"/>
    <x v="1"/>
    <s v="Roer"/>
    <n v="73.48347036613049"/>
    <n v="7164.9673911620484"/>
    <n v="0"/>
    <n v="7164.9673911620484"/>
  </r>
  <r>
    <x v="1"/>
    <x v="7"/>
    <x v="1"/>
    <s v="Konventionel"/>
    <x v="1"/>
    <s v="Majs"/>
    <n v="78.344719162303662"/>
    <n v="4184.5481398969632"/>
    <n v="0"/>
    <n v="4184.5481398969632"/>
  </r>
  <r>
    <x v="1"/>
    <x v="8"/>
    <x v="1"/>
    <s v="Konventionel"/>
    <x v="1"/>
    <s v="Frugt"/>
    <n v="16.900566419398675"/>
    <n v="172.18297068083373"/>
    <n v="0"/>
    <n v="172.18297068083373"/>
  </r>
  <r>
    <x v="1"/>
    <x v="9"/>
    <x v="1"/>
    <s v="Konventionel"/>
    <x v="1"/>
    <s v="Øvrige"/>
    <n v="120.67824120695344"/>
    <n v="4314.8664692035982"/>
    <n v="0"/>
    <n v="4314.8664692035982"/>
  </r>
  <r>
    <x v="1"/>
    <x v="10"/>
    <x v="1"/>
    <s v="Konventionel"/>
    <x v="1"/>
    <s v="Halm"/>
    <n v="876.11830838913772"/>
    <n v="15022.479020898631"/>
    <n v="2481.1670493580382"/>
    <n v="2481.1670493580382"/>
  </r>
  <r>
    <x v="1"/>
    <x v="11"/>
    <x v="1"/>
    <s v="Konventionel"/>
    <x v="1"/>
    <s v="Juletræer"/>
    <n v="26.483091404220694"/>
    <n v="1588.9854842532416"/>
    <n v="0"/>
    <n v="1588.9854842532416"/>
  </r>
  <r>
    <x v="1"/>
    <x v="12"/>
    <x v="1"/>
    <s v="Konventionel"/>
    <x v="1"/>
    <s v="Pil &amp; poppel"/>
    <n v="56.207011126951372"/>
    <n v="1645.0832524961379"/>
    <n v="0"/>
    <n v="1645.0832524961379"/>
  </r>
  <r>
    <x v="1"/>
    <x v="13"/>
    <x v="1"/>
    <s v="Konventionel"/>
    <x v="1"/>
    <s v="Græs"/>
    <n v="1628.961148843877"/>
    <n v="26956.049091068475"/>
    <n v="0"/>
    <n v="26956.049091068475"/>
  </r>
  <r>
    <x v="1"/>
    <x v="0"/>
    <x v="2"/>
    <s v="Konventionel"/>
    <x v="1"/>
    <s v="Halm"/>
    <n v="6.1624419250252083E-2"/>
    <n v="0.51838461473312047"/>
    <n v="0.16821580748089759"/>
    <n v="0.16821580748089759"/>
  </r>
  <r>
    <x v="1"/>
    <x v="1"/>
    <x v="2"/>
    <s v="Konventionel"/>
    <x v="1"/>
    <s v="Halm"/>
    <n v="1.6664228020370887E-3"/>
    <n v="7.7188704190357948E-3"/>
    <n v="2.2782466009594014E-3"/>
    <n v="2.2782466009594014E-3"/>
  </r>
  <r>
    <x v="1"/>
    <x v="2"/>
    <x v="2"/>
    <s v="Konventionel"/>
    <x v="1"/>
    <s v="Halm"/>
    <n v="6.7309420148972078E-3"/>
    <n v="3.5539373838657261E-2"/>
    <n v="1.8871407508327002E-2"/>
    <n v="1.8871407508327002E-2"/>
  </r>
  <r>
    <x v="1"/>
    <x v="3"/>
    <x v="2"/>
    <s v="Konventionel"/>
    <x v="1"/>
    <s v="Græs"/>
    <n v="1.9791789812224642E-2"/>
    <n v="1.1784823325791041"/>
    <n v="0"/>
    <n v="1.1784823325791041"/>
  </r>
  <r>
    <x v="1"/>
    <x v="4"/>
    <x v="2"/>
    <s v="Konventionel"/>
    <x v="1"/>
    <s v="Grøntsager"/>
    <n v="3.7483506513290803E-4"/>
    <n v="9.3333931218094104E-3"/>
    <n v="0"/>
    <n v="9.3333931218094104E-3"/>
  </r>
  <r>
    <x v="1"/>
    <x v="5"/>
    <x v="2"/>
    <s v="Konventionel"/>
    <x v="1"/>
    <s v="Kartofler"/>
    <n v="6.37253916533074E-4"/>
    <n v="3.2477696431815778E-2"/>
    <n v="0"/>
    <n v="3.2477696431815778E-2"/>
  </r>
  <r>
    <x v="1"/>
    <x v="6"/>
    <x v="2"/>
    <s v="Konventionel"/>
    <x v="1"/>
    <s v="Roer"/>
    <n v="1.7803533712322671E-3"/>
    <n v="0.17359242542665901"/>
    <n v="0"/>
    <n v="0.17359242542665901"/>
  </r>
  <r>
    <x v="1"/>
    <x v="7"/>
    <x v="2"/>
    <s v="Konventionel"/>
    <x v="1"/>
    <s v="Majs"/>
    <n v="1.8981314326050301E-3"/>
    <n v="0.10138299607829987"/>
    <n v="0"/>
    <n v="0.10138299607829987"/>
  </r>
  <r>
    <x v="1"/>
    <x v="8"/>
    <x v="2"/>
    <s v="Konventionel"/>
    <x v="1"/>
    <s v="Frugt"/>
    <n v="4.094659690212412E-4"/>
    <n v="4.1716392923884056E-3"/>
    <n v="0"/>
    <n v="4.1716392923884056E-3"/>
  </r>
  <r>
    <x v="1"/>
    <x v="9"/>
    <x v="2"/>
    <s v="Konventionel"/>
    <x v="1"/>
    <s v="Øvrige"/>
    <n v="2.9237856145973122E-3"/>
    <n v="0.10454034120310714"/>
    <n v="0"/>
    <n v="0.10454034120310714"/>
  </r>
  <r>
    <x v="1"/>
    <x v="10"/>
    <x v="2"/>
    <s v="Konventionel"/>
    <x v="1"/>
    <s v="Halm"/>
    <n v="2.1226544910947009E-2"/>
    <n v="0.36396377356519294"/>
    <n v="6.0113575187801929E-2"/>
    <n v="6.0113575187801929E-2"/>
  </r>
  <r>
    <x v="1"/>
    <x v="11"/>
    <x v="2"/>
    <s v="Konventionel"/>
    <x v="1"/>
    <s v="Juletræer"/>
    <n v="6.4163084333437122E-4"/>
    <n v="3.8497850600062278E-2"/>
    <n v="0"/>
    <n v="3.8497850600062278E-2"/>
  </r>
  <r>
    <x v="1"/>
    <x v="12"/>
    <x v="2"/>
    <s v="Konventionel"/>
    <x v="1"/>
    <s v="Pil &amp; poppel"/>
    <n v="1.3617802921958929E-3"/>
    <n v="3.9856984161831012E-2"/>
    <n v="0"/>
    <n v="3.9856984161831012E-2"/>
  </r>
  <r>
    <x v="1"/>
    <x v="13"/>
    <x v="2"/>
    <s v="Konventionel"/>
    <x v="1"/>
    <s v="Græs"/>
    <n v="3.9466378744780817E-2"/>
    <n v="0.65308963546863297"/>
    <n v="0"/>
    <n v="0.6530896354686329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6658170463104"/>
    <n v="2237.319533150569"/>
    <n v="726.01018850735954"/>
    <n v="726.01018850735954"/>
  </r>
  <r>
    <x v="1"/>
    <x v="1"/>
    <x v="1"/>
    <s v="Økologisk"/>
    <x v="1"/>
    <s v="Halm"/>
    <n v="10.734610913134247"/>
    <n v="28.341949117293566"/>
    <n v="8.3652070491817039"/>
    <n v="8.3652070491817039"/>
  </r>
  <r>
    <x v="1"/>
    <x v="2"/>
    <x v="1"/>
    <s v="Økologisk"/>
    <x v="1"/>
    <s v="Halm"/>
    <n v="43.358770367558421"/>
    <n v="125.91386914738968"/>
    <n v="66.860264517263914"/>
    <n v="66.860264517263914"/>
  </r>
  <r>
    <x v="1"/>
    <x v="3"/>
    <x v="1"/>
    <s v="Økologisk"/>
    <x v="1"/>
    <s v="Græs"/>
    <n v="127.4929523582199"/>
    <n v="5921.32347706992"/>
    <n v="0"/>
    <n v="5921.32347706992"/>
  </r>
  <r>
    <x v="1"/>
    <x v="4"/>
    <x v="1"/>
    <s v="Økologisk"/>
    <x v="1"/>
    <s v="Grøntsager"/>
    <n v="2.4145784466477478"/>
    <n v="34.270111893271483"/>
    <n v="0"/>
    <n v="34.270111893271483"/>
  </r>
  <r>
    <x v="1"/>
    <x v="5"/>
    <x v="1"/>
    <s v="Økologisk"/>
    <x v="1"/>
    <s v="Kartofler"/>
    <n v="4.1050043473308326"/>
    <n v="119.25076724275564"/>
    <n v="0"/>
    <n v="119.25076724275564"/>
  </r>
  <r>
    <x v="1"/>
    <x v="6"/>
    <x v="1"/>
    <s v="Økologisk"/>
    <x v="1"/>
    <s v="Roer"/>
    <n v="11.468518496448112"/>
    <n v="637.39218583805734"/>
    <n v="0"/>
    <n v="637.39218583805734"/>
  </r>
  <r>
    <x v="1"/>
    <x v="7"/>
    <x v="1"/>
    <s v="Økologisk"/>
    <x v="1"/>
    <s v="Majs"/>
    <n v="12.227210505099418"/>
    <n v="542.05620702364729"/>
    <n v="0"/>
    <n v="542.05620702364729"/>
  </r>
  <r>
    <x v="1"/>
    <x v="8"/>
    <x v="1"/>
    <s v="Økologisk"/>
    <x v="1"/>
    <s v="Frugt"/>
    <n v="2.6376606550506607"/>
    <n v="15.317317449583994"/>
    <n v="0"/>
    <n v="15.317317449583994"/>
  </r>
  <r>
    <x v="1"/>
    <x v="9"/>
    <x v="1"/>
    <s v="Økologisk"/>
    <x v="1"/>
    <s v="Øvrige"/>
    <n v="18.834176373339556"/>
    <n v="383.84852578637788"/>
    <n v="0"/>
    <n v="383.84852578637788"/>
  </r>
  <r>
    <x v="1"/>
    <x v="10"/>
    <x v="1"/>
    <s v="Økologisk"/>
    <x v="1"/>
    <s v="Halm"/>
    <n v="136.73522732084808"/>
    <n v="1336.3927868880339"/>
    <n v="220.72347335040578"/>
    <n v="220.72347335040578"/>
  </r>
  <r>
    <x v="1"/>
    <x v="11"/>
    <x v="1"/>
    <s v="Økologisk"/>
    <x v="1"/>
    <s v="Juletræer"/>
    <n v="4.1331992364968713"/>
    <n v="141.35541388819297"/>
    <n v="0"/>
    <n v="141.35541388819297"/>
  </r>
  <r>
    <x v="1"/>
    <x v="12"/>
    <x v="1"/>
    <s v="Økologisk"/>
    <x v="1"/>
    <s v="Pil &amp; poppel"/>
    <n v="8.7721924880213127"/>
    <n v="146.34584540991651"/>
    <n v="0"/>
    <n v="146.34584540991651"/>
  </r>
  <r>
    <x v="1"/>
    <x v="13"/>
    <x v="1"/>
    <s v="Økologisk"/>
    <x v="1"/>
    <s v="Græs"/>
    <n v="254.23093074442014"/>
    <n v="4207.0134419586639"/>
    <n v="0"/>
    <n v="4207.0134419586639"/>
  </r>
  <r>
    <x v="1"/>
    <x v="0"/>
    <x v="2"/>
    <s v="Økologisk"/>
    <x v="1"/>
    <s v="Halm"/>
    <n v="1.3071846507629228E-2"/>
    <n v="7.3673449790858631E-2"/>
    <n v="2.3907034457133627E-2"/>
    <n v="2.3907034457133627E-2"/>
  </r>
  <r>
    <x v="1"/>
    <x v="1"/>
    <x v="2"/>
    <s v="Økologisk"/>
    <x v="1"/>
    <s v="Halm"/>
    <n v="3.5348362467453397E-4"/>
    <n v="9.3328160521069156E-4"/>
    <n v="2.7546072538872765E-4"/>
    <n v="2.7546072538872765E-4"/>
  </r>
  <r>
    <x v="1"/>
    <x v="2"/>
    <x v="2"/>
    <s v="Økologisk"/>
    <x v="1"/>
    <s v="Halm"/>
    <n v="1.4277755789175895E-3"/>
    <n v="4.1462602811766806E-3"/>
    <n v="2.2016642093048173E-3"/>
    <n v="2.2016642093048173E-3"/>
  </r>
  <r>
    <x v="1"/>
    <x v="3"/>
    <x v="2"/>
    <s v="Økologisk"/>
    <x v="1"/>
    <s v="Græs"/>
    <n v="4.1982584450173483E-3"/>
    <n v="0.19498525866308813"/>
    <n v="0"/>
    <n v="0.19498525866308813"/>
  </r>
  <r>
    <x v="1"/>
    <x v="4"/>
    <x v="2"/>
    <s v="Økologisk"/>
    <x v="1"/>
    <s v="Grøntsager"/>
    <n v="7.9510468361525957E-5"/>
    <n v="1.1284920774551376E-3"/>
    <n v="0"/>
    <n v="1.1284920774551376E-3"/>
  </r>
  <r>
    <x v="1"/>
    <x v="5"/>
    <x v="2"/>
    <s v="Økologisk"/>
    <x v="1"/>
    <s v="Kartofler"/>
    <n v="1.351750732039854E-4"/>
    <n v="3.926848750392271E-3"/>
    <n v="0"/>
    <n v="3.926848750392271E-3"/>
  </r>
  <r>
    <x v="1"/>
    <x v="6"/>
    <x v="2"/>
    <s v="Økologisk"/>
    <x v="1"/>
    <s v="Roer"/>
    <n v="3.7765071510987484E-4"/>
    <n v="2.0988902347041496E-2"/>
    <n v="0"/>
    <n v="2.0988902347041496E-2"/>
  </r>
  <r>
    <x v="1"/>
    <x v="7"/>
    <x v="2"/>
    <s v="Økologisk"/>
    <x v="1"/>
    <s v="Majs"/>
    <n v="4.0263394024955173E-4"/>
    <n v="1.784955173378552E-2"/>
    <n v="0"/>
    <n v="1.784955173378552E-2"/>
  </r>
  <r>
    <x v="1"/>
    <x v="8"/>
    <x v="2"/>
    <s v="Økologisk"/>
    <x v="1"/>
    <s v="Frugt"/>
    <n v="8.6856417671172357E-5"/>
    <n v="5.0438911444332531E-4"/>
    <n v="0"/>
    <n v="5.0438911444332531E-4"/>
  </r>
  <r>
    <x v="1"/>
    <x v="9"/>
    <x v="2"/>
    <s v="Økologisk"/>
    <x v="1"/>
    <s v="Øvrige"/>
    <n v="6.2019694855094509E-4"/>
    <n v="1.2639877618193865E-2"/>
    <n v="0"/>
    <n v="1.2639877618193865E-2"/>
  </r>
  <r>
    <x v="1"/>
    <x v="10"/>
    <x v="2"/>
    <s v="Økologisk"/>
    <x v="1"/>
    <s v="Halm"/>
    <n v="4.5026004356554256E-3"/>
    <n v="4.400652898560968E-2"/>
    <n v="7.268277727252412E-3"/>
    <n v="7.268277727252412E-3"/>
  </r>
  <r>
    <x v="1"/>
    <x v="11"/>
    <x v="2"/>
    <s v="Økologisk"/>
    <x v="1"/>
    <s v="Juletræer"/>
    <n v="1.3610351222244238E-4"/>
    <n v="4.6547401180075292E-3"/>
    <n v="0"/>
    <n v="4.6547401180075292E-3"/>
  </r>
  <r>
    <x v="1"/>
    <x v="12"/>
    <x v="2"/>
    <s v="Økologisk"/>
    <x v="1"/>
    <s v="Pil &amp; poppel"/>
    <n v="2.8886248622337122E-4"/>
    <n v="4.8190717213850223E-3"/>
    <n v="0"/>
    <n v="4.8190717213850223E-3"/>
  </r>
  <r>
    <x v="1"/>
    <x v="13"/>
    <x v="2"/>
    <s v="Økologisk"/>
    <x v="1"/>
    <s v="Græs"/>
    <n v="8.3716560973777481E-3"/>
    <n v="0.13853416509940697"/>
    <n v="0"/>
    <n v="0.13853416509940697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.5754933628917617E-2"/>
    <n v="0.44903891863419743"/>
    <n v="0.14571312909679709"/>
    <n v="0.14571312909679709"/>
  </r>
  <r>
    <x v="1"/>
    <x v="1"/>
    <x v="1"/>
    <s v="Konventionel"/>
    <x v="2"/>
    <s v="Halm"/>
    <n v="8.3106047603679744E-4"/>
    <n v="4.4910508125028531E-3"/>
    <n v="1.3255464456415479E-3"/>
    <n v="1.3255464456415479E-3"/>
  </r>
  <r>
    <x v="1"/>
    <x v="2"/>
    <x v="1"/>
    <s v="Konventionel"/>
    <x v="2"/>
    <s v="Halm"/>
    <n v="4.0595359645178462E-3"/>
    <n v="2.5006741541429935E-2"/>
    <n v="1.3278579758499293E-2"/>
    <n v="1.3278579758499293E-2"/>
  </r>
  <r>
    <x v="1"/>
    <x v="3"/>
    <x v="1"/>
    <s v="Konventionel"/>
    <x v="2"/>
    <s v="Græs"/>
    <n v="2.9831848636857054E-2"/>
    <n v="2.0723588611051857"/>
    <n v="0"/>
    <n v="2.0723588611051857"/>
  </r>
  <r>
    <x v="1"/>
    <x v="4"/>
    <x v="1"/>
    <s v="Konventionel"/>
    <x v="2"/>
    <s v="Grøntsager"/>
    <n v="1.4040654632499296E-4"/>
    <n v="4.078810170741045E-3"/>
    <n v="0"/>
    <n v="4.078810170741045E-3"/>
  </r>
  <r>
    <x v="1"/>
    <x v="5"/>
    <x v="1"/>
    <s v="Konventionel"/>
    <x v="2"/>
    <s v="Kartofler"/>
    <n v="8.0030056464171814E-4"/>
    <n v="4.7585278758363492E-2"/>
    <n v="0"/>
    <n v="4.7585278758363492E-2"/>
  </r>
  <r>
    <x v="1"/>
    <x v="6"/>
    <x v="1"/>
    <s v="Konventionel"/>
    <x v="2"/>
    <s v="Roer"/>
    <n v="9.2161460426674424E-4"/>
    <n v="0.1048384756399913"/>
    <n v="0"/>
    <n v="0.1048384756399913"/>
  </r>
  <r>
    <x v="1"/>
    <x v="7"/>
    <x v="1"/>
    <s v="Konventionel"/>
    <x v="2"/>
    <s v="Majs"/>
    <n v="9.466157148310761E-4"/>
    <n v="5.8987411653983683E-2"/>
    <n v="0"/>
    <n v="5.8987411653983683E-2"/>
  </r>
  <r>
    <x v="1"/>
    <x v="8"/>
    <x v="1"/>
    <s v="Konventionel"/>
    <x v="2"/>
    <s v="Frugt"/>
    <n v="3.4350362462884858E-4"/>
    <n v="4.0828840823384947E-3"/>
    <n v="0"/>
    <n v="4.0828840823384947E-3"/>
  </r>
  <r>
    <x v="1"/>
    <x v="9"/>
    <x v="1"/>
    <s v="Konventionel"/>
    <x v="2"/>
    <s v="Øvrige"/>
    <n v="2.452782483126852E-3"/>
    <n v="0.10231615562716326"/>
    <n v="0"/>
    <n v="0.10231615562716326"/>
  </r>
  <r>
    <x v="1"/>
    <x v="10"/>
    <x v="1"/>
    <s v="Konventionel"/>
    <x v="2"/>
    <s v="Halm"/>
    <n v="2.2953573895167008E-2"/>
    <n v="0.45917258984910614"/>
    <n v="7.5838608149631781E-2"/>
    <n v="7.5838608149631781E-2"/>
  </r>
  <r>
    <x v="1"/>
    <x v="11"/>
    <x v="1"/>
    <s v="Konventionel"/>
    <x v="2"/>
    <s v="Juletræer"/>
    <n v="5.3826822503920445E-4"/>
    <n v="3.7678775752744309E-2"/>
    <n v="0"/>
    <n v="3.7678775752744309E-2"/>
  </r>
  <r>
    <x v="1"/>
    <x v="12"/>
    <x v="1"/>
    <s v="Konventionel"/>
    <x v="2"/>
    <s v="Pil &amp; poppel"/>
    <n v="1.6419437573988649E-3"/>
    <n v="5.6066372203863679E-2"/>
    <n v="0"/>
    <n v="5.6066372203863679E-2"/>
  </r>
  <r>
    <x v="1"/>
    <x v="13"/>
    <x v="1"/>
    <s v="Konventionel"/>
    <x v="2"/>
    <s v="Græs"/>
    <n v="5.7100799688875818E-2"/>
    <n v="1.1023880387934366"/>
    <n v="0"/>
    <n v="1.1023880387934366"/>
  </r>
  <r>
    <x v="1"/>
    <x v="0"/>
    <x v="2"/>
    <s v="Konventionel"/>
    <x v="2"/>
    <s v="Halm"/>
    <n v="4.3639098547811596E-2"/>
    <n v="0.42827411314822295"/>
    <n v="0.13897494971659835"/>
    <n v="0.13897494971659835"/>
  </r>
  <r>
    <x v="1"/>
    <x v="1"/>
    <x v="2"/>
    <s v="Konventionel"/>
    <x v="2"/>
    <s v="Halm"/>
    <n v="7.9262993379232123E-4"/>
    <n v="4.283372162213704E-3"/>
    <n v="1.264249500178355E-3"/>
    <n v="1.264249500178355E-3"/>
  </r>
  <r>
    <x v="1"/>
    <x v="2"/>
    <x v="2"/>
    <s v="Konventionel"/>
    <x v="2"/>
    <s v="Halm"/>
    <n v="3.8718117580661539E-3"/>
    <n v="2.3850360429687509E-2"/>
    <n v="1.2664541388164067E-2"/>
    <n v="1.2664541388164067E-2"/>
  </r>
  <r>
    <x v="1"/>
    <x v="3"/>
    <x v="2"/>
    <s v="Konventionel"/>
    <x v="2"/>
    <s v="Græs"/>
    <n v="2.8452341185441699E-2"/>
    <n v="1.9765272374702638"/>
    <n v="0"/>
    <n v="1.9765272374702638"/>
  </r>
  <r>
    <x v="1"/>
    <x v="4"/>
    <x v="2"/>
    <s v="Konventionel"/>
    <x v="2"/>
    <s v="Grøntsager"/>
    <n v="1.3391375805562911E-4"/>
    <n v="3.8901946715160251E-3"/>
    <n v="0"/>
    <n v="3.8901946715160251E-3"/>
  </r>
  <r>
    <x v="1"/>
    <x v="5"/>
    <x v="2"/>
    <s v="Konventionel"/>
    <x v="2"/>
    <s v="Kartofler"/>
    <n v="7.6329244604556935E-4"/>
    <n v="4.5384803440057665E-2"/>
    <n v="0"/>
    <n v="4.5384803440057665E-2"/>
  </r>
  <r>
    <x v="1"/>
    <x v="6"/>
    <x v="2"/>
    <s v="Konventionel"/>
    <x v="2"/>
    <s v="Roer"/>
    <n v="8.7899658788446707E-4"/>
    <n v="9.99904536450784E-2"/>
    <n v="0"/>
    <n v="9.99904536450784E-2"/>
  </r>
  <r>
    <x v="1"/>
    <x v="7"/>
    <x v="2"/>
    <s v="Konventionel"/>
    <x v="2"/>
    <s v="Majs"/>
    <n v="9.0284157772906114E-4"/>
    <n v="5.625967007460872E-2"/>
    <n v="0"/>
    <n v="5.625967007460872E-2"/>
  </r>
  <r>
    <x v="1"/>
    <x v="8"/>
    <x v="2"/>
    <s v="Konventionel"/>
    <x v="2"/>
    <s v="Frugt"/>
    <n v="3.2761906395237006E-4"/>
    <n v="3.894080194137871E-3"/>
    <n v="0"/>
    <n v="3.894080194137871E-3"/>
  </r>
  <r>
    <x v="1"/>
    <x v="9"/>
    <x v="2"/>
    <s v="Konventionel"/>
    <x v="2"/>
    <s v="Øvrige"/>
    <n v="2.3393590156990207E-3"/>
    <n v="9.7584772707988071E-2"/>
    <n v="0"/>
    <n v="9.7584772707988071E-2"/>
  </r>
  <r>
    <x v="1"/>
    <x v="10"/>
    <x v="2"/>
    <s v="Konventionel"/>
    <x v="2"/>
    <s v="Halm"/>
    <n v="2.1892136952037899E-2"/>
    <n v="0.43793917528960996"/>
    <n v="7.2331620489533219E-2"/>
    <n v="7.2331620489533219E-2"/>
  </r>
  <r>
    <x v="1"/>
    <x v="11"/>
    <x v="2"/>
    <s v="Konventionel"/>
    <x v="2"/>
    <s v="Juletræer"/>
    <n v="5.1337720885242047E-4"/>
    <n v="3.5936404619669425E-2"/>
    <n v="0"/>
    <n v="3.5936404619669425E-2"/>
  </r>
  <r>
    <x v="1"/>
    <x v="12"/>
    <x v="2"/>
    <s v="Konventionel"/>
    <x v="2"/>
    <s v="Pil &amp; poppel"/>
    <n v="1.56601572237464E-3"/>
    <n v="5.3473707593280385E-2"/>
    <n v="0"/>
    <n v="5.3473707593280385E-2"/>
  </r>
  <r>
    <x v="1"/>
    <x v="13"/>
    <x v="2"/>
    <s v="Konventionel"/>
    <x v="2"/>
    <s v="Græs"/>
    <n v="5.4460300281297752E-2"/>
    <n v="1.0514105572307344"/>
    <n v="0"/>
    <n v="1.0514105572307344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7.1409433987328075E-3"/>
    <n v="4.6954416405159731E-2"/>
    <n v="1.523670812347433E-2"/>
    <n v="1.523670812347433E-2"/>
  </r>
  <r>
    <x v="1"/>
    <x v="1"/>
    <x v="1"/>
    <s v="Økologisk"/>
    <x v="2"/>
    <s v="Halm"/>
    <n v="1.2970308007510711E-4"/>
    <n v="3.9952180349375088E-4"/>
    <n v="1.1791999883481743E-4"/>
    <n v="1.1791999883481743E-4"/>
  </r>
  <r>
    <x v="1"/>
    <x v="2"/>
    <x v="1"/>
    <s v="Økologisk"/>
    <x v="2"/>
    <s v="Halm"/>
    <n v="6.3356919677446158E-4"/>
    <n v="2.1465324386718758E-3"/>
    <n v="1.139808724934766E-3"/>
    <n v="1.139808724934766E-3"/>
  </r>
  <r>
    <x v="1"/>
    <x v="3"/>
    <x v="1"/>
    <s v="Økologisk"/>
    <x v="2"/>
    <s v="Græs"/>
    <n v="4.6558376485268237E-3"/>
    <n v="0.25227674921893189"/>
    <n v="0"/>
    <n v="0.25227674921893189"/>
  </r>
  <r>
    <x v="1"/>
    <x v="4"/>
    <x v="1"/>
    <s v="Økologisk"/>
    <x v="2"/>
    <s v="Grøntsager"/>
    <n v="2.1913160409102947E-5"/>
    <n v="3.628490666341311E-4"/>
    <n v="0"/>
    <n v="3.628490666341311E-4"/>
  </r>
  <r>
    <x v="1"/>
    <x v="5"/>
    <x v="1"/>
    <s v="Økologisk"/>
    <x v="2"/>
    <s v="Kartofler"/>
    <n v="1.2490240026200229E-4"/>
    <n v="4.2331643935908337E-3"/>
    <n v="0"/>
    <n v="4.2331643935908337E-3"/>
  </r>
  <r>
    <x v="1"/>
    <x v="6"/>
    <x v="1"/>
    <s v="Økologisk"/>
    <x v="2"/>
    <s v="Roer"/>
    <n v="1.4383580529018554E-4"/>
    <n v="9.3263823127136773E-3"/>
    <n v="0"/>
    <n v="9.3263823127136773E-3"/>
  </r>
  <r>
    <x v="1"/>
    <x v="7"/>
    <x v="1"/>
    <s v="Økologisk"/>
    <x v="2"/>
    <s v="Majs"/>
    <n v="1.4773771271930092E-4"/>
    <n v="7.6410860992241307E-3"/>
    <n v="0"/>
    <n v="7.6410860992241307E-3"/>
  </r>
  <r>
    <x v="1"/>
    <x v="8"/>
    <x v="1"/>
    <s v="Økologisk"/>
    <x v="2"/>
    <s v="Frugt"/>
    <n v="5.36103922831151E-5"/>
    <n v="3.6321147992595049E-4"/>
    <n v="0"/>
    <n v="3.6321147992595049E-4"/>
  </r>
  <r>
    <x v="1"/>
    <x v="9"/>
    <x v="1"/>
    <s v="Økologisk"/>
    <x v="2"/>
    <s v="Øvrige"/>
    <n v="3.8280420256893069E-4"/>
    <n v="9.1019978907632502E-3"/>
    <n v="0"/>
    <n v="9.1019978907632502E-3"/>
  </r>
  <r>
    <x v="1"/>
    <x v="10"/>
    <x v="1"/>
    <s v="Økologisk"/>
    <x v="2"/>
    <s v="Halm"/>
    <n v="3.5823496830607472E-3"/>
    <n v="4.0847781258830901E-2"/>
    <n v="6.746567511114643E-3"/>
    <n v="6.746567511114643E-3"/>
  </r>
  <r>
    <x v="1"/>
    <x v="11"/>
    <x v="1"/>
    <s v="Økologisk"/>
    <x v="2"/>
    <s v="Juletræer"/>
    <n v="8.4007179630396072E-5"/>
    <n v="3.351886467252803E-3"/>
    <n v="0"/>
    <n v="3.351886467252803E-3"/>
  </r>
  <r>
    <x v="1"/>
    <x v="12"/>
    <x v="1"/>
    <s v="Økologisk"/>
    <x v="2"/>
    <s v="Pil &amp; poppel"/>
    <n v="2.5625711820675929E-4"/>
    <n v="4.9876385446096065E-3"/>
    <n v="0"/>
    <n v="4.9876385446096065E-3"/>
  </r>
  <r>
    <x v="1"/>
    <x v="13"/>
    <x v="1"/>
    <s v="Økologisk"/>
    <x v="2"/>
    <s v="Græs"/>
    <n v="8.9116855005759964E-3"/>
    <n v="0.17204900027412021"/>
    <n v="0"/>
    <n v="0.17204900027412021"/>
  </r>
  <r>
    <x v="1"/>
    <x v="0"/>
    <x v="2"/>
    <s v="Økologisk"/>
    <x v="2"/>
    <s v="Halm"/>
    <n v="9.2567784798388234E-3"/>
    <n v="6.0866836080762599E-2"/>
    <n v="1.9751288308207465E-2"/>
    <n v="1.9751288308207465E-2"/>
  </r>
  <r>
    <x v="1"/>
    <x v="1"/>
    <x v="2"/>
    <s v="Økologisk"/>
    <x v="2"/>
    <s v="Halm"/>
    <n v="1.6813362231958326E-4"/>
    <n v="5.1789863415856597E-4"/>
    <n v="1.5285925774883742E-4"/>
    <n v="1.5285925774883742E-4"/>
  </r>
  <r>
    <x v="1"/>
    <x v="2"/>
    <x v="2"/>
    <s v="Økologisk"/>
    <x v="2"/>
    <s v="Halm"/>
    <n v="8.2129340322615392E-4"/>
    <n v="2.7825420501302097E-3"/>
    <n v="1.4775298286191414E-3"/>
    <n v="1.4775298286191414E-3"/>
  </r>
  <r>
    <x v="1"/>
    <x v="3"/>
    <x v="2"/>
    <s v="Økologisk"/>
    <x v="2"/>
    <s v="Græs"/>
    <n v="6.0353450999421779E-3"/>
    <n v="0.32702541565417098"/>
    <n v="0"/>
    <n v="0.32702541565417098"/>
  </r>
  <r>
    <x v="1"/>
    <x v="4"/>
    <x v="2"/>
    <s v="Økologisk"/>
    <x v="2"/>
    <s v="Grøntsager"/>
    <n v="2.8405948678466784E-5"/>
    <n v="4.7035990119239225E-4"/>
    <n v="0"/>
    <n v="4.7035990119239225E-4"/>
  </r>
  <r>
    <x v="1"/>
    <x v="5"/>
    <x v="2"/>
    <s v="Økologisk"/>
    <x v="2"/>
    <s v="Kartofler"/>
    <n v="1.6191051885815108E-4"/>
    <n v="5.4874353250251532E-3"/>
    <n v="0"/>
    <n v="5.4874353250251532E-3"/>
  </r>
  <r>
    <x v="1"/>
    <x v="6"/>
    <x v="2"/>
    <s v="Økologisk"/>
    <x v="2"/>
    <s v="Roer"/>
    <n v="1.8645382167246271E-4"/>
    <n v="1.2089754849814026E-2"/>
    <n v="0"/>
    <n v="1.2089754849814026E-2"/>
  </r>
  <r>
    <x v="1"/>
    <x v="7"/>
    <x v="2"/>
    <s v="Økologisk"/>
    <x v="2"/>
    <s v="Majs"/>
    <n v="1.9151184982131597E-4"/>
    <n v="9.9051116101053494E-3"/>
    <n v="0"/>
    <n v="9.9051116101053494E-3"/>
  </r>
  <r>
    <x v="1"/>
    <x v="8"/>
    <x v="2"/>
    <s v="Økologisk"/>
    <x v="2"/>
    <s v="Frugt"/>
    <n v="6.9494952959593638E-5"/>
    <n v="4.7082969620030604E-4"/>
    <n v="0"/>
    <n v="4.7082969620030604E-4"/>
  </r>
  <r>
    <x v="1"/>
    <x v="9"/>
    <x v="2"/>
    <s v="Økologisk"/>
    <x v="2"/>
    <s v="Øvrige"/>
    <n v="4.9622766999676197E-4"/>
    <n v="1.1798886154693104E-2"/>
    <n v="0"/>
    <n v="1.1798886154693104E-2"/>
  </r>
  <r>
    <x v="1"/>
    <x v="10"/>
    <x v="2"/>
    <s v="Økologisk"/>
    <x v="2"/>
    <s v="Halm"/>
    <n v="4.6437866261898574E-3"/>
    <n v="5.2950827557743746E-2"/>
    <n v="8.7455504773708333E-3"/>
    <n v="8.7455504773708333E-3"/>
  </r>
  <r>
    <x v="1"/>
    <x v="11"/>
    <x v="2"/>
    <s v="Økologisk"/>
    <x v="2"/>
    <s v="Juletræer"/>
    <n v="1.0889819581718008E-4"/>
    <n v="4.3450380131054853E-3"/>
    <n v="0"/>
    <n v="4.3450380131054853E-3"/>
  </r>
  <r>
    <x v="1"/>
    <x v="12"/>
    <x v="2"/>
    <s v="Økologisk"/>
    <x v="2"/>
    <s v="Pil &amp; poppel"/>
    <n v="3.3218515323098425E-4"/>
    <n v="6.4654573726420821E-3"/>
    <n v="0"/>
    <n v="6.4654573726420821E-3"/>
  </r>
  <r>
    <x v="1"/>
    <x v="13"/>
    <x v="2"/>
    <s v="Økologisk"/>
    <x v="2"/>
    <s v="Græs"/>
    <n v="1.1552184908154068E-2"/>
    <n v="0.22302648183682244"/>
    <n v="0"/>
    <n v="0.2230264818368224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836920.0011490174"/>
  </r>
  <r>
    <x v="1"/>
    <x v="0"/>
    <x v="1"/>
    <n v="577252.6136078448"/>
  </r>
  <r>
    <x v="2"/>
    <x v="0"/>
    <x v="1"/>
    <n v="728642.31006080401"/>
  </r>
  <r>
    <x v="3"/>
    <x v="0"/>
    <x v="1"/>
    <n v="12888299.417168394"/>
  </r>
  <r>
    <x v="4"/>
    <x v="0"/>
    <x v="1"/>
    <n v="377350.81919472688"/>
  </r>
  <r>
    <x v="5"/>
    <x v="0"/>
    <x v="1"/>
    <n v="1805737.9339992611"/>
  </r>
  <r>
    <x v="6"/>
    <x v="0"/>
    <x v="1"/>
    <n v="1333999.0253631743"/>
  </r>
  <r>
    <x v="7"/>
    <x v="0"/>
    <x v="1"/>
    <n v="4026803.5120526911"/>
  </r>
  <r>
    <x v="8"/>
    <x v="0"/>
    <x v="1"/>
    <n v="70289.623650350084"/>
  </r>
  <r>
    <x v="9"/>
    <x v="0"/>
    <x v="1"/>
    <n v="1267791.6894289495"/>
  </r>
  <r>
    <x v="10"/>
    <x v="0"/>
    <x v="1"/>
    <n v="1001970.2375971108"/>
  </r>
  <r>
    <x v="11"/>
    <x v="0"/>
    <x v="1"/>
    <n v="841621.76621839835"/>
  </r>
  <r>
    <x v="12"/>
    <x v="0"/>
    <x v="1"/>
    <n v="217981.68444215492"/>
  </r>
  <r>
    <x v="0"/>
    <x v="0"/>
    <x v="2"/>
    <n v="3920720.3662957777"/>
  </r>
  <r>
    <x v="1"/>
    <x v="0"/>
    <x v="2"/>
    <n v="476733.07017285493"/>
  </r>
  <r>
    <x v="2"/>
    <x v="0"/>
    <x v="2"/>
    <n v="601521.71713762206"/>
  </r>
  <r>
    <x v="3"/>
    <x v="0"/>
    <x v="2"/>
    <n v="9740273.2021653466"/>
  </r>
  <r>
    <x v="4"/>
    <x v="0"/>
    <x v="2"/>
    <n v="314324.23534293834"/>
  </r>
  <r>
    <x v="5"/>
    <x v="0"/>
    <x v="2"/>
    <n v="1457061.1613346946"/>
  </r>
  <r>
    <x v="6"/>
    <x v="0"/>
    <x v="2"/>
    <n v="1115035.1111116486"/>
  </r>
  <r>
    <x v="7"/>
    <x v="0"/>
    <x v="2"/>
    <n v="3204301.4084430053"/>
  </r>
  <r>
    <x v="8"/>
    <x v="0"/>
    <x v="2"/>
    <n v="58253.649751305209"/>
  </r>
  <r>
    <x v="9"/>
    <x v="0"/>
    <x v="2"/>
    <n v="1022217.4078862639"/>
  </r>
  <r>
    <x v="10"/>
    <x v="0"/>
    <x v="2"/>
    <n v="792091.46065631567"/>
  </r>
  <r>
    <x v="11"/>
    <x v="0"/>
    <x v="2"/>
    <n v="686144.91909286368"/>
  </r>
  <r>
    <x v="12"/>
    <x v="0"/>
    <x v="2"/>
    <n v="167353.17803041782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41299.6719009152"/>
  </r>
  <r>
    <x v="1"/>
    <x v="1"/>
    <x v="1"/>
    <n v="185537.64414936668"/>
  </r>
  <r>
    <x v="2"/>
    <x v="1"/>
    <x v="1"/>
    <n v="235557.19695784606"/>
  </r>
  <r>
    <x v="3"/>
    <x v="1"/>
    <x v="1"/>
    <n v="3830672.7259070398"/>
  </r>
  <r>
    <x v="4"/>
    <x v="1"/>
    <x v="1"/>
    <n v="122573.44646679725"/>
  </r>
  <r>
    <x v="5"/>
    <x v="1"/>
    <x v="1"/>
    <n v="567494.30742817745"/>
  </r>
  <r>
    <x v="6"/>
    <x v="1"/>
    <x v="1"/>
    <n v="441450.20412922179"/>
  </r>
  <r>
    <x v="7"/>
    <x v="1"/>
    <x v="1"/>
    <n v="1235469.8186668158"/>
  </r>
  <r>
    <x v="8"/>
    <x v="1"/>
    <x v="1"/>
    <n v="22827.041283233735"/>
  </r>
  <r>
    <x v="9"/>
    <x v="1"/>
    <x v="1"/>
    <n v="402071.35668050894"/>
  </r>
  <r>
    <x v="10"/>
    <x v="1"/>
    <x v="1"/>
    <n v="325188.93567900889"/>
  </r>
  <r>
    <x v="11"/>
    <x v="1"/>
    <x v="1"/>
    <n v="268357.16269202955"/>
  </r>
  <r>
    <x v="12"/>
    <x v="1"/>
    <x v="1"/>
    <n v="66921.012385379698"/>
  </r>
  <r>
    <x v="0"/>
    <x v="1"/>
    <x v="2"/>
    <n v="1422520.7615932694"/>
  </r>
  <r>
    <x v="1"/>
    <x v="1"/>
    <x v="2"/>
    <n v="172969.00798479689"/>
  </r>
  <r>
    <x v="2"/>
    <x v="1"/>
    <x v="2"/>
    <n v="218245.06049109949"/>
  </r>
  <r>
    <x v="3"/>
    <x v="1"/>
    <x v="2"/>
    <n v="3533955.982275791"/>
  </r>
  <r>
    <x v="4"/>
    <x v="1"/>
    <x v="2"/>
    <n v="114043.64550146319"/>
  </r>
  <r>
    <x v="5"/>
    <x v="1"/>
    <x v="2"/>
    <n v="528652.13279396389"/>
  </r>
  <r>
    <x v="6"/>
    <x v="1"/>
    <x v="2"/>
    <n v="404559.22723466193"/>
  </r>
  <r>
    <x v="7"/>
    <x v="1"/>
    <x v="2"/>
    <n v="1162586.9095964739"/>
  </r>
  <r>
    <x v="8"/>
    <x v="1"/>
    <x v="2"/>
    <n v="21135.685502875454"/>
  </r>
  <r>
    <x v="9"/>
    <x v="1"/>
    <x v="2"/>
    <n v="370882.10534501984"/>
  </r>
  <r>
    <x v="10"/>
    <x v="1"/>
    <x v="2"/>
    <n v="287387.86171913851"/>
  </r>
  <r>
    <x v="11"/>
    <x v="1"/>
    <x v="2"/>
    <n v="248947.97885223315"/>
  </r>
  <r>
    <x v="12"/>
    <x v="1"/>
    <x v="2"/>
    <n v="60719.10956482147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1.8054136557038873"/>
  </r>
  <r>
    <x v="0"/>
    <x v="2"/>
    <x v="2"/>
    <s v="OC6"/>
    <n v="0"/>
  </r>
  <r>
    <x v="0"/>
    <x v="3"/>
    <x v="2"/>
    <s v="OC6"/>
    <n v="146236.7006988691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.19458634429065569"/>
  </r>
  <r>
    <x v="1"/>
    <x v="2"/>
    <x v="2"/>
    <s v="OC6"/>
    <n v="0"/>
  </r>
  <r>
    <x v="1"/>
    <x v="3"/>
    <x v="2"/>
    <s v="OC6"/>
    <n v="15761.299301130884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69644.90056848996"/>
  </r>
  <r>
    <x v="0"/>
    <s v="Vestdanmark"/>
    <x v="4"/>
    <x v="2"/>
    <n v="34302.712220301015"/>
  </r>
  <r>
    <x v="0"/>
    <s v="Vestdanmark"/>
    <x v="5"/>
    <x v="2"/>
    <n v="101549.90665933446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0168.939794840036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0760.863656275607"/>
  </r>
  <r>
    <x v="0"/>
    <s v="Østdanmark"/>
    <x v="4"/>
    <x v="2"/>
    <n v="29926.992547120819"/>
  </r>
  <r>
    <x v="0"/>
    <s v="Østdanmark"/>
    <x v="5"/>
    <x v="2"/>
    <n v="88596.006060305852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7596.15120364408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8479593.6614331026"/>
  </r>
  <r>
    <x v="1"/>
    <s v="Vestdanmark"/>
    <x v="15"/>
    <x v="1"/>
    <n v="7790098.0268014707"/>
  </r>
  <r>
    <x v="1"/>
    <s v="Vestdanmark"/>
    <x v="16"/>
    <x v="1"/>
    <n v="6257.0446016591122"/>
  </r>
  <r>
    <x v="1"/>
    <s v="Vestdanmark"/>
    <x v="17"/>
    <x v="1"/>
    <n v="2962169.1298708953"/>
  </r>
  <r>
    <x v="1"/>
    <s v="Vestdanmark"/>
    <x v="18"/>
    <x v="1"/>
    <n v="195082.24112879002"/>
  </r>
  <r>
    <x v="1"/>
    <s v="Vestdanmark"/>
    <x v="19"/>
    <x v="1"/>
    <n v="506863.86710295174"/>
  </r>
  <r>
    <x v="1"/>
    <s v="Vestdanmark"/>
    <x v="20"/>
    <x v="1"/>
    <n v="1527973.1246412985"/>
  </r>
  <r>
    <x v="1"/>
    <s v="Vestdanmark"/>
    <x v="21"/>
    <x v="1"/>
    <n v="1805513.3877954697"/>
  </r>
  <r>
    <x v="1"/>
    <s v="Vestdanmark"/>
    <x v="22"/>
    <x v="1"/>
    <n v="0"/>
  </r>
  <r>
    <x v="1"/>
    <s v="Vestdanmark"/>
    <x v="0"/>
    <x v="1"/>
    <n v="2871.1113857879218"/>
  </r>
  <r>
    <x v="1"/>
    <s v="Vestdanmark"/>
    <x v="23"/>
    <x v="1"/>
    <n v="66046.573899106617"/>
  </r>
  <r>
    <x v="1"/>
    <s v="Vestdanmark"/>
    <x v="24"/>
    <x v="1"/>
    <n v="252542.91678668751"/>
  </r>
  <r>
    <x v="1"/>
    <s v="Vestdanmark"/>
    <x v="25"/>
    <x v="1"/>
    <n v="21522.66674077360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494531.2954108026"/>
  </r>
  <r>
    <x v="1"/>
    <s v="Vestdanmark"/>
    <x v="15"/>
    <x v="2"/>
    <n v="6877119.5113769062"/>
  </r>
  <r>
    <x v="1"/>
    <s v="Vestdanmark"/>
    <x v="16"/>
    <x v="2"/>
    <n v="7753.9785502341792"/>
  </r>
  <r>
    <x v="1"/>
    <s v="Vestdanmark"/>
    <x v="17"/>
    <x v="2"/>
    <n v="3666629.6803214513"/>
  </r>
  <r>
    <x v="1"/>
    <s v="Vestdanmark"/>
    <x v="18"/>
    <x v="2"/>
    <n v="197484.23354298095"/>
  </r>
  <r>
    <x v="1"/>
    <s v="Vestdanmark"/>
    <x v="19"/>
    <x v="2"/>
    <n v="482490.34921714256"/>
  </r>
  <r>
    <x v="1"/>
    <s v="Vestdanmark"/>
    <x v="20"/>
    <x v="2"/>
    <n v="1333086.883487992"/>
  </r>
  <r>
    <x v="1"/>
    <s v="Vestdanmark"/>
    <x v="21"/>
    <x v="2"/>
    <n v="1523855.7302028288"/>
  </r>
  <r>
    <x v="1"/>
    <s v="Vestdanmark"/>
    <x v="22"/>
    <x v="2"/>
    <n v="0"/>
  </r>
  <r>
    <x v="1"/>
    <s v="Vestdanmark"/>
    <x v="0"/>
    <x v="2"/>
    <n v="2778.0605350782976"/>
  </r>
  <r>
    <x v="1"/>
    <s v="Vestdanmark"/>
    <x v="23"/>
    <x v="2"/>
    <n v="62867.4837195117"/>
  </r>
  <r>
    <x v="1"/>
    <s v="Vestdanmark"/>
    <x v="24"/>
    <x v="2"/>
    <n v="242163.91618130018"/>
  </r>
  <r>
    <x v="1"/>
    <s v="Vestdanmark"/>
    <x v="25"/>
    <x v="2"/>
    <n v="21018.886390792875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228668.658899101"/>
  </r>
  <r>
    <x v="1"/>
    <s v="Østdanmark"/>
    <x v="15"/>
    <x v="1"/>
    <n v="553673.50359972543"/>
  </r>
  <r>
    <x v="1"/>
    <s v="Østdanmark"/>
    <x v="16"/>
    <x v="1"/>
    <n v="525.15144386464101"/>
  </r>
  <r>
    <x v="1"/>
    <s v="Østdanmark"/>
    <x v="17"/>
    <x v="1"/>
    <n v="2506742.4639529102"/>
  </r>
  <r>
    <x v="1"/>
    <s v="Østdanmark"/>
    <x v="18"/>
    <x v="1"/>
    <n v="168912.75887120995"/>
  </r>
  <r>
    <x v="1"/>
    <s v="Østdanmark"/>
    <x v="19"/>
    <x v="1"/>
    <n v="219104.13289704846"/>
  </r>
  <r>
    <x v="1"/>
    <s v="Østdanmark"/>
    <x v="20"/>
    <x v="1"/>
    <n v="204287.20531755476"/>
  </r>
  <r>
    <x v="1"/>
    <s v="Østdanmark"/>
    <x v="21"/>
    <x v="1"/>
    <n v="219268.96570438196"/>
  </r>
  <r>
    <x v="1"/>
    <s v="Østdanmark"/>
    <x v="22"/>
    <x v="1"/>
    <n v="0"/>
  </r>
  <r>
    <x v="1"/>
    <s v="Østdanmark"/>
    <x v="0"/>
    <x v="1"/>
    <n v="914.88861421207764"/>
  </r>
  <r>
    <x v="1"/>
    <s v="Østdanmark"/>
    <x v="23"/>
    <x v="1"/>
    <n v="19630.42610089339"/>
  </r>
  <r>
    <x v="1"/>
    <s v="Østdanmark"/>
    <x v="24"/>
    <x v="1"/>
    <n v="77483.083213312464"/>
  </r>
  <r>
    <x v="1"/>
    <s v="Østdanmark"/>
    <x v="25"/>
    <x v="1"/>
    <n v="7122.333259226387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941038.84873677138"/>
  </r>
  <r>
    <x v="1"/>
    <s v="Østdanmark"/>
    <x v="15"/>
    <x v="2"/>
    <n v="488784.45963554498"/>
  </r>
  <r>
    <x v="1"/>
    <s v="Østdanmark"/>
    <x v="16"/>
    <x v="2"/>
    <n v="650.78855763169781"/>
  </r>
  <r>
    <x v="1"/>
    <s v="Østdanmark"/>
    <x v="17"/>
    <x v="2"/>
    <n v="3147195.7630817359"/>
  </r>
  <r>
    <x v="1"/>
    <s v="Østdanmark"/>
    <x v="18"/>
    <x v="2"/>
    <n v="172292.76645701908"/>
  </r>
  <r>
    <x v="1"/>
    <s v="Østdanmark"/>
    <x v="19"/>
    <x v="2"/>
    <n v="240541.65078285753"/>
  </r>
  <r>
    <x v="1"/>
    <s v="Østdanmark"/>
    <x v="20"/>
    <x v="2"/>
    <n v="176375.12271092835"/>
  </r>
  <r>
    <x v="1"/>
    <s v="Østdanmark"/>
    <x v="21"/>
    <x v="2"/>
    <n v="181419.44054758229"/>
  </r>
  <r>
    <x v="1"/>
    <s v="Østdanmark"/>
    <x v="22"/>
    <x v="2"/>
    <n v="0"/>
  </r>
  <r>
    <x v="1"/>
    <s v="Østdanmark"/>
    <x v="0"/>
    <x v="2"/>
    <n v="1007.9394649217019"/>
  </r>
  <r>
    <x v="1"/>
    <s v="Østdanmark"/>
    <x v="23"/>
    <x v="2"/>
    <n v="22809.516280488293"/>
  </r>
  <r>
    <x v="1"/>
    <s v="Østdanmark"/>
    <x v="24"/>
    <x v="2"/>
    <n v="87862.083818699844"/>
  </r>
  <r>
    <x v="1"/>
    <s v="Østdanmark"/>
    <x v="25"/>
    <x v="2"/>
    <n v="7626.113609207122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534717.2198337205"/>
  </r>
  <r>
    <x v="2"/>
    <s v="Vestdanmark"/>
    <x v="22"/>
    <x v="1"/>
    <n v="590528.53760249668"/>
  </r>
  <r>
    <x v="2"/>
    <s v="Vestdanmark"/>
    <x v="2"/>
    <x v="1"/>
    <n v="0"/>
  </r>
  <r>
    <x v="2"/>
    <s v="Vestdanmark"/>
    <x v="5"/>
    <x v="1"/>
    <n v="47085.713440742315"/>
  </r>
  <r>
    <x v="2"/>
    <s v="Vestdanmark"/>
    <x v="25"/>
    <x v="1"/>
    <n v="669901.28667965194"/>
  </r>
  <r>
    <x v="2"/>
    <s v="Vestdanmark"/>
    <x v="24"/>
    <x v="1"/>
    <n v="4351481.2300827308"/>
  </r>
  <r>
    <x v="2"/>
    <s v="Vestdanmark"/>
    <x v="28"/>
    <x v="1"/>
    <n v="161875.86352463221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446613.3985518552"/>
  </r>
  <r>
    <x v="2"/>
    <s v="Vestdanmark"/>
    <x v="29"/>
    <x v="1"/>
    <n v="1164894.7731358123"/>
  </r>
  <r>
    <x v="2"/>
    <s v="Vestdanmark"/>
    <x v="30"/>
    <x v="1"/>
    <n v="1648659.4341996606"/>
  </r>
  <r>
    <x v="2"/>
    <s v="Vestdanmark"/>
    <x v="31"/>
    <x v="1"/>
    <n v="823571.93327261996"/>
  </r>
  <r>
    <x v="2"/>
    <s v="Vestdanmark"/>
    <x v="32"/>
    <x v="1"/>
    <n v="29678.267865680002"/>
  </r>
  <r>
    <x v="2"/>
    <s v="Vestdanmark"/>
    <x v="33"/>
    <x v="1"/>
    <n v="0"/>
  </r>
  <r>
    <x v="2"/>
    <s v="Vestdanmark"/>
    <x v="0"/>
    <x v="2"/>
    <n v="3189422.8658191925"/>
  </r>
  <r>
    <x v="2"/>
    <s v="Vestdanmark"/>
    <x v="22"/>
    <x v="2"/>
    <n v="415339.06734260131"/>
  </r>
  <r>
    <x v="2"/>
    <s v="Vestdanmark"/>
    <x v="2"/>
    <x v="2"/>
    <n v="0"/>
  </r>
  <r>
    <x v="2"/>
    <s v="Vestdanmark"/>
    <x v="5"/>
    <x v="2"/>
    <n v="33117.004615961538"/>
  </r>
  <r>
    <x v="2"/>
    <s v="Vestdanmark"/>
    <x v="25"/>
    <x v="2"/>
    <n v="471164.6565816346"/>
  </r>
  <r>
    <x v="2"/>
    <s v="Vestdanmark"/>
    <x v="24"/>
    <x v="2"/>
    <n v="3060546.68077358"/>
  </r>
  <r>
    <x v="2"/>
    <s v="Vestdanmark"/>
    <x v="28"/>
    <x v="2"/>
    <n v="113852.8723007386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644128.6892416244"/>
  </r>
  <r>
    <x v="2"/>
    <s v="Vestdanmark"/>
    <x v="29"/>
    <x v="2"/>
    <n v="819310.63076273911"/>
  </r>
  <r>
    <x v="2"/>
    <s v="Vestdanmark"/>
    <x v="30"/>
    <x v="2"/>
    <n v="1159558.9851527149"/>
  </r>
  <r>
    <x v="2"/>
    <s v="Vestdanmark"/>
    <x v="31"/>
    <x v="2"/>
    <n v="579246.51710100006"/>
  </r>
  <r>
    <x v="2"/>
    <s v="Vestdanmark"/>
    <x v="32"/>
    <x v="2"/>
    <n v="20873.748363999999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50714.69493164914"/>
  </r>
  <r>
    <x v="2"/>
    <s v="Østdanmark"/>
    <x v="22"/>
    <x v="1"/>
    <n v="71716.212427048929"/>
  </r>
  <r>
    <x v="2"/>
    <s v="Østdanmark"/>
    <x v="2"/>
    <x v="1"/>
    <n v="0"/>
  </r>
  <r>
    <x v="2"/>
    <s v="Østdanmark"/>
    <x v="5"/>
    <x v="1"/>
    <n v="5718.282542457694"/>
  </r>
  <r>
    <x v="2"/>
    <s v="Østdanmark"/>
    <x v="25"/>
    <x v="1"/>
    <n v="81355.565263148092"/>
  </r>
  <r>
    <x v="2"/>
    <s v="Østdanmark"/>
    <x v="24"/>
    <x v="1"/>
    <n v="528461.76331446774"/>
  </r>
  <r>
    <x v="2"/>
    <s v="Østdanmark"/>
    <x v="28"/>
    <x v="1"/>
    <n v="19658.87010723768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147235.5526749862"/>
  </r>
  <r>
    <x v="2"/>
    <s v="Østdanmark"/>
    <x v="29"/>
    <x v="1"/>
    <n v="141469.60847064349"/>
  </r>
  <r>
    <x v="2"/>
    <s v="Østdanmark"/>
    <x v="30"/>
    <x v="1"/>
    <n v="200219.97697680999"/>
  </r>
  <r>
    <x v="2"/>
    <s v="Østdanmark"/>
    <x v="31"/>
    <x v="1"/>
    <n v="100017.96010626001"/>
  </r>
  <r>
    <x v="2"/>
    <s v="Østdanmark"/>
    <x v="32"/>
    <x v="1"/>
    <n v="3604.250814640001"/>
  </r>
  <r>
    <x v="2"/>
    <s v="Østdanmark"/>
    <x v="33"/>
    <x v="1"/>
    <n v="0"/>
  </r>
  <r>
    <x v="2"/>
    <s v="Østdanmark"/>
    <x v="0"/>
    <x v="2"/>
    <n v="379710.03456447175"/>
  </r>
  <r>
    <x v="2"/>
    <s v="Østdanmark"/>
    <x v="22"/>
    <x v="2"/>
    <n v="49447.319546988874"/>
  </r>
  <r>
    <x v="2"/>
    <s v="Østdanmark"/>
    <x v="2"/>
    <x v="2"/>
    <n v="0"/>
  </r>
  <r>
    <x v="2"/>
    <s v="Østdanmark"/>
    <x v="5"/>
    <x v="2"/>
    <n v="3942.6753668076931"/>
  </r>
  <r>
    <x v="2"/>
    <s v="Østdanmark"/>
    <x v="25"/>
    <x v="2"/>
    <n v="56093.517718673087"/>
  </r>
  <r>
    <x v="2"/>
    <s v="Østdanmark"/>
    <x v="24"/>
    <x v="2"/>
    <n v="364366.95127418567"/>
  </r>
  <r>
    <x v="2"/>
    <s v="Østdanmark"/>
    <x v="28"/>
    <x v="2"/>
    <n v="13554.514373080499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91002.77397514437"/>
  </r>
  <r>
    <x v="2"/>
    <s v="Østdanmark"/>
    <x v="29"/>
    <x v="2"/>
    <n v="97541.304810973612"/>
  </r>
  <r>
    <x v="2"/>
    <s v="Østdanmark"/>
    <x v="30"/>
    <x v="2"/>
    <n v="138048.85738122172"/>
  </r>
  <r>
    <x v="2"/>
    <s v="Østdanmark"/>
    <x v="31"/>
    <x v="2"/>
    <n v="68960.976415800003"/>
  </r>
  <r>
    <x v="2"/>
    <s v="Østdanmark"/>
    <x v="32"/>
    <x v="2"/>
    <n v="2485.0802312000001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999176.48486791842"/>
  </r>
  <r>
    <x v="3"/>
    <s v="Vestdanmark"/>
    <x v="34"/>
    <x v="1"/>
    <n v="233165.53921945728"/>
  </r>
  <r>
    <x v="3"/>
    <s v="Vestdanmark"/>
    <x v="35"/>
    <x v="1"/>
    <n v="217981.68444215492"/>
  </r>
  <r>
    <x v="3"/>
    <s v="Vestdanmark"/>
    <x v="36"/>
    <x v="1"/>
    <n v="2222244.569142865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34788.57368772908"/>
  </r>
  <r>
    <x v="3"/>
    <s v="Østdanmark"/>
    <x v="34"/>
    <x v="1"/>
    <n v="75378.303026510737"/>
  </r>
  <r>
    <x v="3"/>
    <s v="Østdanmark"/>
    <x v="35"/>
    <x v="1"/>
    <n v="66921.012385379698"/>
  </r>
  <r>
    <x v="3"/>
    <s v="Østdanmark"/>
    <x v="36"/>
    <x v="1"/>
    <n v="647355.9829393515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53639.40454648295"/>
  </r>
  <r>
    <x v="3"/>
    <s v="Vestdanmark"/>
    <x v="34"/>
    <x v="2"/>
    <n v="192486.94948403907"/>
  </r>
  <r>
    <x v="3"/>
    <s v="Vestdanmark"/>
    <x v="35"/>
    <x v="2"/>
    <n v="167353.17803041782"/>
  </r>
  <r>
    <x v="3"/>
    <s v="Vestdanmark"/>
    <x v="36"/>
    <x v="2"/>
    <n v="2301188.929717523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29057.41943518422"/>
  </r>
  <r>
    <x v="3"/>
    <s v="Østdanmark"/>
    <x v="34"/>
    <x v="2"/>
    <n v="69838.419357151841"/>
  </r>
  <r>
    <x v="3"/>
    <s v="Østdanmark"/>
    <x v="35"/>
    <x v="2"/>
    <n v="60719.109564821476"/>
  </r>
  <r>
    <x v="3"/>
    <s v="Østdanmark"/>
    <x v="36"/>
    <x v="2"/>
    <n v="623007.09555249952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2826531.2204777007"/>
  </r>
  <r>
    <x v="5"/>
    <s v="Vestdanmark"/>
    <x v="15"/>
    <x v="1"/>
    <n v="1720313.3142519915"/>
  </r>
  <r>
    <x v="5"/>
    <s v="Vestdanmark"/>
    <x v="16"/>
    <x v="1"/>
    <n v="1579.1588756568235"/>
  </r>
  <r>
    <x v="5"/>
    <s v="Vestdanmark"/>
    <x v="20"/>
    <x v="1"/>
    <n v="192815.65620473531"/>
  </r>
  <r>
    <x v="5"/>
    <s v="Vestdanmark"/>
    <x v="37"/>
    <x v="1"/>
    <n v="16744738.31698148"/>
  </r>
  <r>
    <x v="5"/>
    <s v="Vestdanmark"/>
    <x v="38"/>
    <x v="1"/>
    <n v="584756.7791203158"/>
  </r>
  <r>
    <x v="5"/>
    <s v="Vestdanmark"/>
    <x v="14"/>
    <x v="2"/>
    <n v="721614.58837897785"/>
  </r>
  <r>
    <x v="5"/>
    <s v="Vestdanmark"/>
    <x v="15"/>
    <x v="2"/>
    <n v="506232.40847635537"/>
  </r>
  <r>
    <x v="5"/>
    <s v="Vestdanmark"/>
    <x v="16"/>
    <x v="2"/>
    <n v="652.318830416526"/>
  </r>
  <r>
    <x v="5"/>
    <s v="Vestdanmark"/>
    <x v="20"/>
    <x v="2"/>
    <n v="56074.289543542509"/>
  </r>
  <r>
    <x v="5"/>
    <s v="Vestdanmark"/>
    <x v="37"/>
    <x v="2"/>
    <n v="13238404.534113022"/>
  </r>
  <r>
    <x v="5"/>
    <s v="Vestdanmark"/>
    <x v="38"/>
    <x v="2"/>
    <n v="601145.1241738061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409556.21963303362"/>
  </r>
  <r>
    <x v="5"/>
    <s v="Østdanmark"/>
    <x v="15"/>
    <x v="1"/>
    <n v="122269.5653782727"/>
  </r>
  <r>
    <x v="5"/>
    <s v="Østdanmark"/>
    <x v="16"/>
    <x v="1"/>
    <n v="132.53822154679034"/>
  </r>
  <r>
    <x v="5"/>
    <s v="Østdanmark"/>
    <x v="20"/>
    <x v="1"/>
    <n v="25779.099718643818"/>
  </r>
  <r>
    <x v="5"/>
    <s v="Østdanmark"/>
    <x v="37"/>
    <x v="1"/>
    <n v="3693826.1148101897"/>
  </r>
  <r>
    <x v="5"/>
    <s v="Østdanmark"/>
    <x v="38"/>
    <x v="1"/>
    <n v="299171.09031254635"/>
  </r>
  <r>
    <x v="5"/>
    <s v="Østdanmark"/>
    <x v="14"/>
    <x v="2"/>
    <n v="104559.87208186346"/>
  </r>
  <r>
    <x v="5"/>
    <s v="Østdanmark"/>
    <x v="15"/>
    <x v="2"/>
    <n v="35979.967167616494"/>
  </r>
  <r>
    <x v="5"/>
    <s v="Østdanmark"/>
    <x v="16"/>
    <x v="2"/>
    <n v="54.748878657904719"/>
  </r>
  <r>
    <x v="5"/>
    <s v="Østdanmark"/>
    <x v="20"/>
    <x v="2"/>
    <n v="7418.9535743485703"/>
  </r>
  <r>
    <x v="5"/>
    <s v="Østdanmark"/>
    <x v="37"/>
    <x v="2"/>
    <n v="3460511.9226035657"/>
  </r>
  <r>
    <x v="5"/>
    <s v="Østdanmark"/>
    <x v="38"/>
    <x v="2"/>
    <n v="290582.47430971975"/>
  </r>
  <r>
    <x v="6"/>
    <s v="Vestdanmark"/>
    <x v="23"/>
    <x v="0"/>
    <n v="0"/>
  </r>
  <r>
    <x v="6"/>
    <s v="Vestdanmark"/>
    <x v="23"/>
    <x v="1"/>
    <n v="4926512.3913847189"/>
  </r>
  <r>
    <x v="6"/>
    <s v="Vestdanmark"/>
    <x v="23"/>
    <x v="2"/>
    <n v="3464985.9093970521"/>
  </r>
  <r>
    <x v="6"/>
    <s v="Østdanmark"/>
    <x v="23"/>
    <x v="0"/>
    <n v="0"/>
  </r>
  <r>
    <x v="6"/>
    <s v="Østdanmark"/>
    <x v="23"/>
    <x v="1"/>
    <n v="598295.9106759713"/>
  </r>
  <r>
    <x v="6"/>
    <s v="Østdanmark"/>
    <x v="23"/>
    <x v="2"/>
    <n v="412516.61343583919"/>
  </r>
  <r>
    <x v="7"/>
    <s v="Vestdanmark"/>
    <x v="39"/>
    <x v="0"/>
    <n v="484833.6848947219"/>
  </r>
  <r>
    <x v="7"/>
    <s v="Vestdanmark"/>
    <x v="39"/>
    <x v="1"/>
    <n v="728642.31006080401"/>
  </r>
  <r>
    <x v="7"/>
    <s v="Vestdanmark"/>
    <x v="39"/>
    <x v="2"/>
    <n v="601521.71713762206"/>
  </r>
  <r>
    <x v="7"/>
    <s v="Østdanmark"/>
    <x v="39"/>
    <x v="0"/>
    <n v="193574.13238370849"/>
  </r>
  <r>
    <x v="7"/>
    <s v="Østdanmark"/>
    <x v="39"/>
    <x v="1"/>
    <n v="235557.19695784606"/>
  </r>
  <r>
    <x v="7"/>
    <s v="Østdanmark"/>
    <x v="39"/>
    <x v="2"/>
    <n v="218245.0604910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07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M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6">
      <pivotArea outline="0" collapsedLevelsAreSubtotals="1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9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05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7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05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E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0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1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04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8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0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7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0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0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0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6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0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5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07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8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9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A4" sqref="A4:B4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8" t="s">
        <v>279</v>
      </c>
      <c r="B1" s="338"/>
      <c r="D1" s="75" t="s">
        <v>292</v>
      </c>
    </row>
    <row r="2" spans="1:6" x14ac:dyDescent="0.25">
      <c r="A2" s="6" t="s">
        <v>0</v>
      </c>
      <c r="B2" s="227" t="s">
        <v>311</v>
      </c>
    </row>
    <row r="4" spans="1:6" ht="30" customHeight="1" thickBot="1" x14ac:dyDescent="0.3">
      <c r="A4" s="337" t="s">
        <v>278</v>
      </c>
      <c r="B4" s="337"/>
      <c r="D4" s="75"/>
    </row>
    <row r="5" spans="1:6" ht="15.75" thickTop="1" x14ac:dyDescent="0.25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9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9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314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abSelected="1" topLeftCell="A133" zoomScale="60" zoomScaleNormal="60" workbookViewId="0">
      <selection activeCell="L173" sqref="L17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40" t="s">
        <v>305</v>
      </c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</row>
    <row r="2" spans="1:17" ht="15" customHeight="1" x14ac:dyDescent="0.25">
      <c r="A2" s="256"/>
      <c r="B2" s="256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3"/>
  <sheetViews>
    <sheetView zoomScale="70" zoomScaleNormal="70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3.140625" style="1" bestFit="1" customWidth="1"/>
    <col min="4" max="4" width="12.85546875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32.42578125" style="1" bestFit="1" customWidth="1"/>
    <col min="10" max="10" width="17.42578125" style="1" bestFit="1" customWidth="1"/>
    <col min="11" max="12" width="13.140625" style="1" bestFit="1" customWidth="1"/>
    <col min="13" max="13" width="15.85546875" style="1" bestFit="1" customWidth="1"/>
    <col min="14" max="15" width="13.140625" style="1" bestFit="1" customWidth="1"/>
    <col min="16" max="16" width="15.85546875" style="1" bestFit="1" customWidth="1"/>
    <col min="17" max="18" width="13.140625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22"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f>100000-C3</f>
        <v>21770</v>
      </c>
      <c r="D4" s="22">
        <v>100500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v>250000</v>
      </c>
      <c r="D5" s="9">
        <v>513100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1886536</v>
      </c>
      <c r="Q6" s="18">
        <f t="shared" si="1"/>
        <v>1.999999999994543</v>
      </c>
      <c r="R6" s="18">
        <f t="shared" si="1"/>
        <v>1.9999999999936335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161997.99999999997</v>
      </c>
      <c r="R8" s="18">
        <f t="shared" si="3"/>
        <v>128997.99999999999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  <c r="I12" s="15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1.8054136557038873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146236.7006988691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3030352.3130941684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0.19458634429065569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15761.299301130884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  <row r="43" spans="9:18" x14ac:dyDescent="0.25">
      <c r="L43" s="336"/>
    </row>
  </sheetData>
  <conditionalFormatting sqref="J5:R9">
    <cfRule type="cellIs" dxfId="5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2"/>
  <sheetViews>
    <sheetView topLeftCell="A13" zoomScale="85" zoomScaleNormal="85" workbookViewId="0">
      <selection activeCell="E42" sqref="E4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0.75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0.6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19" spans="2:11" x14ac:dyDescent="0.25">
      <c r="B19" s="12"/>
      <c r="C19" s="376"/>
      <c r="D19" s="377"/>
      <c r="E19" s="377"/>
      <c r="F19" s="12"/>
      <c r="G19" s="182"/>
    </row>
    <row r="21" spans="2:11" x14ac:dyDescent="0.25">
      <c r="B21" s="343" t="s">
        <v>335</v>
      </c>
      <c r="C21" s="25"/>
      <c r="D21" s="25"/>
      <c r="E21" s="25"/>
      <c r="F21" s="12"/>
      <c r="I21" s="1"/>
    </row>
    <row r="22" spans="2:11" ht="29.45" customHeight="1" x14ac:dyDescent="0.25">
      <c r="B22" s="343"/>
      <c r="C22" s="84">
        <f>År1</f>
        <v>2019</v>
      </c>
      <c r="D22" s="84">
        <f>År2</f>
        <v>2030</v>
      </c>
      <c r="E22" s="84">
        <f>År3</f>
        <v>2050</v>
      </c>
      <c r="F22" s="12"/>
      <c r="I22" s="1"/>
    </row>
    <row r="23" spans="2:11" x14ac:dyDescent="0.25">
      <c r="B23" s="2" t="str">
        <f>Organ6</f>
        <v>OC6</v>
      </c>
      <c r="C23" s="7">
        <f>'[1]Afgrødefordeling - jordtype'!$H$17</f>
        <v>0.24584476889448309</v>
      </c>
      <c r="D23" s="8">
        <f>C23</f>
        <v>0.24584476889448309</v>
      </c>
      <c r="E23" s="8">
        <f>D23</f>
        <v>0.24584476889448309</v>
      </c>
      <c r="F23" s="12"/>
      <c r="I23" s="1"/>
    </row>
    <row r="24" spans="2:11" x14ac:dyDescent="0.25">
      <c r="B24" s="2" t="str">
        <f>Organ12</f>
        <v>OC12</v>
      </c>
      <c r="C24" s="7">
        <f>'[1]Afgrødefordeling - jordtype'!$I$17</f>
        <v>0.33924520978284484</v>
      </c>
      <c r="D24" s="8">
        <f>C24</f>
        <v>0.33924520978284484</v>
      </c>
      <c r="E24" s="8">
        <f>D24</f>
        <v>0.33924520978284484</v>
      </c>
      <c r="F24" s="12"/>
      <c r="I24" s="1"/>
    </row>
    <row r="25" spans="2:11" x14ac:dyDescent="0.25">
      <c r="B25" s="332" t="str">
        <f>CONCATENATE("Omlægning til permanent græs, ", Organ6,", hektar")</f>
        <v>Omlægning til permanent græs, OC6, hektar</v>
      </c>
      <c r="C25" s="333"/>
      <c r="D25" s="10">
        <f>D23*Arealanvendelse!N6-C23*Arealanvendelse!N6</f>
        <v>0</v>
      </c>
      <c r="E25" s="10">
        <f>E23*Arealanvendelse!Q6-C23*Arealanvendelse!Q6</f>
        <v>0</v>
      </c>
      <c r="F25" s="12"/>
      <c r="I25" s="1"/>
    </row>
    <row r="26" spans="2:11" x14ac:dyDescent="0.25">
      <c r="B26" s="332" t="str">
        <f>CONCATENATE("Omlægning til permanent græs, ", Organ12, ", hektar")</f>
        <v>Omlægning til permanent græs, OC12, hektar</v>
      </c>
      <c r="C26" s="333"/>
      <c r="D26" s="10">
        <f>D24*Arealanvendelse!O6-C24*Arealanvendelse!O6</f>
        <v>0</v>
      </c>
      <c r="E26" s="10">
        <f>E24*Arealanvendelse!R6-C24*Arealanvendelse!R6</f>
        <v>0</v>
      </c>
      <c r="F26" s="12"/>
      <c r="G26" s="118"/>
      <c r="I26" s="1"/>
    </row>
    <row r="27" spans="2:11" x14ac:dyDescent="0.25">
      <c r="B27" s="332" t="str">
        <f>CONCATENATE("Antal hektar som 1% svarer til, ", Organ6)</f>
        <v>Antal hektar som 1% svarer til, OC6</v>
      </c>
      <c r="C27" s="333"/>
      <c r="D27" s="10">
        <f>1%*Arealanvendelse!N6</f>
        <v>787.31999999999982</v>
      </c>
      <c r="E27" s="10">
        <f>1%*Arealanvendelse!Q6</f>
        <v>1.9999999999945429E-2</v>
      </c>
      <c r="F27" s="12"/>
      <c r="I27" s="1"/>
    </row>
    <row r="28" spans="2:11" ht="15.75" thickBot="1" x14ac:dyDescent="0.3">
      <c r="B28" s="334" t="str">
        <f>CONCATENATE("Antal hektar som 1% svarer til, ", Organ12)</f>
        <v>Antal hektar som 1% svarer til, OC12</v>
      </c>
      <c r="C28" s="335"/>
      <c r="D28" s="116">
        <f>1%*Arealanvendelse!O6</f>
        <v>1.9999999999936336E-2</v>
      </c>
      <c r="E28" s="116">
        <f>1%*Arealanvendelse!R6</f>
        <v>1.9999999999936336E-2</v>
      </c>
      <c r="F28" s="4"/>
      <c r="G28" s="12"/>
      <c r="H28" s="12"/>
      <c r="I28" s="1"/>
    </row>
    <row r="29" spans="2:11" ht="15.75" thickBot="1" x14ac:dyDescent="0.3">
      <c r="B29" s="237" t="s">
        <v>269</v>
      </c>
      <c r="C29" s="238"/>
      <c r="D29" s="236">
        <f>SUM(D25:D26)</f>
        <v>0</v>
      </c>
      <c r="E29" s="236">
        <f>SUM(E25:E26)</f>
        <v>0</v>
      </c>
      <c r="F29" s="331"/>
      <c r="G29" s="104"/>
      <c r="H29" s="104"/>
    </row>
    <row r="30" spans="2:11" x14ac:dyDescent="0.25">
      <c r="B30" s="12"/>
      <c r="C30" s="118"/>
      <c r="D30" s="118"/>
      <c r="E30" s="118"/>
      <c r="F30" s="118"/>
      <c r="G30" s="118"/>
      <c r="H30" s="118"/>
    </row>
    <row r="31" spans="2:11" x14ac:dyDescent="0.25">
      <c r="B31" s="341" t="s">
        <v>334</v>
      </c>
      <c r="C31" s="25"/>
      <c r="D31" s="25"/>
      <c r="E31" s="25"/>
      <c r="K31" s="12"/>
    </row>
    <row r="32" spans="2:11" x14ac:dyDescent="0.25">
      <c r="B32" s="342"/>
      <c r="C32" s="84">
        <f>År1</f>
        <v>2019</v>
      </c>
      <c r="D32" s="84">
        <f>År2</f>
        <v>2030</v>
      </c>
      <c r="E32" s="84">
        <f>År3</f>
        <v>2050</v>
      </c>
      <c r="K32" s="12"/>
    </row>
    <row r="33" spans="2:11" x14ac:dyDescent="0.25">
      <c r="B33" s="2" t="str">
        <f>[1]Afgrødefordeling!$C2</f>
        <v>Korn</v>
      </c>
      <c r="C33" s="328">
        <f>'[1]Afgrødefordeling - jordtype'!$Y4</f>
        <v>0.53753334285647836</v>
      </c>
      <c r="D33" s="90">
        <v>0.4</v>
      </c>
      <c r="E33" s="90">
        <f>D33</f>
        <v>0.4</v>
      </c>
      <c r="K33" s="12"/>
    </row>
    <row r="34" spans="2:11" x14ac:dyDescent="0.25">
      <c r="B34" s="2" t="str">
        <f>[1]Afgrødefordeling!$C3</f>
        <v>Bælgsæd</v>
      </c>
      <c r="C34" s="328">
        <f>'[1]Afgrødefordeling - jordtype'!$Y5</f>
        <v>3.0976273829928767E-2</v>
      </c>
      <c r="D34" s="90">
        <v>0.09</v>
      </c>
      <c r="E34" s="90">
        <f t="shared" ref="D34:E46" si="1">D34</f>
        <v>0.09</v>
      </c>
      <c r="K34" s="12"/>
    </row>
    <row r="35" spans="2:11" x14ac:dyDescent="0.25">
      <c r="B35" s="2" t="str">
        <f>[1]Afgrødefordeling!$C4</f>
        <v>Raps</v>
      </c>
      <c r="C35" s="328">
        <f>'[1]Afgrødefordeling - jordtype'!$Y6</f>
        <v>6.5329688585482673E-2</v>
      </c>
      <c r="D35" s="90">
        <v>0.1</v>
      </c>
      <c r="E35" s="90">
        <f t="shared" si="1"/>
        <v>0.1</v>
      </c>
      <c r="K35" s="12"/>
    </row>
    <row r="36" spans="2:11" x14ac:dyDescent="0.25">
      <c r="B36" s="2" t="str">
        <f>[1]Afgrødefordeling!$C5</f>
        <v>Græs</v>
      </c>
      <c r="C36" s="328">
        <f>'[1]Afgrødefordeling - jordtype'!$Y7</f>
        <v>0.10115967422642448</v>
      </c>
      <c r="D36" s="90">
        <v>0.1</v>
      </c>
      <c r="E36" s="90">
        <v>0.1</v>
      </c>
      <c r="K36" s="12"/>
    </row>
    <row r="37" spans="2:11" x14ac:dyDescent="0.25">
      <c r="B37" s="2" t="str">
        <f>[1]Afgrødefordeling!$C6</f>
        <v>Grøntsager</v>
      </c>
      <c r="C37" s="328">
        <f>'[1]Afgrødefordeling - jordtype'!$Y8</f>
        <v>5.2060865589185204E-3</v>
      </c>
      <c r="D37" s="90">
        <v>0.01</v>
      </c>
      <c r="E37" s="90">
        <f t="shared" si="1"/>
        <v>0.01</v>
      </c>
      <c r="K37" s="12"/>
    </row>
    <row r="38" spans="2:11" x14ac:dyDescent="0.25">
      <c r="B38" s="2" t="str">
        <f>[1]Afgrødefordeling!$C7</f>
        <v>Kartofler</v>
      </c>
      <c r="C38" s="328">
        <f>'[1]Afgrødefordeling - jordtype'!$Y9</f>
        <v>2.189728375215861E-2</v>
      </c>
      <c r="D38" s="90">
        <v>2.5000000000000001E-2</v>
      </c>
      <c r="E38" s="90">
        <f t="shared" si="1"/>
        <v>2.5000000000000001E-2</v>
      </c>
      <c r="K38" s="12"/>
    </row>
    <row r="39" spans="2:11" x14ac:dyDescent="0.25">
      <c r="B39" s="2" t="str">
        <f>[1]Afgrødefordeling!$C8</f>
        <v>Roer</v>
      </c>
      <c r="C39" s="328">
        <f>'[1]Afgrødefordeling - jordtype'!$Y10</f>
        <v>1.3466912404096722E-2</v>
      </c>
      <c r="D39" s="90">
        <v>0.01</v>
      </c>
      <c r="E39" s="90">
        <v>0.01</v>
      </c>
      <c r="K39" s="12"/>
    </row>
    <row r="40" spans="2:11" x14ac:dyDescent="0.25">
      <c r="B40" s="2" t="str">
        <f>[1]Afgrødefordeling!$C9</f>
        <v>Majs</v>
      </c>
      <c r="C40" s="328">
        <f>'[1]Afgrødefordeling - jordtype'!$Y11</f>
        <v>7.2759287296729286E-2</v>
      </c>
      <c r="D40" s="90">
        <v>0.05</v>
      </c>
      <c r="E40" s="90">
        <f t="shared" si="1"/>
        <v>0.05</v>
      </c>
      <c r="K40" s="12"/>
    </row>
    <row r="41" spans="2:11" x14ac:dyDescent="0.25">
      <c r="B41" s="2" t="str">
        <f>[1]Afgrødefordeling!$C10</f>
        <v>Frugt</v>
      </c>
      <c r="C41" s="328">
        <f>'[1]Afgrødefordeling - jordtype'!$Y12</f>
        <v>2.0301913757470973E-3</v>
      </c>
      <c r="D41" s="90">
        <v>5.0000000000000001E-3</v>
      </c>
      <c r="E41" s="90">
        <f t="shared" si="1"/>
        <v>5.0000000000000001E-3</v>
      </c>
      <c r="K41" s="12"/>
    </row>
    <row r="42" spans="2:11" x14ac:dyDescent="0.25">
      <c r="B42" s="2" t="str">
        <f>[1]Afgrødefordeling!$C11</f>
        <v>Øvrige</v>
      </c>
      <c r="C42" s="328">
        <f>'[1]Afgrødefordeling - jordtype'!$Y13</f>
        <v>2.7968670218625629E-2</v>
      </c>
      <c r="D42" s="90">
        <v>2.5000000000000001E-2</v>
      </c>
      <c r="E42" s="90">
        <f t="shared" si="1"/>
        <v>2.5000000000000001E-2</v>
      </c>
      <c r="K42" s="12"/>
    </row>
    <row r="43" spans="2:11" x14ac:dyDescent="0.25">
      <c r="B43" s="2" t="str">
        <f>[1]Afgrødefordeling!$C12</f>
        <v>Frø</v>
      </c>
      <c r="C43" s="328">
        <f>'[1]Afgrødefordeling - jordtype'!$Y14</f>
        <v>4.0395307311065158E-2</v>
      </c>
      <c r="D43" s="90">
        <f t="shared" si="1"/>
        <v>4.0395307311065158E-2</v>
      </c>
      <c r="E43" s="90">
        <f t="shared" si="1"/>
        <v>4.0395307311065158E-2</v>
      </c>
      <c r="K43" s="12"/>
    </row>
    <row r="44" spans="2:11" x14ac:dyDescent="0.25">
      <c r="B44" s="2" t="str">
        <f>[1]Afgrødefordeling!$C13</f>
        <v>Juletræer</v>
      </c>
      <c r="C44" s="328">
        <f>'[1]Afgrødefordeling - jordtype'!$Y15</f>
        <v>7.5869349743828522E-3</v>
      </c>
      <c r="D44" s="90">
        <v>0.01</v>
      </c>
      <c r="E44" s="90">
        <f t="shared" si="1"/>
        <v>0.01</v>
      </c>
      <c r="K44" s="12"/>
    </row>
    <row r="45" spans="2:11" x14ac:dyDescent="0.25">
      <c r="B45" s="2" t="str">
        <f>[1]Afgrødefordeling!$C14</f>
        <v>Pil &amp; poppel</v>
      </c>
      <c r="C45" s="328">
        <f>'[1]Afgrødefordeling - jordtype'!$Y16</f>
        <v>2.9175094799916215E-3</v>
      </c>
      <c r="D45" s="90">
        <v>5.0000000000000001E-3</v>
      </c>
      <c r="E45" s="90">
        <f t="shared" si="1"/>
        <v>5.0000000000000001E-3</v>
      </c>
      <c r="K45" s="12"/>
    </row>
    <row r="46" spans="2:11" x14ac:dyDescent="0.25">
      <c r="B46" s="2" t="str">
        <f>[1]Afgrødefordeling!$C15</f>
        <v>Permanent græs</v>
      </c>
      <c r="C46" s="328">
        <f>'[1]Afgrødefordeling - jordtype'!$Y17</f>
        <v>7.0772837129970206E-2</v>
      </c>
      <c r="D46" s="90">
        <v>0.13</v>
      </c>
      <c r="E46" s="90">
        <f t="shared" si="1"/>
        <v>0.13</v>
      </c>
      <c r="K46" s="12"/>
    </row>
    <row r="47" spans="2:11" x14ac:dyDescent="0.25">
      <c r="B47" s="25" t="s">
        <v>298</v>
      </c>
      <c r="C47" s="87"/>
      <c r="D47" s="89">
        <f>SUM(D33:D46)</f>
        <v>1.0003953073110652</v>
      </c>
      <c r="E47" s="89">
        <f>SUM(E33:E46)</f>
        <v>1.0003953073110652</v>
      </c>
      <c r="K47" s="12"/>
    </row>
    <row r="48" spans="2:11" x14ac:dyDescent="0.25">
      <c r="B48" s="25" t="s">
        <v>246</v>
      </c>
      <c r="C48" s="87"/>
      <c r="D48" s="115" cm="1">
        <f t="array" ref="D48">SUMPRODUCT((D33:D46&gt;$C$33:$C$46)*(D33:D46-$C$33:$C$46))*Arealanvendelse!M6</f>
        <v>361747.61269112217</v>
      </c>
      <c r="E48" s="115" cm="1">
        <f t="array" ref="E48">SUMPRODUCT((E33:E46&gt;$C$33:$C$46)*(E33:E46-$C$33:$C$46))*Arealanvendelse!P6</f>
        <v>317472.30426726147</v>
      </c>
      <c r="K48" s="12"/>
    </row>
    <row r="49" spans="2:8" x14ac:dyDescent="0.25">
      <c r="B49" s="25" t="s">
        <v>245</v>
      </c>
      <c r="C49" s="109"/>
      <c r="D49" s="115">
        <f>1%*Arealanvendelse!M6</f>
        <v>21496.36</v>
      </c>
      <c r="E49" s="115">
        <f>1%*Arealanvendelse!P6</f>
        <v>18865.36</v>
      </c>
    </row>
    <row r="50" spans="2:8" x14ac:dyDescent="0.25">
      <c r="B50" s="12"/>
      <c r="D50" s="118"/>
      <c r="E50" s="118"/>
      <c r="H50" s="118"/>
    </row>
    <row r="51" spans="2:8" ht="15" customHeight="1" x14ac:dyDescent="0.25">
      <c r="B51" s="2"/>
      <c r="C51" s="84">
        <f>År1</f>
        <v>2019</v>
      </c>
      <c r="D51" s="84">
        <f>År2</f>
        <v>2030</v>
      </c>
      <c r="E51" s="84">
        <f>År3</f>
        <v>2050</v>
      </c>
    </row>
    <row r="52" spans="2:8" ht="27.75" customHeight="1" x14ac:dyDescent="0.25">
      <c r="B52" s="112" t="s">
        <v>152</v>
      </c>
      <c r="C52" s="113">
        <f>786/121381</f>
        <v>6.475478040220463E-3</v>
      </c>
      <c r="D52" s="214">
        <f>C52</f>
        <v>6.475478040220463E-3</v>
      </c>
      <c r="E52" s="214">
        <f>D52</f>
        <v>6.475478040220463E-3</v>
      </c>
    </row>
  </sheetData>
  <mergeCells count="2">
    <mergeCell ref="B31:B32"/>
    <mergeCell ref="B21:B22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v>0.4</v>
      </c>
      <c r="E3" s="316">
        <f>D3</f>
        <v>0.4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v>1.0999999999999999E-2</v>
      </c>
      <c r="E4" s="316">
        <f t="shared" ref="E4:E17" si="0">D4</f>
        <v>1.0999999999999999E-2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v>5.0000000000000001E-3</v>
      </c>
      <c r="E6" s="316">
        <f t="shared" si="0"/>
        <v>5.0000000000000001E-3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v>0.01</v>
      </c>
      <c r="E7" s="316">
        <f t="shared" si="0"/>
        <v>0.01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v>0.113</v>
      </c>
      <c r="E8" s="316">
        <f t="shared" si="0"/>
        <v>0.113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v>1.6E-2</v>
      </c>
      <c r="E9" s="316">
        <f t="shared" si="0"/>
        <v>1.6E-2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v>0.154</v>
      </c>
      <c r="E12" s="316">
        <f t="shared" si="0"/>
        <v>0.154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v>1.0999999999999999E-2</v>
      </c>
      <c r="E13" s="316">
        <f t="shared" si="0"/>
        <v>1.0999999999999999E-2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data'!$H$430,2)</f>
        <v>0.05</v>
      </c>
      <c r="E14" s="119">
        <f>ROUND('[1]Processer - data'!J$469/'[1]Processer - data'!J$468*E15*'[1]Processer - data'!$H$429/'[1]Processer - data'!$H$430,2)</f>
        <v>0.05</v>
      </c>
      <c r="F14" s="1" t="s">
        <v>326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v>0.222</v>
      </c>
      <c r="E15" s="316">
        <f t="shared" si="0"/>
        <v>0.222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v>8.0000000000000002E-3</v>
      </c>
      <c r="E16" s="316">
        <f t="shared" si="0"/>
        <v>8.0000000000000002E-3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v>0</v>
      </c>
      <c r="E17" s="316">
        <f t="shared" si="0"/>
        <v>0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4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topLeftCell="A3" zoomScale="70" zoomScaleNormal="70" workbookViewId="0">
      <selection activeCell="D13" sqref="D13: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0.2</v>
      </c>
      <c r="D13" s="8">
        <v>0.2</v>
      </c>
    </row>
    <row r="14" spans="1:4" x14ac:dyDescent="0.25">
      <c r="A14" s="2" t="s">
        <v>179</v>
      </c>
      <c r="B14" s="7">
        <v>0</v>
      </c>
      <c r="C14" s="8">
        <v>0.2</v>
      </c>
      <c r="D14" s="8">
        <v>0.2</v>
      </c>
    </row>
    <row r="15" spans="1:4" x14ac:dyDescent="0.25">
      <c r="A15" s="2" t="s">
        <v>180</v>
      </c>
      <c r="B15" s="7">
        <v>0</v>
      </c>
      <c r="C15" s="8">
        <v>0.2</v>
      </c>
      <c r="D15" s="8">
        <v>0.2</v>
      </c>
    </row>
    <row r="16" spans="1:4" x14ac:dyDescent="0.25">
      <c r="A16" s="2" t="s">
        <v>181</v>
      </c>
      <c r="B16" s="7">
        <v>0</v>
      </c>
      <c r="C16" s="8">
        <v>0.2</v>
      </c>
      <c r="D16" s="8">
        <v>0.2</v>
      </c>
    </row>
    <row r="17" spans="1:13" x14ac:dyDescent="0.25">
      <c r="A17" s="2" t="s">
        <v>182</v>
      </c>
      <c r="B17" s="7">
        <v>0</v>
      </c>
      <c r="C17" s="8">
        <v>0.2</v>
      </c>
      <c r="D17" s="8">
        <v>0.2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45271.774864775209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27674.083090012056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5663.3817902841374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3708.3179447369521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4527.1774864775207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27674.083090012056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566.33817902841372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3708.3179447369521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45271.774864775209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5663.3817902841374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4527.1774864775207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566.33817902841372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45271.774864775209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27674.083090012056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5663.3817902841374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3708.3179447369521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4527.1774864775207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27674.083090012056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566.33817902841372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3708.3179447369521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45271.774864775209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5663.3817902841374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4527.1774864775207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566.33817902841372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45271.774864775209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27674.083090012056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5663.3817902841374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3708.3179447369521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4527.1774864775207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27674.083090012056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566.33817902841372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3708.3179447369521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45271.774864775209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5663.3817902841374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4527.1774864775207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566.33817902841372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45271.774864775209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27674.083090012056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5663.3817902841374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3708.3179447369521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4527.1774864775207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27674.083090012056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566.33817902841372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3708.3179447369521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45271.774864775209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5663.3817902841374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4527.1774864775207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566.33817902841372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45271.774864775209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27674.083090012056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5663.3817902841374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3708.3179447369521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4527.1774864775207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27674.083090012056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566.33817902841372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3708.3179447369521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45271.774864775209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5663.3817902841374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4527.1774864775207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566.33817902841372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4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5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49798.95235125273</v>
      </c>
      <c r="D49" s="109">
        <f t="shared" si="0"/>
        <v>105147.11853127684</v>
      </c>
      <c r="E49" s="109">
        <f t="shared" si="0"/>
        <v>0</v>
      </c>
      <c r="F49" s="109">
        <f t="shared" si="0"/>
        <v>6229.7199693125513</v>
      </c>
      <c r="G49" s="109">
        <f t="shared" si="0"/>
        <v>13646.355858786455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49798.95235125273</v>
      </c>
      <c r="D50" s="109">
        <f t="shared" si="0"/>
        <v>105147.11853127684</v>
      </c>
      <c r="E50" s="109">
        <f t="shared" si="0"/>
        <v>0</v>
      </c>
      <c r="F50" s="109">
        <f t="shared" si="0"/>
        <v>6229.7199693125513</v>
      </c>
      <c r="G50" s="109">
        <f t="shared" si="0"/>
        <v>13646.355858786455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49798.95235125273</v>
      </c>
      <c r="D51" s="109">
        <f t="shared" si="0"/>
        <v>105147.11853127684</v>
      </c>
      <c r="E51" s="109">
        <f t="shared" si="0"/>
        <v>0</v>
      </c>
      <c r="F51" s="109">
        <f t="shared" si="0"/>
        <v>6229.7199693125513</v>
      </c>
      <c r="G51" s="109">
        <f t="shared" si="0"/>
        <v>13646.355858786455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49798.95235125273</v>
      </c>
      <c r="D52" s="109">
        <f t="shared" si="0"/>
        <v>105147.11853127684</v>
      </c>
      <c r="E52" s="109">
        <f t="shared" si="0"/>
        <v>0</v>
      </c>
      <c r="F52" s="109">
        <f t="shared" si="0"/>
        <v>6229.7199693125513</v>
      </c>
      <c r="G52" s="109">
        <f t="shared" si="0"/>
        <v>13646.355858786455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49798.95235125273</v>
      </c>
      <c r="D53" s="109">
        <f t="shared" si="0"/>
        <v>105147.11853127684</v>
      </c>
      <c r="E53" s="109">
        <f t="shared" si="0"/>
        <v>0</v>
      </c>
      <c r="F53" s="109">
        <f t="shared" si="0"/>
        <v>6229.7199693125513</v>
      </c>
      <c r="G53" s="109">
        <f t="shared" si="0"/>
        <v>13646.355858786455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6" t="s">
        <v>328</v>
      </c>
      <c r="D2" s="346"/>
      <c r="E2" s="346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7" t="s">
        <v>330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7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8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8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312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>
        <v>0.2</v>
      </c>
      <c r="D5" s="3">
        <v>0.45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628934.09553717356</v>
      </c>
      <c r="J5" s="10">
        <f>SUMIFS('Resultat-Produktion &amp; forbrug'!$N$3:$N$1000,'Resultat-Produktion &amp; forbrug'!$A$3:$A$1000,Adfærd!$G5,'Resultat-Produktion &amp; forbrug'!$D$3:$D$1000,Adfærd!J$4)</f>
        <v>422496.48545524228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49.379000000000005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24.321000000000002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72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25">
      <c r="A27" s="2" t="s">
        <v>97</v>
      </c>
      <c r="B27" s="109">
        <v>26</v>
      </c>
      <c r="C27" s="115">
        <f>$B27*(1-SUM(C$5:C$8))</f>
        <v>20.8</v>
      </c>
      <c r="D27" s="115">
        <f>$B27*(1-SUM(D$5:D$8))</f>
        <v>14.3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A27" sqref="A27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2" t="s">
        <v>336</v>
      </c>
      <c r="G2" s="353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0.75</v>
      </c>
      <c r="D3" s="181">
        <v>0.9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0.76755461992062979</v>
      </c>
      <c r="AC3" s="126">
        <f>SUM(E12:E14)/SUM(E12:E15)</f>
        <v>0.68489092614376912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0.75</v>
      </c>
      <c r="D4" s="181">
        <v>0.9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0.75</v>
      </c>
      <c r="D5" s="181">
        <v>0.9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0.33516423110276655</v>
      </c>
      <c r="AC5" s="147">
        <f t="shared" si="0"/>
        <v>0.28035264351471745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0.75</v>
      </c>
      <c r="D6" s="181">
        <v>0.9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0.28805708758273207</v>
      </c>
      <c r="AC6" s="147">
        <f t="shared" si="0"/>
        <v>0.27772593225742964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0.75</v>
      </c>
      <c r="D7" s="181">
        <v>0.9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0.75</v>
      </c>
      <c r="D8" s="181">
        <v>0.9</v>
      </c>
      <c r="F8" s="177"/>
      <c r="G8" s="178"/>
      <c r="I8" s="159"/>
    </row>
    <row r="10" spans="1:29" ht="23.45" customHeight="1" x14ac:dyDescent="0.2">
      <c r="A10" s="129"/>
      <c r="B10" s="130"/>
      <c r="C10" s="350" t="s">
        <v>212</v>
      </c>
      <c r="D10" s="350"/>
      <c r="E10" s="350"/>
      <c r="F10" s="349" t="s">
        <v>337</v>
      </c>
      <c r="G10" s="349"/>
      <c r="J10" s="351" t="s">
        <v>213</v>
      </c>
      <c r="K10" s="351"/>
      <c r="L10" s="351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9708262.3203322031</v>
      </c>
      <c r="E12" s="133">
        <f>SUMIFS('Resultater - Danmark'!J$3:J$482,'Resultater - Danmark'!$F$3:$F$482,$A12)*D3</f>
        <v>7435570.144147574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3236087.4401107337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826174.46046084166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0.33516423110276655</v>
      </c>
      <c r="L12" s="134">
        <f t="shared" ref="L12:L28" si="3">E12/E$29</f>
        <v>0.28035264351471745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8343771.5304011973</v>
      </c>
      <c r="E13" s="136">
        <f>SUMIFS('Resultater - Danmark'!J$3:J$482,'Resultater - Danmark'!$F$3:$F$482,$A13)*D4</f>
        <v>7365903.9710124517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2781257.1768004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818433.77455693856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0.28805708758273207</v>
      </c>
      <c r="L13" s="137">
        <f t="shared" si="3"/>
        <v>0.27772593225742964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6782.1960455237531</v>
      </c>
      <c r="E14" s="136">
        <f>SUMIFS('Resultater - Danmark'!J$3:J$482,'Resultater - Danmark'!$F$3:$F$482,$A14)*D5</f>
        <v>8404.7671078658786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2.3414586954716824E-4</v>
      </c>
      <c r="L14" s="137">
        <f t="shared" si="3"/>
        <v>3.1689549437851152E-4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5468911.5938238045</v>
      </c>
      <c r="E15" s="136">
        <f>SUMIFS('Resultater - Danmark'!J$3:J$482,'Resultater - Danmark'!$F$3:$F$482,$A15)*D6</f>
        <v>6813825.4434031872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1822970.5312746018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757091.71593368705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0.18880655351412456</v>
      </c>
      <c r="L15" s="137">
        <f t="shared" si="3"/>
        <v>0.25691022187578627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1732260.3299588535</v>
      </c>
      <c r="E16" s="136">
        <f>SUMIFS('Resultater - Danmark'!J$3:J$482,'Resultater - Danmark'!$F$3:$F$482,$A16)*D7</f>
        <v>1509462.0061989201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577420.10998628428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167718.00068876892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5.9803874514653292E-2</v>
      </c>
      <c r="L16" s="137">
        <f t="shared" si="3"/>
        <v>5.6913142572661495E-2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2024782.3534998517</v>
      </c>
      <c r="E17" s="136">
        <f>SUMIFS('Resultater - Danmark'!J$3:J$482,'Resultater - Danmark'!$F$3:$F$482,$A17)*D8</f>
        <v>1705275.170750411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674927.45116661722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189475.01897226786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6.9902789837059734E-2</v>
      </c>
      <c r="L17" s="137">
        <f t="shared" si="3"/>
        <v>6.4296132343822657E-2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1.2566420258829277E-2</v>
      </c>
      <c r="L18" s="137">
        <f t="shared" si="3"/>
        <v>1.394216683471639E-2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-83024.745280253002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-164805.50168615801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2.5063033784699713E-2</v>
      </c>
      <c r="L19" s="137">
        <f t="shared" si="3"/>
        <v>2.726138394448184E-2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/>
      <c r="E20" s="252"/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1533965.0585556477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1482696.8239816672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0</v>
      </c>
      <c r="L20" s="137">
        <f t="shared" si="3"/>
        <v>0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736833.87579610513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1194602.6584375831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1.3070637536210015E-4</v>
      </c>
      <c r="L21" s="137">
        <f t="shared" si="3"/>
        <v>1.4274831489312817E-4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514637.88978790119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1875918.198391478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2.9578790601951016E-3</v>
      </c>
      <c r="L22" s="137">
        <f t="shared" si="3"/>
        <v>3.2303875792653305E-3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52304.337322307751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611948.68599171285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1.1393687859284855E-2</v>
      </c>
      <c r="L23" s="137">
        <f t="shared" si="3"/>
        <v>1.244338493685143E-2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995547.37754959613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963691.16404600278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9.889287169168935E-4</v>
      </c>
      <c r="L24" s="137">
        <f t="shared" si="3"/>
        <v>1.0800384258092066E-3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2.6928413307564213E-6</v>
      </c>
      <c r="L25" s="137">
        <f t="shared" si="3"/>
        <v>2.9409320025525614E-6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4.9279686824978599E-3</v>
      </c>
      <c r="L26" s="137">
        <f t="shared" si="3"/>
        <v>5.381980973184073E-3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28965687.324061435</v>
      </c>
      <c r="E29" s="145">
        <f>SUM(E12:E28)</f>
        <v>26522204.50262041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9.3889805802750623E-2</v>
      </c>
      <c r="E30" s="149">
        <f>SUMPRODUCT(E12:E28,$H$12:$H$28)/E29</f>
        <v>9.547888074561954E-2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1.5471202011758951E-2</v>
      </c>
      <c r="E31" s="149">
        <f>SUM(E21:E24)/E29</f>
        <v>1.6896559256819096E-2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655604736.19910157</v>
      </c>
      <c r="E32" s="125">
        <f>SUMPRODUCT(E12:E28,$I$12:$I$28)</f>
        <v>615084261.63303578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23.53621002954775</v>
      </c>
      <c r="E33" s="125">
        <f>E32*[1]Energiindhold!$C$10</f>
        <v>22.081524992625987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8479593.6614331026</v>
      </c>
      <c r="E39" s="133">
        <f>SUMIFS('Resultater - Vestdanmark'!J$3:J$482,'Resultater - Vestdanmark'!$F$3:$F$482,$A39)*D3</f>
        <v>6494531.2954108026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1228668.658899101</v>
      </c>
      <c r="M39" s="133">
        <f>SUMIFS('Resultater - Østdanmark'!J$3:J$482,'Resultater - Østdanmark'!$F$3:$F$482,$A39)*D3</f>
        <v>941038.84873677138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7790098.0268014707</v>
      </c>
      <c r="E40" s="136">
        <f>SUMIFS('Resultater - Vestdanmark'!J$3:J$482,'Resultater - Vestdanmark'!$F$3:$F$482,$A40)*D4</f>
        <v>6877119.5113769062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553673.50359972543</v>
      </c>
      <c r="M40" s="136">
        <f>SUMIFS('Resultater - Østdanmark'!J$3:J$482,'Resultater - Østdanmark'!$F$3:$F$482,$A40)*D4</f>
        <v>488784.45963554498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6257.0446016591122</v>
      </c>
      <c r="E41" s="136">
        <f>SUMIFS('Resultater - Vestdanmark'!J$3:J$482,'Resultater - Vestdanmark'!$F$3:$F$482,$A41)*D5</f>
        <v>7753.9785502341792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525.15144386464101</v>
      </c>
      <c r="M41" s="136">
        <f>SUMIFS('Resultater - Østdanmark'!J$3:J$482,'Resultater - Østdanmark'!$F$3:$F$482,$A41)*D5</f>
        <v>650.78855763169781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2962169.1298708953</v>
      </c>
      <c r="E42" s="136">
        <f>SUMIFS('Resultater - Vestdanmark'!J$3:J$482,'Resultater - Vestdanmark'!$F$3:$F$482,$A42)*D6</f>
        <v>3666629.6803214513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2506742.4639529102</v>
      </c>
      <c r="M42" s="136">
        <f>SUMIFS('Resultater - Østdanmark'!J$3:J$482,'Resultater - Østdanmark'!$F$3:$F$482,$A42)*D6</f>
        <v>3147195.7630817359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1527973.1246412985</v>
      </c>
      <c r="E43" s="136">
        <f>SUMIFS('Resultater - Vestdanmark'!J$3:J$482,'Resultater - Vestdanmark'!$F$3:$F$482,$A43)*D7</f>
        <v>1333086.883487992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204287.20531755476</v>
      </c>
      <c r="M43" s="136">
        <f>SUMIFS('Resultater - Østdanmark'!J$3:J$482,'Resultater - Østdanmark'!$F$3:$F$482,$A43)*D7</f>
        <v>176375.12271092835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1805513.3877954697</v>
      </c>
      <c r="E44" s="136">
        <f>SUMIFS('Resultater - Vestdanmark'!J$3:J$482,'Resultater - Vestdanmark'!$F$3:$F$482,$A44)*D8</f>
        <v>1523855.7302028288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219268.96570438196</v>
      </c>
      <c r="M44" s="136">
        <f>SUMIFS('Resultater - Østdanmark'!J$3:J$482,'Resultater - Østdanmark'!$F$3:$F$482,$A44)*D8</f>
        <v>181419.44054758229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506863.86710295174</v>
      </c>
      <c r="E46" s="136">
        <f>SUMIFS('Resultater - Vestdanmark'!J$3:J$482,'Resultater - Vestdanmark'!$F$3:$F$482,$A46)/SUMIFS('Resultater - Danmark'!J$3:J$482,'Resultater - Danmark'!$F$3:$F$482,$A46)*E19</f>
        <v>482490.34921714256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219104.13289704846</v>
      </c>
      <c r="M46" s="136">
        <f>SUMIFS('Resultater - Østdanmark'!J$3:J$482,'Resultater - Østdanmark'!$F$3:$F$482,$A46)/SUMIFS('Resultater - Danmark'!J$3:J$482,'Resultater - Danmark'!$F$3:$F$482,$A46)*E19</f>
        <v>240541.65078285753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0</v>
      </c>
      <c r="E47" s="136">
        <f>SUMIFS('Resultater - Vestdanmark'!J$3:J$482,'Resultater - Vestdanmark'!$F$3:$F$482,$A47)/SUMIFS('Resultater - Danmark'!J$3:J$482,'Resultater - Danmark'!$F$3:$F$482,$A47)*E20</f>
        <v>0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0</v>
      </c>
      <c r="M47" s="136">
        <f>SUMIFS('Resultater - Østdanmark'!J$3:J$482,'Resultater - Østdanmark'!$F$3:$F$482,$A47)/SUMIFS('Resultater - Danmark'!J$3:J$482,'Resultater - Danmark'!$F$3:$F$482,$A47)*E20</f>
        <v>0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2871.1113857879218</v>
      </c>
      <c r="E48" s="136">
        <f>SUMIFS('Resultater - Vestdanmark'!J$3:J$482,'Resultater - Vestdanmark'!$F$3:$F$482,$A48)/SUMIFS('Resultater - Danmark'!J$3:J$482,'Resultater - Danmark'!$F$3:$F$482,$A48)*E21</f>
        <v>2778.0605350782976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914.88861421207764</v>
      </c>
      <c r="M48" s="136">
        <f>SUMIFS('Resultater - Østdanmark'!J$3:J$482,'Resultater - Østdanmark'!$F$3:$F$482,$A48)/SUMIFS('Resultater - Danmark'!J$3:J$482,'Resultater - Danmark'!$F$3:$F$482,$A48)*E21</f>
        <v>1007.9394649217019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66046.573899106617</v>
      </c>
      <c r="E49" s="136">
        <f>SUMIFS('Resultater - Vestdanmark'!J$3:J$482,'Resultater - Vestdanmark'!$F$3:$F$482,$A49)/SUMIFS('Resultater - Danmark'!J$3:J$482,'Resultater - Danmark'!$F$3:$F$482,$A49)*E22</f>
        <v>62867.4837195117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19630.42610089339</v>
      </c>
      <c r="M49" s="136">
        <f>SUMIFS('Resultater - Østdanmark'!J$3:J$482,'Resultater - Østdanmark'!$F$3:$F$482,$A49)/SUMIFS('Resultater - Danmark'!J$3:J$482,'Resultater - Danmark'!$F$3:$F$482,$A49)*E22</f>
        <v>22809.516280488293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252542.91678668751</v>
      </c>
      <c r="E50" s="136">
        <f>SUMIFS('Resultater - Vestdanmark'!J$3:J$482,'Resultater - Vestdanmark'!$F$3:$F$482,$A50)/SUMIFS('Resultater - Danmark'!J$3:J$482,'Resultater - Danmark'!$F$3:$F$482,$A50)*E23</f>
        <v>242163.91618130018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77483.083213312464</v>
      </c>
      <c r="M50" s="136">
        <f>SUMIFS('Resultater - Østdanmark'!J$3:J$482,'Resultater - Østdanmark'!$F$3:$F$482,$A50)/SUMIFS('Resultater - Danmark'!J$3:J$482,'Resultater - Danmark'!$F$3:$F$482,$A50)*E23</f>
        <v>87862.083818699844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21522.666740773606</v>
      </c>
      <c r="E51" s="136">
        <f>SUMIFS('Resultater - Vestdanmark'!J$3:J$482,'Resultater - Vestdanmark'!$F$3:$F$482,$A51)/SUMIFS('Resultater - Danmark'!J$3:J$482,'Resultater - Danmark'!$F$3:$F$482,$A51)*E24</f>
        <v>21018.886390792875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7122.3332592263878</v>
      </c>
      <c r="M51" s="136">
        <f>SUMIFS('Resultater - Østdanmark'!J$3:J$482,'Resultater - Østdanmark'!$F$3:$F$482,$A51)/SUMIFS('Resultater - Danmark'!J$3:J$482,'Resultater - Danmark'!$F$3:$F$482,$A51)*E24</f>
        <v>7626.113609207122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23730769.156099614</v>
      </c>
      <c r="E56" s="145">
        <f ca="1">SUM(E39:E55)</f>
        <v>21026015.26585516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5234918.1679618275</v>
      </c>
      <c r="M56" s="145">
        <f ca="1">SUM(M39:M55)</f>
        <v>5496189.2367652562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9.2685424263223598E-2</v>
      </c>
      <c r="E57" s="149">
        <f ca="1">SUMPRODUCT(E39:E55,$F$39:$F$55)/E56</f>
        <v>9.4597598149373449E-2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9.9349470953831856E-2</v>
      </c>
      <c r="M57" s="149">
        <f ca="1">SUMPRODUCT(M39:M55,$N$39:$N$55)/M56</f>
        <v>9.8850282370267467E-2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1.4453103755560207E-2</v>
      </c>
      <c r="E58" s="149">
        <f ca="1">SUM(E48:E51)/E56</f>
        <v>1.5639118618955738E-2</v>
      </c>
      <c r="I58" s="148" t="s">
        <v>161</v>
      </c>
      <c r="K58" s="149">
        <f ca="1">SUM(K48:K51)/K56</f>
        <v>1.8896340963997331E-2</v>
      </c>
      <c r="L58" s="149">
        <f ca="1">SUM(L48:L51)/L56</f>
        <v>2.0086413543420088E-2</v>
      </c>
      <c r="M58" s="149">
        <f ca="1">SUM(M48:M51)/M56</f>
        <v>2.1706976967833348E-2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522499842.39083052</v>
      </c>
      <c r="E59" s="125">
        <f ca="1">SUMPRODUCT(E39:E55,$I$12:$I$28)</f>
        <v>475947568.56876361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133104893.80827114</v>
      </c>
      <c r="M59" s="125">
        <f ca="1">SUMPRODUCT(M39:M55,$I$12:$I$28)</f>
        <v>139136693.06427222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18.757744341830819</v>
      </c>
      <c r="E60" s="125">
        <f ca="1">E59*[1]Energiindhold!$C$10</f>
        <v>17.086517711618615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4.7784656877169347</v>
      </c>
      <c r="M60" s="125">
        <f ca="1">M59*[1]Energiindhold!$C$10</f>
        <v>4.9950072810073731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6" sqref="E6"/>
    </sheetView>
  </sheetViews>
  <sheetFormatPr defaultColWidth="9.140625" defaultRowHeight="15" x14ac:dyDescent="0.25"/>
  <cols>
    <col min="1" max="1" width="20" style="1" customWidth="1"/>
    <col min="2" max="2" width="9.140625" style="1"/>
    <col min="3" max="3" width="13.7109375" style="1" bestFit="1" customWidth="1"/>
    <col min="4" max="4" width="14.85546875" style="1" bestFit="1" customWidth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319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378"/>
      <c r="D4" s="378"/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338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14" sqref="A14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561138.95623976586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126256.2651539473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102783.28929098426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140284.73905994146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114203.65476776029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140284.73905994146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114203.65476776029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14028.473905994144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11420.365476776029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35071.184764985366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28550.913691940073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14028.473905994144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11420.365476776029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70142.369529970732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7014.236952997072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5710.1827383880145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35071.184764985366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28550.913691940073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14028.473905994144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11420.365476776029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7014.236952997072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5710.1827383880145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182370.16077792388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148464.75119808837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17988.68709801232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0.43582889538516162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1542.0658644465243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3.7361084700125495E-2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1651.2179103063932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4.0005614304589723E-2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15238.021720870902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0.36918592992793164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71.268800751408534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1.7266964808312041E-3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1125.1496418632635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2.7260061998102159E-2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29.518660249897398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7.1517643393687155E-4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3810.4154462517859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9.2318530299077425E-2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64.91370276951497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1.5727255257291396E-3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1148.0573462747577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2.7815068567234969E-2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2833.7440917610315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6.8655791864482674E-2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325.57753513414758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7.888074139408327E-3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534.71836671684468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1.2955126399086169E-2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15113.849399235503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0.36617748993000948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0.29674680641973877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0.28302441074714974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1.7086450333499009E-2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1.6296325462585758E-2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2.2126179468366147E-2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2.1103003539193144E-2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0.51029954485989426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0.48670187804556381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5.9312754358377721E-4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5.6569968029666602E-4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3.1394414813143305E-2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2.9942649966292749E-2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3.3950117003646611E-4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3.2380169396541565E-4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4.2220294070089238E-2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4.0267910529275863E-2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1.2099053290264164E-3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1.1539559496494725E-3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2.1398266344745977E-2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2.040875113805252E-2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6.8082129291564208E-2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6.4933822734728863E-2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6.0683334637179846E-3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5.7877168873610831E-3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1.4324445842879414E-2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1.3662043722977473E-2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0.52979341323357754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0.50529429585861441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87576.600106784259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19704.73502402646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21802.515910208782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21894.150026696065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24225.017678009757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21894.150026696065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24225.017678009757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2189.4150026696066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2422.5017678009758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5473.5375066740162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6056.2544195024393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2189.4150026696066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2422.5017678009758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10947.075013348032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1094.7075013348033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1211.2508839004879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5473.5375066740162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6056.2544195024393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2189.4150026696066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2422.5017678009758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1094.7075013348033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1211.2508839004879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28462.395034704889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31492.522981412687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2807.4829574932523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9.2448553566549435E-2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240.66923895986218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7.9250785727538933E-3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257.704529354177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8.4860393979432746E-3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2378.1883610607765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7.8312166954409748E-2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11.122876417849888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3.6626895047934632E-4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175.60138919253245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5.7824373935368217E-3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4.6069585361111542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1.5170409204721518E-4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594.6891158890071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1.9582718548289149E-2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10.131040316629504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3.3360844485163561E-4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179.17658005444198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5.9001660597165087E-3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442.26063859854253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1.4563349789435716E-2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50.812678893768705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1.6732278477532812E-3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83.453155499160744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2.7480571149576727E-3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2358.8088657766393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7.7674013015456553E-2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4.6313085394988143E-2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6.0035481067577209E-2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2.6666714393322154E-3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3.4567963102454641E-3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3.4532187609588785E-3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4.4763946901318786E-3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7.9642125498364996E-2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0.10323979231269535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9.2569038593999904E-5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1.1999690188111097E-4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4.8997063581206323E-3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6.3514712049711885E-3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5.2985731739795291E-5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6.8685207810845745E-5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6.5892944502451414E-3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8.5416779910585158E-3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1.8882915539718639E-4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2.4477853477413049E-4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3.3396138225904128E-3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4.329129029283868E-3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1.0625534629319271E-2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1.3773841186154611E-2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9.4708094520454093E-4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1.2276975215614421E-3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2.2356071546690416E-3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2.8980092745709792E-3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8.2684521140500539E-2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0.10718363851546366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182635.09976023421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41092.897446052695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37292.008709015725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45658.774940058553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41435.5652322397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45658.774940058553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41435.5652322397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4565.8774940058547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4143.5565232239696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11414.693735014638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10358.891308059925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4565.8774940058547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4143.5565232239696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22829.387470029276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2282.9387470029274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2071.7782616119848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11414.693735014638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10358.891308059925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4565.8774940058547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4143.5565232239696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2282.9387470029274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2071.7782616119848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59356.407422076118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53866.234801911611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2543.5266161074505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6.1624419250252083E-2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68.781025480452769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1.6664228020370887E-3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277.81730642917057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6.7309420148972078E-3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816.89928733229783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1.9791789812224642E-2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15.471187824817051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3.7483506513290803E-4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26.302435262527187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6.37253916533074E-4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73.48347036613049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1.7803533712322671E-3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78.344719162303662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1.8981314326050301E-3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16.900566419398675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4.094659690212412E-4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120.67824120695344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2.9237856145973122E-3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876.11830838913772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2.1226544910947009E-2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26.483091404220694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6.4163084333437122E-4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56.207011126951372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1.3617802921958929E-3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1628.961148843877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3.9466378744780817E-2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4.5754933628917617E-2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4.3639098547811596E-2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8.3106047603679744E-4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7.9262993379232123E-4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4.0595359645178462E-3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3.8718117580661539E-3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2.9831848636857054E-2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2.8452341185441699E-2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1.4040654632499296E-4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1.3391375805562911E-4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8.0030056464171814E-4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7.6329244604556935E-4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9.2161460426674424E-4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8.7899658788446707E-4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9.466157148310761E-4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9.0284157772906114E-4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3.4350362462884858E-4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3.2761906395237006E-4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2.452782483126852E-3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2.3393590156990207E-3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2.2953573895167008E-2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2.1892136952037899E-2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5.3826822503920445E-4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5.1337720885242047E-4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1.6419437573988649E-3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1.56601572237464E-3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5.7100799688875818E-2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5.4460300281297752E-2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28503.743893215742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6413.3423759735424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7910.4260897912154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7125.9359733039355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8789.3623219902383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7125.9359733039355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8789.3623219902383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712.59359733039355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878.93623219902383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1781.4839933259839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2197.3405804975596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712.59359733039355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878.93623219902383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3562.9679866519677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356.29679866519677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439.46811609951192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1781.4839933259839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2197.3405804975596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712.59359733039355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878.93623219902383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356.29679866519677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439.46811609951192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9263.7167652951175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11426.171018587311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396.96658170463104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1.3071846507629228E-2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10.734610913134247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3.5348362467453397E-4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43.358770367558421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1.4277755789175895E-3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127.4929523582199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4.1982584450173483E-3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2.4145784466477478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7.9510468361525957E-5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4.1050043473308326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1.351750732039854E-4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11.468518496448112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3.7765071510987484E-4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12.227210505099418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4.0263394024955173E-4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2.6376606550506607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8.6856417671172357E-5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18.834176373339556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6.2019694855094509E-4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136.73522732084808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4.5026004356554256E-3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4.1331992364968713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1.3610351222244238E-4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8.7721924880213127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2.8886248622337122E-4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254.23093074442014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8.3716560973777481E-3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7.1409433987328075E-3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9.2567784798388234E-3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1.2970308007510711E-4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1.6813362231958326E-4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6.3356919677446158E-4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8.2129340322615392E-4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4.6558376485268237E-3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6.0353450999421779E-3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2.1913160409102947E-5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2.8405948678466784E-5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1.2490240026200229E-4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1.6191051885815108E-4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1.4383580529018554E-4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1.8645382167246271E-4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1.4773771271930092E-4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1.9151184982131597E-4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5.36103922831151E-5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6.9494952959593638E-5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3.8280420256893069E-4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4.9622766999676197E-4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3.5823496830607472E-3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4.6437866261898574E-3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8.4007179630396072E-5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1.0889819581718008E-4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2.5625711820675929E-4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3.3218515323098425E-4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8.9116855005759964E-3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1.1552184908154068E-2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7560938.5185532495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1095558.1789091683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495893.73144674982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71853.571090831669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658308.32592480641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46788.612416641459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177170.07407519361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12592.187583358535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45271.774864775209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27674.083090012056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4527.1774864775207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27674.083090012056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45271.774864775209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4527.1774864775207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45271.774864775209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27674.083090012056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4527.1774864775207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27674.083090012056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45271.774864775209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4527.1774864775207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45271.774864775209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27674.083090012056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4527.1774864775207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27674.083090012056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45271.774864775209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4527.1774864775207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45271.774864775209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27674.083090012056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4527.1774864775207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27674.083090012056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45271.774864775209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4527.1774864775207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45271.774864775209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27674.083090012056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4527.1774864775207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27674.083090012056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45271.774864775209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4527.1774864775207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5663.3817902841374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3708.3179447369521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566.33817902841372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3708.3179447369521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5663.3817902841374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566.33817902841372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5663.3817902841374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3708.3179447369521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566.33817902841372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3708.3179447369521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5663.3817902841374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566.33817902841372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5663.3817902841374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3708.3179447369521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566.33817902841372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3708.3179447369521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5663.3817902841374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566.33817902841372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5663.3817902841374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3708.3179447369521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566.33817902841372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3708.3179447369521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5663.3817902841374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566.33817902841372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5663.3817902841374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3708.3179447369521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566.33817902841372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3708.3179447369521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5663.3817902841374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566.33817902841372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 filterMode="1">
    <tabColor rgb="FFFF0000"/>
  </sheetPr>
  <dimension ref="A1:R415"/>
  <sheetViews>
    <sheetView workbookViewId="0">
      <selection activeCell="E369" sqref="E351:E36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hidden="1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hidden="1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hidden="1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hidden="1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hidden="1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hidden="1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hidden="1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hidden="1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hidden="1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hidden="1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hidden="1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hidden="1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hidden="1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hidden="1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hidden="1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hidden="1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hidden="1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hidden="1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hidden="1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hidden="1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hidden="1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hidden="1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hidden="1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hidden="1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hidden="1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hidden="1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hidden="1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hidden="1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hidden="1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hidden="1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hidden="1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hidden="1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69644.90056848996</v>
      </c>
    </row>
    <row r="34" spans="1:5" hidden="1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34302.712220301015</v>
      </c>
    </row>
    <row r="35" spans="1:5" hidden="1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101549.90665933446</v>
      </c>
    </row>
    <row r="36" spans="1:5" hidden="1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hidden="1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hidden="1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hidden="1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hidden="1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20168.939794840036</v>
      </c>
    </row>
    <row r="41" spans="1:5" hidden="1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hidden="1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hidden="1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hidden="1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hidden="1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hidden="1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hidden="1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hidden="1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hidden="1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hidden="1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hidden="1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hidden="1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hidden="1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hidden="1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hidden="1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hidden="1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hidden="1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hidden="1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hidden="1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hidden="1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hidden="1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hidden="1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hidden="1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hidden="1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hidden="1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hidden="1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hidden="1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hidden="1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hidden="1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hidden="1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hidden="1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hidden="1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hidden="1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hidden="1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hidden="1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60760.863656275607</v>
      </c>
    </row>
    <row r="76" spans="1:5" hidden="1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29926.992547120819</v>
      </c>
    </row>
    <row r="77" spans="1:5" hidden="1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88596.006060305852</v>
      </c>
    </row>
    <row r="78" spans="1:5" hidden="1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hidden="1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hidden="1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hidden="1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hidden="1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17596.15120364408</v>
      </c>
    </row>
    <row r="83" spans="1:5" hidden="1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hidden="1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hidden="1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hidden="1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hidden="1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hidden="1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hidden="1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hidden="1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hidden="1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hidden="1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hidden="1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hidden="1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hidden="1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hidden="1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hidden="1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hidden="1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hidden="1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hidden="1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hidden="1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hidden="1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8479593.6614331026</v>
      </c>
    </row>
    <row r="104" spans="1:5" hidden="1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7790098.0268014707</v>
      </c>
    </row>
    <row r="105" spans="1:5" hidden="1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hidden="1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2962169.1298708953</v>
      </c>
    </row>
    <row r="107" spans="1:5" hidden="1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hidden="1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506863.86710295174</v>
      </c>
    </row>
    <row r="109" spans="1:5" hidden="1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1527973.1246412985</v>
      </c>
    </row>
    <row r="110" spans="1:5" hidden="1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1805513.3877954697</v>
      </c>
    </row>
    <row r="111" spans="1:5" hidden="1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hidden="1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2871.1113857879218</v>
      </c>
    </row>
    <row r="113" spans="1:5" hidden="1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66046.573899106617</v>
      </c>
    </row>
    <row r="114" spans="1:5" hidden="1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252542.91678668751</v>
      </c>
    </row>
    <row r="115" spans="1:5" hidden="1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21522.666740773606</v>
      </c>
    </row>
    <row r="116" spans="1:5" hidden="1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hidden="1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hidden="1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hidden="1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hidden="1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6494531.2954108026</v>
      </c>
    </row>
    <row r="121" spans="1:5" hidden="1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6877119.5113769062</v>
      </c>
    </row>
    <row r="122" spans="1:5" hidden="1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hidden="1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3666629.6803214513</v>
      </c>
    </row>
    <row r="124" spans="1:5" hidden="1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hidden="1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482490.34921714256</v>
      </c>
    </row>
    <row r="126" spans="1:5" hidden="1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1333086.883487992</v>
      </c>
    </row>
    <row r="127" spans="1:5" hidden="1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1523855.7302028288</v>
      </c>
    </row>
    <row r="128" spans="1:5" hidden="1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hidden="1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2778.0605350782976</v>
      </c>
    </row>
    <row r="130" spans="1:5" hidden="1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62867.4837195117</v>
      </c>
    </row>
    <row r="131" spans="1:5" hidden="1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242163.91618130018</v>
      </c>
    </row>
    <row r="132" spans="1:5" hidden="1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21018.886390792875</v>
      </c>
    </row>
    <row r="133" spans="1:5" hidden="1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hidden="1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hidden="1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hidden="1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hidden="1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hidden="1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hidden="1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hidden="1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hidden="1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hidden="1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hidden="1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hidden="1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hidden="1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hidden="1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hidden="1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hidden="1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hidden="1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hidden="1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hidden="1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hidden="1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hidden="1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1228668.658899101</v>
      </c>
    </row>
    <row r="155" spans="1:5" hidden="1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553673.50359972543</v>
      </c>
    </row>
    <row r="156" spans="1:5" hidden="1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hidden="1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2506742.4639529102</v>
      </c>
    </row>
    <row r="158" spans="1:5" hidden="1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hidden="1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219104.13289704846</v>
      </c>
    </row>
    <row r="160" spans="1:5" hidden="1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204287.20531755476</v>
      </c>
    </row>
    <row r="161" spans="1:5" hidden="1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219268.96570438196</v>
      </c>
    </row>
    <row r="162" spans="1:5" hidden="1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hidden="1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914.88861421207764</v>
      </c>
    </row>
    <row r="164" spans="1:5" hidden="1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19630.42610089339</v>
      </c>
    </row>
    <row r="165" spans="1:5" hidden="1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77483.083213312464</v>
      </c>
    </row>
    <row r="166" spans="1:5" hidden="1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7122.3332592263878</v>
      </c>
    </row>
    <row r="167" spans="1:5" hidden="1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hidden="1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hidden="1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hidden="1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hidden="1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941038.84873677138</v>
      </c>
    </row>
    <row r="172" spans="1:5" hidden="1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488784.45963554498</v>
      </c>
    </row>
    <row r="173" spans="1:5" hidden="1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hidden="1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3147195.7630817359</v>
      </c>
    </row>
    <row r="175" spans="1:5" hidden="1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hidden="1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240541.65078285753</v>
      </c>
    </row>
    <row r="177" spans="1:18" hidden="1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176375.12271092835</v>
      </c>
    </row>
    <row r="178" spans="1:18" hidden="1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181419.44054758229</v>
      </c>
    </row>
    <row r="179" spans="1:18" hidden="1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hidden="1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1007.9394649217019</v>
      </c>
    </row>
    <row r="181" spans="1:18" hidden="1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22809.516280488293</v>
      </c>
    </row>
    <row r="182" spans="1:18" hidden="1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87862.083818699844</v>
      </c>
    </row>
    <row r="183" spans="1:18" hidden="1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7626.113609207122</v>
      </c>
    </row>
    <row r="184" spans="1:18" hidden="1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hidden="1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hidden="1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hidden="1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hidden="1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hidden="1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hidden="1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hidden="1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hidden="1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hidden="1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hidden="1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hidden="1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hidden="1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hidden="1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hidden="1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hidden="1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hidden="1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hidden="1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hidden="1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hidden="1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4534717.2198337205</v>
      </c>
      <c r="G203" s="319"/>
    </row>
    <row r="204" spans="1:7" hidden="1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590528.53760249668</v>
      </c>
      <c r="G204" s="319"/>
    </row>
    <row r="205" spans="1:7" hidden="1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hidden="1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47085.713440742315</v>
      </c>
      <c r="G206" s="319"/>
    </row>
    <row r="207" spans="1:7" hidden="1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669901.28667965194</v>
      </c>
      <c r="G207" s="319"/>
    </row>
    <row r="208" spans="1:7" hidden="1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4351481.2300827308</v>
      </c>
      <c r="G208" s="319"/>
    </row>
    <row r="209" spans="1:7" hidden="1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161875.86352463221</v>
      </c>
      <c r="G209" s="319"/>
    </row>
    <row r="210" spans="1:7" hidden="1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hidden="1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hidden="1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9446613.3985518552</v>
      </c>
      <c r="G212" s="319"/>
    </row>
    <row r="213" spans="1:7" hidden="1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1164894.7731358123</v>
      </c>
      <c r="G213" s="319"/>
    </row>
    <row r="214" spans="1:7" hidden="1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1648659.4341996606</v>
      </c>
      <c r="G214" s="319"/>
    </row>
    <row r="215" spans="1:7" hidden="1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823571.93327261996</v>
      </c>
      <c r="G215" s="319"/>
    </row>
    <row r="216" spans="1:7" hidden="1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29678.267865680002</v>
      </c>
      <c r="G216" s="319"/>
    </row>
    <row r="217" spans="1:7" hidden="1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0</v>
      </c>
      <c r="G217" s="319"/>
    </row>
    <row r="218" spans="1:7" hidden="1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3189422.8658191925</v>
      </c>
    </row>
    <row r="219" spans="1:7" hidden="1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415339.06734260131</v>
      </c>
    </row>
    <row r="220" spans="1:7" hidden="1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hidden="1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33117.004615961538</v>
      </c>
    </row>
    <row r="222" spans="1:7" hidden="1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471164.6565816346</v>
      </c>
    </row>
    <row r="223" spans="1:7" hidden="1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3060546.68077358</v>
      </c>
    </row>
    <row r="224" spans="1:7" hidden="1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113852.8723007386</v>
      </c>
    </row>
    <row r="225" spans="1:5" hidden="1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hidden="1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hidden="1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6644128.6892416244</v>
      </c>
    </row>
    <row r="228" spans="1:5" hidden="1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819310.63076273911</v>
      </c>
    </row>
    <row r="229" spans="1:5" hidden="1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1159558.9851527149</v>
      </c>
    </row>
    <row r="230" spans="1:5" hidden="1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579246.51710100006</v>
      </c>
    </row>
    <row r="231" spans="1:5" hidden="1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20873.748363999999</v>
      </c>
    </row>
    <row r="232" spans="1:5" hidden="1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0</v>
      </c>
    </row>
    <row r="233" spans="1:5" hidden="1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hidden="1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hidden="1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hidden="1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hidden="1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hidden="1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hidden="1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hidden="1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hidden="1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hidden="1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hidden="1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hidden="1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hidden="1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hidden="1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hidden="1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hidden="1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550714.69493164914</v>
      </c>
    </row>
    <row r="249" spans="1:5" hidden="1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71716.212427048929</v>
      </c>
    </row>
    <row r="250" spans="1:5" hidden="1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hidden="1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5718.282542457694</v>
      </c>
    </row>
    <row r="252" spans="1:5" hidden="1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81355.565263148092</v>
      </c>
    </row>
    <row r="253" spans="1:5" hidden="1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528461.76331446774</v>
      </c>
    </row>
    <row r="254" spans="1:5" hidden="1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19658.870107237683</v>
      </c>
    </row>
    <row r="255" spans="1:5" hidden="1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hidden="1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hidden="1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1147235.5526749862</v>
      </c>
    </row>
    <row r="258" spans="1:5" hidden="1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141469.60847064349</v>
      </c>
    </row>
    <row r="259" spans="1:5" hidden="1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200219.97697680999</v>
      </c>
    </row>
    <row r="260" spans="1:5" hidden="1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100017.96010626001</v>
      </c>
    </row>
    <row r="261" spans="1:5" hidden="1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3604.250814640001</v>
      </c>
    </row>
    <row r="262" spans="1:5" hidden="1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0</v>
      </c>
    </row>
    <row r="263" spans="1:5" hidden="1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379710.03456447175</v>
      </c>
    </row>
    <row r="264" spans="1:5" hidden="1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49447.319546988874</v>
      </c>
    </row>
    <row r="265" spans="1:5" hidden="1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hidden="1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3942.6753668076931</v>
      </c>
    </row>
    <row r="267" spans="1:5" hidden="1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56093.517718673087</v>
      </c>
    </row>
    <row r="268" spans="1:5" hidden="1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364366.95127418567</v>
      </c>
    </row>
    <row r="269" spans="1:5" hidden="1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13554.514373080499</v>
      </c>
    </row>
    <row r="270" spans="1:5" hidden="1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hidden="1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hidden="1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791002.77397514437</v>
      </c>
    </row>
    <row r="273" spans="1:7" hidden="1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97541.304810973612</v>
      </c>
    </row>
    <row r="274" spans="1:7" hidden="1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138048.85738122172</v>
      </c>
    </row>
    <row r="275" spans="1:7" hidden="1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68960.976415800003</v>
      </c>
    </row>
    <row r="276" spans="1:7" hidden="1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2485.0802312000001</v>
      </c>
    </row>
    <row r="277" spans="1:7" hidden="1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0</v>
      </c>
    </row>
    <row r="278" spans="1:7" hidden="1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hidden="1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hidden="1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hidden="1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hidden="1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hidden="1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hidden="1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hidden="1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hidden="1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hidden="1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hidden="1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hidden="1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hidden="1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hidden="1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hidden="1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hidden="1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hidden="1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hidden="1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hidden="1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hidden="1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hidden="1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hidden="1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hidden="1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hidden="1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hidden="1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999176.48486791842</v>
      </c>
      <c r="F302" s="171">
        <v>1</v>
      </c>
    </row>
    <row r="303" spans="1:7" hidden="1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233165.53921945728</v>
      </c>
      <c r="F303" s="171">
        <v>1</v>
      </c>
    </row>
    <row r="304" spans="1:7" hidden="1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217981.68444215492</v>
      </c>
      <c r="F304" s="171">
        <v>1</v>
      </c>
    </row>
    <row r="305" spans="1:7" hidden="1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2222244.569142865</v>
      </c>
      <c r="F305" s="171">
        <v>1</v>
      </c>
    </row>
    <row r="306" spans="1:7" hidden="1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hidden="1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hidden="1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hidden="1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hidden="1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hidden="1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hidden="1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hidden="1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hidden="1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534788.57368772908</v>
      </c>
      <c r="F314" s="171">
        <v>1</v>
      </c>
    </row>
    <row r="315" spans="1:7" hidden="1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75378.303026510737</v>
      </c>
      <c r="F315" s="171">
        <v>1</v>
      </c>
    </row>
    <row r="316" spans="1:7" hidden="1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66921.012385379698</v>
      </c>
      <c r="F316" s="171">
        <v>1</v>
      </c>
    </row>
    <row r="317" spans="1:7" hidden="1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647355.98293935158</v>
      </c>
      <c r="F317" s="171">
        <v>1</v>
      </c>
    </row>
    <row r="318" spans="1:7" hidden="1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hidden="1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hidden="1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hidden="1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hidden="1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hidden="1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hidden="1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hidden="1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hidden="1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953639.40454648295</v>
      </c>
      <c r="F326" s="171">
        <v>1</v>
      </c>
    </row>
    <row r="327" spans="1:7" hidden="1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192486.94948403907</v>
      </c>
      <c r="F327" s="171">
        <v>1</v>
      </c>
    </row>
    <row r="328" spans="1:7" hidden="1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167353.17803041782</v>
      </c>
      <c r="F328" s="171">
        <v>1</v>
      </c>
    </row>
    <row r="329" spans="1:7" hidden="1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2301188.929717523</v>
      </c>
      <c r="F329" s="171">
        <v>1</v>
      </c>
    </row>
    <row r="330" spans="1:7" hidden="1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hidden="1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hidden="1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hidden="1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hidden="1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hidden="1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hidden="1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hidden="1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hidden="1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529057.41943518422</v>
      </c>
      <c r="F338" s="171">
        <v>1</v>
      </c>
    </row>
    <row r="339" spans="1:7" hidden="1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69838.419357151841</v>
      </c>
      <c r="F339" s="171">
        <v>1</v>
      </c>
    </row>
    <row r="340" spans="1:7" hidden="1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60719.109564821476</v>
      </c>
      <c r="F340" s="171">
        <v>1</v>
      </c>
    </row>
    <row r="341" spans="1:7" hidden="1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623007.09555249952</v>
      </c>
      <c r="F341" s="171">
        <v>1</v>
      </c>
    </row>
    <row r="342" spans="1:7" hidden="1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hidden="1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hidden="1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hidden="1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hidden="1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hidden="1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hidden="1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hidden="1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hidden="1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hidden="1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hidden="1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hidden="1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hidden="1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hidden="1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2826531.2204777007</v>
      </c>
    </row>
    <row r="357" spans="1:5" hidden="1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1720313.3142519915</v>
      </c>
    </row>
    <row r="358" spans="1:5" hidden="1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1579.1588756568235</v>
      </c>
    </row>
    <row r="359" spans="1:5" hidden="1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192815.65620473531</v>
      </c>
    </row>
    <row r="360" spans="1:5" hidden="1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16744738.31698148</v>
      </c>
    </row>
    <row r="361" spans="1:5" hidden="1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584756.7791203158</v>
      </c>
    </row>
    <row r="362" spans="1:5" hidden="1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721614.58837897785</v>
      </c>
    </row>
    <row r="363" spans="1:5" hidden="1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506232.40847635537</v>
      </c>
    </row>
    <row r="364" spans="1:5" hidden="1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652.318830416526</v>
      </c>
    </row>
    <row r="365" spans="1:5" hidden="1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56074.289543542509</v>
      </c>
    </row>
    <row r="366" spans="1:5" hidden="1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13238404.534113022</v>
      </c>
    </row>
    <row r="367" spans="1:5" hidden="1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601145.12417380617</v>
      </c>
    </row>
    <row r="368" spans="1:5" hidden="1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hidden="1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hidden="1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hidden="1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hidden="1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hidden="1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409556.21963303362</v>
      </c>
    </row>
    <row r="375" spans="1:5" hidden="1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122269.5653782727</v>
      </c>
    </row>
    <row r="376" spans="1:5" hidden="1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132.53822154679034</v>
      </c>
    </row>
    <row r="377" spans="1:5" hidden="1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25779.099718643818</v>
      </c>
    </row>
    <row r="378" spans="1:5" hidden="1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3693826.1148101897</v>
      </c>
    </row>
    <row r="379" spans="1:5" hidden="1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299171.09031254635</v>
      </c>
    </row>
    <row r="380" spans="1:5" hidden="1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104559.87208186346</v>
      </c>
    </row>
    <row r="381" spans="1:5" hidden="1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35979.967167616494</v>
      </c>
    </row>
    <row r="382" spans="1:5" hidden="1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54.748878657904719</v>
      </c>
    </row>
    <row r="383" spans="1:5" hidden="1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7418.9535743485703</v>
      </c>
    </row>
    <row r="384" spans="1:5" hidden="1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3460511.9226035657</v>
      </c>
    </row>
    <row r="385" spans="1:7" hidden="1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290582.47430971975</v>
      </c>
    </row>
    <row r="386" spans="1:7" hidden="1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hidden="1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4926512.3913847189</v>
      </c>
      <c r="G387" s="171">
        <v>1</v>
      </c>
    </row>
    <row r="388" spans="1:7" hidden="1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3464985.9093970521</v>
      </c>
      <c r="G388" s="171">
        <v>1</v>
      </c>
    </row>
    <row r="389" spans="1:7" hidden="1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hidden="1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598295.9106759713</v>
      </c>
      <c r="G390" s="171">
        <v>1</v>
      </c>
    </row>
    <row r="391" spans="1:7" hidden="1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412516.61343583919</v>
      </c>
      <c r="G391" s="171">
        <v>1</v>
      </c>
    </row>
    <row r="392" spans="1:7" hidden="1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hidden="1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728642.31006080401</v>
      </c>
      <c r="G393" s="171">
        <v>1</v>
      </c>
    </row>
    <row r="394" spans="1:7" hidden="1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601521.71713762206</v>
      </c>
      <c r="G394" s="171">
        <v>1</v>
      </c>
    </row>
    <row r="395" spans="1:7" hidden="1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hidden="1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235557.19695784606</v>
      </c>
      <c r="G396" s="171">
        <v>1</v>
      </c>
    </row>
    <row r="397" spans="1:7" hidden="1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218245.06049109949</v>
      </c>
      <c r="G397" s="171">
        <v>1</v>
      </c>
    </row>
    <row r="398" spans="1:7" hidden="1" x14ac:dyDescent="0.25">
      <c r="A398" t="s">
        <v>321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hidden="1" x14ac:dyDescent="0.25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hidden="1" x14ac:dyDescent="0.25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hidden="1" x14ac:dyDescent="0.25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hidden="1" x14ac:dyDescent="0.25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hidden="1" x14ac:dyDescent="0.25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hidden="1" x14ac:dyDescent="0.25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hidden="1" x14ac:dyDescent="0.25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hidden="1" x14ac:dyDescent="0.25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hidden="1" x14ac:dyDescent="0.25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hidden="1" x14ac:dyDescent="0.25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hidden="1" x14ac:dyDescent="0.25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hidden="1" x14ac:dyDescent="0.25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hidden="1" x14ac:dyDescent="0.25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hidden="1" x14ac:dyDescent="0.25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hidden="1" x14ac:dyDescent="0.25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hidden="1" x14ac:dyDescent="0.25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hidden="1" x14ac:dyDescent="0.25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>
    <filterColumn colId="2">
      <filters>
        <filter val="Kvæggylle"/>
      </filters>
    </filterColumn>
    <filterColumn colId="3">
      <filters>
        <filter val="2019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590528.53760249668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1589705.0224704151</v>
      </c>
      <c r="F14">
        <f>E14-D14</f>
        <v>999176.48486791842</v>
      </c>
      <c r="G14">
        <f t="shared" si="3"/>
        <v>999176.48486791842</v>
      </c>
      <c r="H14">
        <f t="shared" si="1"/>
        <v>534788.57368772908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233165.53921945728</v>
      </c>
      <c r="F15">
        <f t="shared" si="2"/>
        <v>233165.53921945728</v>
      </c>
      <c r="G15">
        <f t="shared" si="3"/>
        <v>233165.53921945728</v>
      </c>
      <c r="H15">
        <f t="shared" si="1"/>
        <v>75378.303026510737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217981.68444215492</v>
      </c>
      <c r="F16">
        <f t="shared" si="2"/>
        <v>217981.68444215492</v>
      </c>
      <c r="G16">
        <f t="shared" si="3"/>
        <v>217981.68444215492</v>
      </c>
      <c r="H16">
        <f t="shared" si="1"/>
        <v>66921.012385379698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2222244.569142865</v>
      </c>
      <c r="F17">
        <f t="shared" si="2"/>
        <v>2222244.569142865</v>
      </c>
      <c r="G17">
        <f t="shared" si="3"/>
        <v>2222244.569142865</v>
      </c>
      <c r="H17">
        <f t="shared" si="1"/>
        <v>647355.98293935158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71716.212427048929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606504.78611477802</v>
      </c>
      <c r="F20">
        <f t="shared" si="2"/>
        <v>534788.57368772908</v>
      </c>
      <c r="G20">
        <f t="shared" si="3"/>
        <v>534788.57368772908</v>
      </c>
      <c r="H20">
        <f t="shared" si="1"/>
        <v>999176.48486791842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75378.303026510737</v>
      </c>
      <c r="F21">
        <f t="shared" si="2"/>
        <v>75378.303026510737</v>
      </c>
      <c r="G21">
        <f t="shared" si="3"/>
        <v>75378.303026510737</v>
      </c>
      <c r="H21">
        <f t="shared" si="1"/>
        <v>233165.53921945728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66921.012385379698</v>
      </c>
      <c r="F22">
        <f t="shared" si="2"/>
        <v>66921.012385379698</v>
      </c>
      <c r="G22">
        <f t="shared" si="3"/>
        <v>66921.012385379698</v>
      </c>
      <c r="H22">
        <f t="shared" si="1"/>
        <v>217981.68444215492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647355.98293935158</v>
      </c>
      <c r="F23">
        <f t="shared" si="2"/>
        <v>647355.98293935158</v>
      </c>
      <c r="G23">
        <f t="shared" si="3"/>
        <v>647355.98293935158</v>
      </c>
      <c r="H23">
        <f t="shared" si="1"/>
        <v>2222244.569142865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415339.06734260131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1368978.4718890842</v>
      </c>
      <c r="F26">
        <f t="shared" si="2"/>
        <v>953639.40454648295</v>
      </c>
      <c r="G26">
        <f t="shared" si="3"/>
        <v>953639.40454648295</v>
      </c>
      <c r="H26">
        <f t="shared" si="1"/>
        <v>529057.41943518422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192486.94948403907</v>
      </c>
      <c r="F27">
        <f t="shared" si="2"/>
        <v>192486.94948403907</v>
      </c>
      <c r="G27">
        <f t="shared" si="3"/>
        <v>192486.94948403907</v>
      </c>
      <c r="H27">
        <f t="shared" si="1"/>
        <v>69838.419357151841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167353.17803041782</v>
      </c>
      <c r="F28">
        <f t="shared" si="2"/>
        <v>167353.17803041782</v>
      </c>
      <c r="G28">
        <f t="shared" si="3"/>
        <v>167353.17803041782</v>
      </c>
      <c r="H28">
        <f t="shared" si="1"/>
        <v>60719.109564821476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2301188.929717523</v>
      </c>
      <c r="F29">
        <f t="shared" si="2"/>
        <v>2301188.929717523</v>
      </c>
      <c r="G29">
        <f t="shared" si="3"/>
        <v>2301188.929717523</v>
      </c>
      <c r="H29">
        <f t="shared" si="1"/>
        <v>623007.09555249952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49447.319546988874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578504.73898217315</v>
      </c>
      <c r="F32">
        <f t="shared" si="2"/>
        <v>529057.41943518422</v>
      </c>
      <c r="G32">
        <f t="shared" si="3"/>
        <v>529057.41943518422</v>
      </c>
      <c r="H32">
        <f t="shared" si="1"/>
        <v>953639.40454648295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69838.419357151841</v>
      </c>
      <c r="F33">
        <f t="shared" si="2"/>
        <v>69838.419357151841</v>
      </c>
      <c r="G33">
        <f t="shared" si="3"/>
        <v>69838.419357151841</v>
      </c>
      <c r="H33">
        <f t="shared" si="1"/>
        <v>192486.94948403907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60719.109564821476</v>
      </c>
      <c r="F34">
        <f t="shared" si="2"/>
        <v>60719.109564821476</v>
      </c>
      <c r="G34">
        <f t="shared" si="3"/>
        <v>60719.109564821476</v>
      </c>
      <c r="H34">
        <f t="shared" si="1"/>
        <v>167353.17803041782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623007.09555249952</v>
      </c>
      <c r="F35">
        <f t="shared" si="2"/>
        <v>623007.09555249952</v>
      </c>
      <c r="G35">
        <f t="shared" si="3"/>
        <v>623007.09555249952</v>
      </c>
      <c r="H35">
        <f t="shared" si="1"/>
        <v>2301188.929717523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480"/>
  <sheetViews>
    <sheetView zoomScale="80" zoomScaleNormal="80" workbookViewId="0">
      <selection activeCell="H89" sqref="H89:H9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drivhus",Landbrug!C$52,1-Landbrug!C$52),1)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drivhus",Landbrug!D$52,1-Landbrug!D$52),1)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drivhus",Landbrug!E$52,1-Landbrug!E$52),1)</f>
        <v>4002333.5486616795</v>
      </c>
      <c r="M3">
        <f>SUMIF($F$3:$F$472,"Roer",H3:H472)</f>
        <v>376449.39511597221</v>
      </c>
      <c r="N3" s="171">
        <f>SUMIF($F$3:$F$472,"Roer",I3:I472)</f>
        <v>1333999.0253631743</v>
      </c>
      <c r="O3" s="171">
        <f>SUMIF($F$3:$F$472,"Roer",J3:J472)</f>
        <v>1115035.1111116486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drivhus",Landbrug!C$52,1-Landbrug!C$52),1)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drivhus",Landbrug!D$52,1-Landbrug!D$52),1)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drivhus",Landbrug!E$52,1-Landbrug!E$52),1)</f>
        <v>197484.13479984918</v>
      </c>
      <c r="N4" s="171"/>
      <c r="O4" s="171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drivhus",Landbrug!C$52,1-Landbrug!C$52),1)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drivhus",Landbrug!D$52,1-Landbrug!D$52),1)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drivhus",Landbrug!E$52,1-Landbrug!E$52),1)</f>
        <v>524881.97503939818</v>
      </c>
    </row>
    <row r="6" spans="1:21" s="171" customFormat="1" hidden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drivhus",Landbrug!C$52,1-Landbrug!C$52),1)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drivhus",Landbrug!D$52,1-Landbrug!D$52),1)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drivhus",Landbrug!E$52,1-Landbrug!E$52),1)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drivhus",Landbrug!C$52,1-Landbrug!C$52),1)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drivhus",Landbrug!D$52,1-Landbrug!D$52),1)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drivhus",Landbrug!E$52,1-Landbrug!E$52),1)</f>
        <v>194761.7983669767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drivhus",Landbrug!C$52,1-Landbrug!C$52),1)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drivhus",Landbrug!D$52,1-Landbrug!D$52),1)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drivhus",Landbrug!E$52,1-Landbrug!E$52),1)</f>
        <v>-31551.411335450222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drivhus",Landbrug!C$52,1-Landbrug!C$52),1)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drivhus",Landbrug!D$52,1-Landbrug!D$52),1)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drivhus",Landbrug!E$52,1-Landbrug!E$52),1)</f>
        <v>13500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drivhus",Landbrug!C$52,1-Landbrug!C$52),1)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drivhus",Landbrug!D$52,1-Landbrug!D$52),1)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drivhus",Landbrug!E$52,1-Landbrug!E$52),1)</f>
        <v>-559.80000000000007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drivhus",Landbrug!C$52,1-Landbrug!C$52),1)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drivhus",Landbrug!D$52,1-Landbrug!D$52),1)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drivhus",Landbrug!E$52,1-Landbrug!E$52),1)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drivhus",Landbrug!C$52,1-Landbrug!C$52),1)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drivhus",Landbrug!D$52,1-Landbrug!D$52),1)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drivhus",Landbrug!E$52,1-Landbrug!E$52),1)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drivhus",Landbrug!C$52,1-Landbrug!C$52),1)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drivhus",Landbrug!D$52,1-Landbrug!D$52),1)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drivhus",Landbrug!E$52,1-Landbrug!E$52),1)</f>
        <v>-372113.28071606322</v>
      </c>
    </row>
    <row r="14" spans="1:21" hidden="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drivhus",Landbrug!C$52,1-Landbrug!C$52),1)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drivhus",Landbrug!D$52,1-Landbrug!D$52),1)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drivhus",Landbrug!E$52,1-Landbrug!E$52),1)</f>
        <v>0</v>
      </c>
    </row>
    <row r="15" spans="1:21" hidden="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drivhus",Landbrug!C$52,1-Landbrug!C$52),1)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drivhus",Landbrug!D$52,1-Landbrug!D$52),1)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drivhus",Landbrug!E$52,1-Landbrug!E$52),1)</f>
        <v>0</v>
      </c>
    </row>
    <row r="16" spans="1:21" hidden="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drivhus",Landbrug!C$52,1-Landbrug!C$52),1)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drivhus",Landbrug!D$52,1-Landbrug!D$52),1)</f>
        <v>-113179.43716193803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drivhus",Landbrug!E$52,1-Landbrug!E$52),1)</f>
        <v>-69185.207725030137</v>
      </c>
    </row>
    <row r="17" spans="1:10" hidden="1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drivhus",Landbrug!C$52,1-Landbrug!C$52),1)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drivhus",Landbrug!D$52,1-Landbrug!D$52),1)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drivhus",Landbrug!E$52,1-Landbrug!E$52),1)</f>
        <v>0</v>
      </c>
    </row>
    <row r="18" spans="1:10" hidden="1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drivhus",Landbrug!C$52,1-Landbrug!C$52),1)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drivhus",Landbrug!D$52,1-Landbrug!D$52),1)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drivhus",Landbrug!E$52,1-Landbrug!E$52),1)</f>
        <v>0</v>
      </c>
    </row>
    <row r="19" spans="1:10" hidden="1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drivhus",Landbrug!C$52,1-Landbrug!C$52),1)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drivhus",Landbrug!D$52,1-Landbrug!D$52),1)</f>
        <v>-24899.476175626365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drivhus",Landbrug!E$52,1-Landbrug!E$52),1)</f>
        <v>-152207.45699506631</v>
      </c>
    </row>
    <row r="20" spans="1:10" hidden="1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drivhus",Landbrug!C$52,1-Landbrug!C$52),1)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drivhus",Landbrug!D$52,1-Landbrug!D$52),1)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drivhus",Landbrug!E$52,1-Landbrug!E$52),1)</f>
        <v>0</v>
      </c>
    </row>
    <row r="21" spans="1:10" hidden="1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drivhus",Landbrug!C$52,1-Landbrug!C$52),1)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drivhus",Landbrug!D$52,1-Landbrug!D$52),1)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drivhus",Landbrug!E$52,1-Landbrug!E$52),1)</f>
        <v>0</v>
      </c>
    </row>
    <row r="22" spans="1:10" hidden="1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drivhus",Landbrug!C$52,1-Landbrug!C$52),1)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drivhus",Landbrug!D$52,1-Landbrug!D$52),1)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drivhus",Landbrug!E$52,1-Landbrug!E$52),1)</f>
        <v>-633804.84810685297</v>
      </c>
    </row>
    <row r="23" spans="1:10" hidden="1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drivhus",Landbrug!C$52,1-Landbrug!C$52),1)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drivhus",Landbrug!D$52,1-Landbrug!D$52),1)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drivhus",Landbrug!E$52,1-Landbrug!E$52),1)</f>
        <v>8643.1589368493933</v>
      </c>
    </row>
    <row r="24" spans="1:10" hidden="1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drivhus",Landbrug!C$52,1-Landbrug!C$52),1)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drivhus",Landbrug!D$52,1-Landbrug!D$52),1)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drivhus",Landbrug!E$52,1-Landbrug!E$52),1)</f>
        <v>4515.0830267123702</v>
      </c>
    </row>
    <row r="25" spans="1:10" hidden="1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drivhus",Landbrug!C$52,1-Landbrug!C$52),1)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drivhus",Landbrug!D$52,1-Landbrug!D$52),1)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drivhus",Landbrug!E$52,1-Landbrug!E$52),1)</f>
        <v>-65644.073553924056</v>
      </c>
    </row>
    <row r="26" spans="1:10" hidden="1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drivhus",Landbrug!C$52,1-Landbrug!C$52),1)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drivhus",Landbrug!D$52,1-Landbrug!D$52),1)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drivhus",Landbrug!E$52,1-Landbrug!E$52),1)</f>
        <v>0</v>
      </c>
    </row>
    <row r="27" spans="1:10" hidden="1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drivhus",Landbrug!C$52,1-Landbrug!C$52),1)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drivhus",Landbrug!D$52,1-Landbrug!D$52),1)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drivhus",Landbrug!E$52,1-Landbrug!E$52),1)</f>
        <v>0</v>
      </c>
    </row>
    <row r="28" spans="1:10" hidden="1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drivhus",Landbrug!C$52,1-Landbrug!C$52),1)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drivhus",Landbrug!D$52,1-Landbrug!D$52),1)</f>
        <v>-565897.18580969016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drivhus",Landbrug!E$52,1-Landbrug!E$52),1)</f>
        <v>-345926.03862515069</v>
      </c>
    </row>
    <row r="29" spans="1:10" hidden="1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drivhus",Landbrug!C$52,1-Landbrug!C$52),1)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drivhus",Landbrug!D$52,1-Landbrug!D$52),1)</f>
        <v>10346.737885180166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drivhus",Landbrug!E$52,1-Landbrug!E$52),1)</f>
        <v>63248.345089258364</v>
      </c>
    </row>
    <row r="30" spans="1:10" hidden="1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drivhus",Landbrug!C$52,1-Landbrug!C$52),1)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drivhus",Landbrug!D$52,1-Landbrug!D$52),1)</f>
        <v>2586.6844712950415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drivhus",Landbrug!E$52,1-Landbrug!E$52),1)</f>
        <v>15812.086272314591</v>
      </c>
    </row>
    <row r="31" spans="1:10" hidden="1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drivhus",Landbrug!C$52,1-Landbrug!C$52),1)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drivhus",Landbrug!D$52,1-Landbrug!D$52),1)</f>
        <v>-72434.839783640331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drivhus",Landbrug!E$52,1-Landbrug!E$52),1)</f>
        <v>-442785.3294401929</v>
      </c>
    </row>
    <row r="32" spans="1:10" hidden="1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drivhus",Landbrug!C$52,1-Landbrug!C$52),1)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drivhus",Landbrug!D$52,1-Landbrug!D$52),1)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drivhus",Landbrug!E$52,1-Landbrug!E$52),1)</f>
        <v>109420.8589841474</v>
      </c>
    </row>
    <row r="33" spans="1:10" hidden="1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drivhus",Landbrug!C$52,1-Landbrug!C$52),1)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drivhus",Landbrug!D$52,1-Landbrug!D$52),1)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drivhus",Landbrug!E$52,1-Landbrug!E$52),1)</f>
        <v>37876.451186820261</v>
      </c>
    </row>
    <row r="34" spans="1:10" hidden="1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drivhus",Landbrug!C$52,1-Landbrug!C$52),1)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drivhus",Landbrug!D$52,1-Landbrug!D$52),1)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drivhus",Landbrug!E$52,1-Landbrug!E$52),1)</f>
        <v>-22635.887432387604</v>
      </c>
    </row>
    <row r="35" spans="1:10" hidden="1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drivhus",Landbrug!C$52,1-Landbrug!C$52),1)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drivhus",Landbrug!D$52,1-Landbrug!D$52),1)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drivhus",Landbrug!E$52,1-Landbrug!E$52),1)</f>
        <v>5029.6642497403582</v>
      </c>
    </row>
    <row r="36" spans="1:10" hidden="1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drivhus",Landbrug!C$52,1-Landbrug!C$52),1)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drivhus",Landbrug!D$52,1-Landbrug!D$52),1)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drivhus",Landbrug!E$52,1-Landbrug!E$52),1)</f>
        <v>2514.83212487018</v>
      </c>
    </row>
    <row r="37" spans="1:10" hidden="1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drivhus",Landbrug!C$52,1-Landbrug!C$52),1)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drivhus",Landbrug!D$52,1-Landbrug!D$52),1)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drivhus",Landbrug!E$52,1-Landbrug!E$52),1)</f>
        <v>-56589.718580969005</v>
      </c>
    </row>
    <row r="38" spans="1:10" hidden="1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drivhus",Landbrug!C$52,1-Landbrug!C$52),1)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drivhus",Landbrug!D$52,1-Landbrug!D$52),1)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drivhus",Landbrug!E$52,1-Landbrug!E$52),1)</f>
        <v>0</v>
      </c>
    </row>
    <row r="39" spans="1:10" hidden="1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drivhus",Landbrug!C$52,1-Landbrug!C$52),1)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drivhus",Landbrug!D$52,1-Landbrug!D$52),1)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drivhus",Landbrug!E$52,1-Landbrug!E$52),1)</f>
        <v>0</v>
      </c>
    </row>
    <row r="40" spans="1:10" hidden="1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drivhus",Landbrug!C$52,1-Landbrug!C$52),1)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drivhus",Landbrug!D$52,1-Landbrug!D$52),1)</f>
        <v>-113179.43716193803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drivhus",Landbrug!E$52,1-Landbrug!E$52),1)</f>
        <v>-69185.207725030137</v>
      </c>
    </row>
    <row r="41" spans="1:10" hidden="1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drivhus",Landbrug!C$52,1-Landbrug!C$52),1)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drivhus",Landbrug!D$52,1-Landbrug!D$52),1)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drivhus",Landbrug!E$52,1-Landbrug!E$52),1)</f>
        <v>0</v>
      </c>
    </row>
    <row r="42" spans="1:10" hidden="1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drivhus",Landbrug!C$52,1-Landbrug!C$52),1)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drivhus",Landbrug!D$52,1-Landbrug!D$52),1)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drivhus",Landbrug!E$52,1-Landbrug!E$52),1)</f>
        <v>0</v>
      </c>
    </row>
    <row r="43" spans="1:10" hidden="1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drivhus",Landbrug!C$52,1-Landbrug!C$52),1)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drivhus",Landbrug!D$52,1-Landbrug!D$52),1)</f>
        <v>-19240.504317529463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drivhus",Landbrug!E$52,1-Landbrug!E$52),1)</f>
        <v>-117614.85313255124</v>
      </c>
    </row>
    <row r="44" spans="1:10" hidden="1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drivhus",Landbrug!C$52,1-Landbrug!C$52),1)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drivhus",Landbrug!D$52,1-Landbrug!D$52),1)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drivhus",Landbrug!E$52,1-Landbrug!E$52),1)</f>
        <v>0</v>
      </c>
    </row>
    <row r="45" spans="1:10" hidden="1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drivhus",Landbrug!C$52,1-Landbrug!C$52),1)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drivhus",Landbrug!D$52,1-Landbrug!D$52),1)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drivhus",Landbrug!E$52,1-Landbrug!E$52),1)</f>
        <v>0</v>
      </c>
    </row>
    <row r="46" spans="1:10" hidden="1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drivhus",Landbrug!C$52,1-Landbrug!C$52),1)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drivhus",Landbrug!D$52,1-Landbrug!D$52),1)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drivhus",Landbrug!E$52,1-Landbrug!E$52),1)</f>
        <v>-622486.90439065907</v>
      </c>
    </row>
    <row r="47" spans="1:10" hidden="1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drivhus",Landbrug!C$52,1-Landbrug!C$52),1)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drivhus",Landbrug!D$52,1-Landbrug!D$52),1)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drivhus",Landbrug!E$52,1-Landbrug!E$52),1)</f>
        <v>6336.9294314079225</v>
      </c>
    </row>
    <row r="48" spans="1:10" hidden="1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drivhus",Landbrug!C$52,1-Landbrug!C$52),1)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drivhus",Landbrug!D$52,1-Landbrug!D$52),1)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drivhus",Landbrug!E$52,1-Landbrug!E$52),1)</f>
        <v>3456.5069625861402</v>
      </c>
    </row>
    <row r="49" spans="1:10" hidden="1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drivhus",Landbrug!C$52,1-Landbrug!C$52),1)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drivhus",Landbrug!D$52,1-Landbrug!D$52),1)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drivhus",Landbrug!E$52,1-Landbrug!E$52),1)</f>
        <v>-59985.10169582715</v>
      </c>
    </row>
    <row r="50" spans="1:10" hidden="1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drivhus",Landbrug!C$52,1-Landbrug!C$52),1)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drivhus",Landbrug!D$52,1-Landbrug!D$52),1)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drivhus",Landbrug!E$52,1-Landbrug!E$52),1)</f>
        <v>0</v>
      </c>
    </row>
    <row r="51" spans="1:10" hidden="1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drivhus",Landbrug!C$52,1-Landbrug!C$52),1)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drivhus",Landbrug!D$52,1-Landbrug!D$52),1)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drivhus",Landbrug!E$52,1-Landbrug!E$52),1)</f>
        <v>0</v>
      </c>
    </row>
    <row r="52" spans="1:10" hidden="1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drivhus",Landbrug!C$52,1-Landbrug!C$52),1)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drivhus",Landbrug!D$52,1-Landbrug!D$52),1)</f>
        <v>-430081.86121536448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drivhus",Landbrug!E$52,1-Landbrug!E$52),1)</f>
        <v>-262903.78935511451</v>
      </c>
    </row>
    <row r="53" spans="1:10" hidden="1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drivhus",Landbrug!C$52,1-Landbrug!C$52),1)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drivhus",Landbrug!D$52,1-Landbrug!D$52),1)</f>
        <v>2627.5073252179204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drivhus",Landbrug!E$52,1-Landbrug!E$52),1)</f>
        <v>16061.631392824589</v>
      </c>
    </row>
    <row r="54" spans="1:10" hidden="1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drivhus",Landbrug!C$52,1-Landbrug!C$52),1)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drivhus",Landbrug!D$52,1-Landbrug!D$52),1)</f>
        <v>9196.2756382627176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drivhus",Landbrug!E$52,1-Landbrug!E$52),1)</f>
        <v>56215.70987488603</v>
      </c>
    </row>
    <row r="55" spans="1:10" hidden="1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drivhus",Landbrug!C$52,1-Landbrug!C$52),1)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drivhus",Landbrug!D$52,1-Landbrug!D$52),1)</f>
        <v>-36217.419891820166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drivhus",Landbrug!E$52,1-Landbrug!E$52),1)</f>
        <v>-221392.66472009645</v>
      </c>
    </row>
    <row r="56" spans="1:10" hidden="1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drivhus",Landbrug!C$52,1-Landbrug!C$52),1)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drivhus",Landbrug!D$52,1-Landbrug!D$52),1)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drivhus",Landbrug!E$52,1-Landbrug!E$52),1)</f>
        <v>28282.196903387321</v>
      </c>
    </row>
    <row r="57" spans="1:10" hidden="1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drivhus",Landbrug!C$52,1-Landbrug!C$52),1)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drivhus",Landbrug!D$52,1-Landbrug!D$52),1)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drivhus",Landbrug!E$52,1-Landbrug!E$52),1)</f>
        <v>37405.486227060654</v>
      </c>
    </row>
    <row r="58" spans="1:10" hidden="1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drivhus",Landbrug!C$52,1-Landbrug!C$52),1)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drivhus",Landbrug!D$52,1-Landbrug!D$52),1)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drivhus",Landbrug!E$52,1-Landbrug!E$52),1)</f>
        <v>-203722.98689148843</v>
      </c>
    </row>
    <row r="59" spans="1:10" hidden="1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drivhus",Landbrug!C$52,1-Landbrug!C$52),1)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drivhus",Landbrug!D$52,1-Landbrug!D$52),1)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drivhus",Landbrug!E$52,1-Landbrug!E$52),1)</f>
        <v>2337.7087231718247</v>
      </c>
    </row>
    <row r="60" spans="1:10" hidden="1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drivhus",Landbrug!C$52,1-Landbrug!C$52),1)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drivhus",Landbrug!D$52,1-Landbrug!D$52),1)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drivhus",Landbrug!E$52,1-Landbrug!E$52),1)</f>
        <v>1275.1138490028136</v>
      </c>
    </row>
    <row r="61" spans="1:10" hidden="1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drivhus",Landbrug!C$52,1-Landbrug!C$52),1)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drivhus",Landbrug!D$52,1-Landbrug!D$52),1)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drivhus",Landbrug!E$52,1-Landbrug!E$52),1)</f>
        <v>-58853.307324207766</v>
      </c>
    </row>
    <row r="62" spans="1:10" hidden="1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drivhus",Landbrug!C$52,1-Landbrug!C$52),1)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drivhus",Landbrug!D$52,1-Landbrug!D$52),1)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drivhus",Landbrug!E$52,1-Landbrug!E$52),1)</f>
        <v>0</v>
      </c>
    </row>
    <row r="63" spans="1:10" hidden="1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drivhus",Landbrug!C$52,1-Landbrug!C$52),1)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drivhus",Landbrug!D$52,1-Landbrug!D$52),1)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drivhus",Landbrug!E$52,1-Landbrug!E$52),1)</f>
        <v>0</v>
      </c>
    </row>
    <row r="64" spans="1:10" hidden="1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drivhus",Landbrug!C$52,1-Landbrug!C$52),1)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drivhus",Landbrug!D$52,1-Landbrug!D$52),1)</f>
        <v>-120724.73297273388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drivhus",Landbrug!E$52,1-Landbrug!E$52),1)</f>
        <v>-73797.554906698817</v>
      </c>
    </row>
    <row r="65" spans="1:10" hidden="1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drivhus",Landbrug!C$52,1-Landbrug!C$52),1)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drivhus",Landbrug!D$52,1-Landbrug!D$52),1)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drivhus",Landbrug!E$52,1-Landbrug!E$52),1)</f>
        <v>0</v>
      </c>
    </row>
    <row r="66" spans="1:10" hidden="1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drivhus",Landbrug!C$52,1-Landbrug!C$52),1)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drivhus",Landbrug!D$52,1-Landbrug!D$52),1)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drivhus",Landbrug!E$52,1-Landbrug!E$52),1)</f>
        <v>0</v>
      </c>
    </row>
    <row r="67" spans="1:10" hidden="1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drivhus",Landbrug!C$52,1-Landbrug!C$52),1)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drivhus",Landbrug!D$52,1-Landbrug!D$52),1)</f>
        <v>-12072.473297273387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drivhus",Landbrug!E$52,1-Landbrug!E$52),1)</f>
        <v>-73797.554906698817</v>
      </c>
    </row>
    <row r="68" spans="1:10" hidden="1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drivhus",Landbrug!C$52,1-Landbrug!C$52),1)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drivhus",Landbrug!D$52,1-Landbrug!D$52),1)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drivhus",Landbrug!E$52,1-Landbrug!E$52),1)</f>
        <v>7730.4671535925363</v>
      </c>
    </row>
    <row r="69" spans="1:10" hidden="1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drivhus",Landbrug!C$52,1-Landbrug!C$52),1)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drivhus",Landbrug!D$52,1-Landbrug!D$52),1)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drivhus",Landbrug!E$52,1-Landbrug!E$52),1)</f>
        <v>10224.166235396578</v>
      </c>
    </row>
    <row r="70" spans="1:10" hidden="1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drivhus",Landbrug!C$52,1-Landbrug!C$52),1)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drivhus",Landbrug!D$52,1-Landbrug!D$52),1)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drivhus",Landbrug!E$52,1-Landbrug!E$52),1)</f>
        <v>-150905.91621591736</v>
      </c>
    </row>
    <row r="71" spans="1:10" hidden="1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drivhus",Landbrug!C$52,1-Landbrug!C$52),1)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drivhus",Landbrug!D$52,1-Landbrug!D$52),1)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drivhus",Landbrug!E$52,1-Landbrug!E$52),1)</f>
        <v>9294.1631660649509</v>
      </c>
    </row>
    <row r="72" spans="1:10" hidden="1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drivhus",Landbrug!C$52,1-Landbrug!C$52),1)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drivhus",Landbrug!D$52,1-Landbrug!D$52),1)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drivhus",Landbrug!E$52,1-Landbrug!E$52),1)</f>
        <v>5069.5435451263384</v>
      </c>
    </row>
    <row r="73" spans="1:10" hidden="1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drivhus",Landbrug!C$52,1-Landbrug!C$52),1)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drivhus",Landbrug!D$52,1-Landbrug!D$52),1)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drivhus",Landbrug!E$52,1-Landbrug!E$52),1)</f>
        <v>-19617.769108069257</v>
      </c>
    </row>
    <row r="74" spans="1:10" hidden="1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drivhus",Landbrug!C$52,1-Landbrug!C$52),1)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drivhus",Landbrug!D$52,1-Landbrug!D$52),1)</f>
        <v>10480734.864111645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drivhus",Landbrug!E$52,1-Landbrug!E$52),1)</f>
        <v>6689339.852397711</v>
      </c>
    </row>
    <row r="75" spans="1:10" hidden="1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drivhus",Landbrug!C$52,1-Landbrug!C$52),1)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drivhus",Landbrug!D$52,1-Landbrug!D$52),1)</f>
        <v>11306124.881910803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drivhus",Landbrug!E$52,1-Landbrug!E$52),1)</f>
        <v>7216145.8837897805</v>
      </c>
    </row>
    <row r="76" spans="1:10" hidden="1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drivhus",Landbrug!C$52,1-Landbrug!C$52),1)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drivhus",Landbrug!D$52,1-Landbrug!D$52),1)</f>
        <v>1449363.6331316251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drivhus",Landbrug!E$52,1-Landbrug!E$52),1)</f>
        <v>925057.83587008948</v>
      </c>
    </row>
    <row r="77" spans="1:10" hidden="1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drivhus",Landbrug!C$52,1-Landbrug!C$52),1)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drivhus",Landbrug!D$52,1-Landbrug!D$52),1)</f>
        <v>118466.3199779602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drivhus",Landbrug!E$52,1-Landbrug!E$52),1)</f>
        <v>75611.251087844197</v>
      </c>
    </row>
    <row r="78" spans="1:10" hidden="1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drivhus",Landbrug!C$52,1-Landbrug!C$52),1)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drivhus",Landbrug!D$52,1-Landbrug!D$52),1)</f>
        <v>-6468156074.4667482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drivhus",Landbrug!E$52,1-Landbrug!E$52),1)</f>
        <v>-4128307295.3802996</v>
      </c>
    </row>
    <row r="79" spans="1:10" hidden="1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drivhus",Landbrug!C$52,1-Landbrug!C$52),1)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drivhus",Landbrug!D$52,1-Landbrug!D$52),1)</f>
        <v>-496753.66066894843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drivhus",Landbrug!E$52,1-Landbrug!E$52),1)</f>
        <v>-317053.53701063234</v>
      </c>
    </row>
    <row r="80" spans="1:10" hidden="1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drivhus",Landbrug!C$52,1-Landbrug!C$52),1)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drivhus",Landbrug!D$52,1-Landbrug!D$52),1)</f>
        <v>847010.29149951425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drivhus",Landbrug!E$52,1-Landbrug!E$52),1)</f>
        <v>540605.19341254723</v>
      </c>
    </row>
    <row r="81" spans="1:10" hidden="1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drivhus",Landbrug!C$52,1-Landbrug!C$52),1)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drivhus",Landbrug!D$52,1-Landbrug!D$52),1)</f>
        <v>234376.87039160129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drivhus",Landbrug!E$52,1-Landbrug!E$52),1)</f>
        <v>257796.39706926318</v>
      </c>
    </row>
    <row r="82" spans="1:10" hidden="1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drivhus",Landbrug!C$52,1-Landbrug!C$52),1)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drivhus",Landbrug!D$52,1-Landbrug!D$52),1)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drivhus",Landbrug!E$52,1-Landbrug!E$52),1)</f>
        <v>0</v>
      </c>
    </row>
    <row r="83" spans="1:10" hidden="1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drivhus",Landbrug!C$52,1-Landbrug!C$52),1)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drivhus",Landbrug!D$52,1-Landbrug!D$52),1)</f>
        <v>254045.98972317015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drivhus",Landbrug!E$52,1-Landbrug!E$52),1)</f>
        <v>279430.90429999697</v>
      </c>
    </row>
    <row r="84" spans="1:10" hidden="1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drivhus",Landbrug!C$52,1-Landbrug!C$52),1)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drivhus",Landbrug!D$52,1-Landbrug!D$52),1)</f>
        <v>7769.7636768875936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drivhus",Landbrug!E$52,1-Landbrug!E$52),1)</f>
        <v>8546.1380153876689</v>
      </c>
    </row>
    <row r="85" spans="1:10" hidden="1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drivhus",Landbrug!C$52,1-Landbrug!C$52),1)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drivhus",Landbrug!D$52,1-Landbrug!D$52),1)</f>
        <v>-424222210.44075108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drivhus",Landbrug!E$52,1-Landbrug!E$52),1)</f>
        <v>-466611561.22470069</v>
      </c>
    </row>
    <row r="86" spans="1:10" hidden="1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drivhus",Landbrug!C$52,1-Landbrug!C$52),1)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drivhus",Landbrug!D$52,1-Landbrug!D$52),1)</f>
        <v>-28637.862991049802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drivhus",Landbrug!E$52,1-Landbrug!E$52),1)</f>
        <v>-31499.430325699868</v>
      </c>
    </row>
    <row r="87" spans="1:10" hidden="1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drivhus",Landbrug!C$52,1-Landbrug!C$52),1)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drivhus",Landbrug!D$52,1-Landbrug!D$52),1)</f>
        <v>61107.467319605974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drivhus",Landbrug!E$52,1-Landbrug!E$52),1)</f>
        <v>67213.479225579227</v>
      </c>
    </row>
    <row r="88" spans="1:10" hidden="1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drivhus",Landbrug!C$52,1-Landbrug!C$52),1)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drivhus",Landbrug!D$52,1-Landbrug!D$52),1)</f>
        <v>320710.24991141836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drivhus",Landbrug!E$52,1-Landbrug!E$52),1)</f>
        <v>228911.93354384534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drivhus",Landbrug!C$52,1-Landbrug!C$52),1)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drivhus",Landbrug!D$52,1-Landbrug!D$52),1)</f>
        <v>9306493.1916532889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drivhus",Landbrug!E$52,1-Landbrug!E$52),1)</f>
        <v>6642654.3947454253</v>
      </c>
    </row>
    <row r="90" spans="1:10" hidden="1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drivhus",Landbrug!C$52,1-Landbrug!C$52),1)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drivhus",Landbrug!D$52,1-Landbrug!D$52),1)</f>
        <v>182381.20793873124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drivhus",Landbrug!E$52,1-Landbrug!E$52),1)</f>
        <v>130177.4263929775</v>
      </c>
    </row>
    <row r="91" spans="1:10" hidden="1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drivhus",Landbrug!C$52,1-Landbrug!C$52),1)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drivhus",Landbrug!D$52,1-Landbrug!D$52),1)</f>
        <v>3483702.3515116847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drivhus",Landbrug!E$52,1-Landbrug!E$52),1)</f>
        <v>2486546.7860663724</v>
      </c>
    </row>
    <row r="92" spans="1:10" hidden="1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drivhus",Landbrug!C$52,1-Landbrug!C$52),1)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drivhus",Landbrug!D$52,1-Landbrug!D$52),1)</f>
        <v>39686.364587318778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drivhus",Landbrug!E$52,1-Landbrug!E$52),1)</f>
        <v>28326.760543257864</v>
      </c>
    </row>
    <row r="93" spans="1:10" hidden="1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drivhus",Landbrug!C$52,1-Landbrug!C$52),1)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drivhus",Landbrug!D$52,1-Landbrug!D$52),1)</f>
        <v>-2414589993.7588573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drivhus",Landbrug!E$52,1-Landbrug!E$52),1)</f>
        <v>-1723451197.2711432</v>
      </c>
    </row>
    <row r="94" spans="1:10" hidden="1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drivhus",Landbrug!C$52,1-Landbrug!C$52),1)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drivhus",Landbrug!D$52,1-Landbrug!D$52),1)</f>
        <v>-10099.220944102173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drivhus",Landbrug!E$52,1-Landbrug!E$52),1)</f>
        <v>-7208.4761688766303</v>
      </c>
    </row>
    <row r="95" spans="1:10" hidden="1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drivhus",Landbrug!C$52,1-Landbrug!C$52),1)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drivhus",Landbrug!D$52,1-Landbrug!D$52),1)</f>
        <v>2611702.7463139286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drivhus",Landbrug!E$52,1-Landbrug!E$52),1)</f>
        <v>1864143.4929679399</v>
      </c>
    </row>
    <row r="96" spans="1:10" hidden="1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drivhus",Landbrug!C$52,1-Landbrug!C$52),1)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drivhus",Landbrug!D$52,1-Landbrug!D$52),1)</f>
        <v>19991.394030461786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drivhus",Landbrug!E$52,1-Landbrug!E$52),1)</f>
        <v>18479.2364244813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drivhus",Landbrug!C$52,1-Landbrug!C$52),1)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drivhus",Landbrug!D$52,1-Landbrug!D$52),1)</f>
        <v>1080304.1774153388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drivhus",Landbrug!E$52,1-Landbrug!E$52),1)</f>
        <v>998589.50678447017</v>
      </c>
    </row>
    <row r="98" spans="1:10" hidden="1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drivhus",Landbrug!C$52,1-Landbrug!C$52),1)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drivhus",Landbrug!D$52,1-Landbrug!D$52),1)</f>
        <v>8919.2373366675656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drivhus",Landbrug!E$52,1-Landbrug!E$52),1)</f>
        <v>8244.5824047685801</v>
      </c>
    </row>
    <row r="99" spans="1:10" hidden="1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drivhus",Landbrug!C$52,1-Landbrug!C$52),1)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drivhus",Landbrug!D$52,1-Landbrug!D$52),1)</f>
        <v>412642.87678260863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drivhus",Landbrug!E$52,1-Landbrug!E$52),1)</f>
        <v>381430.39286429348</v>
      </c>
    </row>
    <row r="100" spans="1:10" hidden="1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drivhus",Landbrug!C$52,1-Landbrug!C$52),1)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drivhus",Landbrug!D$52,1-Landbrug!D$52),1)</f>
        <v>8247.3986537220499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drivhus",Landbrug!E$52,1-Landbrug!E$52),1)</f>
        <v>7623.5618875227619</v>
      </c>
    </row>
    <row r="101" spans="1:10" hidden="1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drivhus",Landbrug!C$52,1-Landbrug!C$52),1)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drivhus",Landbrug!D$52,1-Landbrug!D$52),1)</f>
        <v>-501786607.84114248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drivhus",Landbrug!E$52,1-Landbrug!E$52),1)</f>
        <v>-463831253.92885685</v>
      </c>
    </row>
    <row r="102" spans="1:10" hidden="1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drivhus",Landbrug!C$52,1-Landbrug!C$52),1)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drivhus",Landbrug!D$52,1-Landbrug!D$52),1)</f>
        <v>-2530.0165101234074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drivhus",Landbrug!E$52,1-Landbrug!E$52),1)</f>
        <v>-2338.6449777925554</v>
      </c>
    </row>
    <row r="103" spans="1:10" hidden="1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drivhus",Landbrug!C$52,1-Landbrug!C$52),1)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drivhus",Landbrug!D$52,1-Landbrug!D$52),1)</f>
        <v>453873.49996140599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drivhus",Landbrug!E$52,1-Landbrug!E$52),1)</f>
        <v>419542.31404841592</v>
      </c>
    </row>
    <row r="104" spans="1:10" hidden="1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drivhus",Landbrug!C$52,1-Landbrug!C$52),1)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drivhus",Landbrug!D$52,1-Landbrug!D$52),1)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drivhus",Landbrug!E$52,1-Landbrug!E$52),1)</f>
        <v>90395739.189926684</v>
      </c>
    </row>
    <row r="105" spans="1:10" hidden="1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drivhus",Landbrug!C$52,1-Landbrug!C$52),1)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drivhus",Landbrug!D$52,1-Landbrug!D$52),1)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drivhus",Landbrug!E$52,1-Landbrug!E$52),1)</f>
        <v>5753.5896874331438</v>
      </c>
    </row>
    <row r="106" spans="1:10" hidden="1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drivhus",Landbrug!C$52,1-Landbrug!C$52),1)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drivhus",Landbrug!D$52,1-Landbrug!D$52),1)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drivhus",Landbrug!E$52,1-Landbrug!E$52),1)</f>
        <v>127520.53940423368</v>
      </c>
    </row>
    <row r="107" spans="1:10" hidden="1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drivhus",Landbrug!C$52,1-Landbrug!C$52),1)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drivhus",Landbrug!D$52,1-Landbrug!D$52),1)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drivhus",Landbrug!E$52,1-Landbrug!E$52),1)</f>
        <v>188383.32643519162</v>
      </c>
    </row>
    <row r="108" spans="1:10" hidden="1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drivhus",Landbrug!C$52,1-Landbrug!C$52),1)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drivhus",Landbrug!D$52,1-Landbrug!D$52),1)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drivhus",Landbrug!E$52,1-Landbrug!E$52),1)</f>
        <v>7956.1841203331578</v>
      </c>
    </row>
    <row r="109" spans="1:10" hidden="1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drivhus",Landbrug!C$52,1-Landbrug!C$52),1)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drivhus",Landbrug!D$52,1-Landbrug!D$52),1)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drivhus",Landbrug!E$52,1-Landbrug!E$52),1)</f>
        <v>-313043712.51189649</v>
      </c>
    </row>
    <row r="110" spans="1:10" hidden="1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drivhus",Landbrug!C$52,1-Landbrug!C$52),1)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drivhus",Landbrug!D$52,1-Landbrug!D$52),1)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drivhus",Landbrug!E$52,1-Landbrug!E$52),1)</f>
        <v>-7419.5425368079359</v>
      </c>
    </row>
    <row r="111" spans="1:10" hidden="1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drivhus",Landbrug!C$52,1-Landbrug!C$52),1)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drivhus",Landbrug!D$52,1-Landbrug!D$52),1)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drivhus",Landbrug!E$52,1-Landbrug!E$52),1)</f>
        <v>12087.765858200146</v>
      </c>
    </row>
    <row r="112" spans="1:10" hidden="1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drivhus",Landbrug!C$52,1-Landbrug!C$52),1)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drivhus",Landbrug!D$52,1-Landbrug!D$52),1)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drivhus",Landbrug!E$52,1-Landbrug!E$52),1)</f>
        <v>1619871.9859224628</v>
      </c>
    </row>
    <row r="113" spans="1:10" hidden="1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drivhus",Landbrug!C$52,1-Landbrug!C$52),1)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drivhus",Landbrug!D$52,1-Landbrug!D$52),1)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drivhus",Landbrug!E$52,1-Landbrug!E$52),1)</f>
        <v>2861.9420350492778</v>
      </c>
    </row>
    <row r="114" spans="1:10" hidden="1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drivhus",Landbrug!C$52,1-Landbrug!C$52),1)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drivhus",Landbrug!D$52,1-Landbrug!D$52),1)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drivhus",Landbrug!E$52,1-Landbrug!E$52),1)</f>
        <v>10776.359947924846</v>
      </c>
    </row>
    <row r="115" spans="1:10" hidden="1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drivhus",Landbrug!C$52,1-Landbrug!C$52),1)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drivhus",Landbrug!D$52,1-Landbrug!D$52),1)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drivhus",Landbrug!E$52,1-Landbrug!E$52),1)</f>
        <v>19839.912557727635</v>
      </c>
    </row>
    <row r="116" spans="1:10" hidden="1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drivhus",Landbrug!C$52,1-Landbrug!C$52),1)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drivhus",Landbrug!D$52,1-Landbrug!D$52),1)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drivhus",Landbrug!E$52,1-Landbrug!E$52),1)</f>
        <v>2035.9390686332388</v>
      </c>
    </row>
    <row r="117" spans="1:10" hidden="1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drivhus",Landbrug!C$52,1-Landbrug!C$52),1)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drivhus",Landbrug!D$52,1-Landbrug!D$52),1)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drivhus",Landbrug!E$52,1-Landbrug!E$52),1)</f>
        <v>-80105979.808103532</v>
      </c>
    </row>
    <row r="118" spans="1:10" hidden="1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drivhus",Landbrug!C$52,1-Landbrug!C$52),1)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drivhus",Landbrug!D$52,1-Landbrug!D$52),1)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drivhus",Landbrug!E$52,1-Landbrug!E$52),1)</f>
        <v>-3576.1598128617643</v>
      </c>
    </row>
    <row r="119" spans="1:10" hidden="1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drivhus",Landbrug!C$52,1-Landbrug!C$52),1)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drivhus",Landbrug!D$52,1-Landbrug!D$52),1)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drivhus",Landbrug!E$52,1-Landbrug!E$52),1)</f>
        <v>3402.5042445080016</v>
      </c>
    </row>
    <row r="120" spans="1:10" hidden="1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drivhus",Landbrug!C$52,1-Landbrug!C$52),1)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drivhus",Landbrug!D$52,1-Landbrug!D$52),1)</f>
        <v>4216802.1372340936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drivhus",Landbrug!E$52,1-Landbrug!E$52),1)</f>
        <v>3432833.9542255346</v>
      </c>
    </row>
    <row r="121" spans="1:10" hidden="1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drivhus",Landbrug!C$52,1-Landbrug!C$52),1)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drivhus",Landbrug!D$52,1-Landbrug!D$52),1)</f>
        <v>1276448.0350116261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drivhus",Landbrug!E$52,1-Landbrug!E$52),1)</f>
        <v>1039136.7706587556</v>
      </c>
    </row>
    <row r="122" spans="1:10" hidden="1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drivhus",Landbrug!C$52,1-Landbrug!C$52),1)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drivhus",Landbrug!D$52,1-Landbrug!D$52),1)</f>
        <v>-89782232.998362541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drivhus",Landbrug!E$52,1-Landbrug!E$52),1)</f>
        <v>-73090339.051366583</v>
      </c>
    </row>
    <row r="123" spans="1:10" hidden="1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drivhus",Landbrug!C$52,1-Landbrug!C$52),1)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drivhus",Landbrug!D$52,1-Landbrug!D$52),1)</f>
        <v>1275858.484179026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drivhus",Landbrug!E$52,1-Landbrug!E$52),1)</f>
        <v>1038656.8263668426</v>
      </c>
    </row>
    <row r="124" spans="1:10" hidden="1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drivhus",Landbrug!C$52,1-Landbrug!C$52),1)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drivhus",Landbrug!D$52,1-Landbrug!D$52),1)</f>
        <v>162215.93605101015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drivhus",Landbrug!E$52,1-Landbrug!E$52),1)</f>
        <v>3.9301585400745376</v>
      </c>
    </row>
    <row r="125" spans="1:10" hidden="1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drivhus",Landbrug!C$52,1-Landbrug!C$52),1)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drivhus",Landbrug!D$52,1-Landbrug!D$52),1)</f>
        <v>49103.611239321639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drivhus",Landbrug!E$52,1-Landbrug!E$52),1)</f>
        <v>1.1896795207595032</v>
      </c>
    </row>
    <row r="126" spans="1:10" hidden="1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drivhus",Landbrug!C$52,1-Landbrug!C$52),1)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drivhus",Landbrug!D$52,1-Landbrug!D$52),1)</f>
        <v>-2338529.3227416016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drivhus",Landbrug!E$52,1-Landbrug!E$52),1)</f>
        <v>-56.657756400071008</v>
      </c>
    </row>
    <row r="127" spans="1:10" hidden="1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drivhus",Landbrug!C$52,1-Landbrug!C$52),1)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drivhus",Landbrug!D$52,1-Landbrug!D$52),1)</f>
        <v>287669.58614374197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drivhus",Landbrug!E$52,1-Landbrug!E$52),1)</f>
        <v>6.9696424915182984</v>
      </c>
    </row>
    <row r="128" spans="1:10" hidden="1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drivhus",Landbrug!C$52,1-Landbrug!C$52),1)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drivhus",Landbrug!D$52,1-Landbrug!D$52),1)</f>
        <v>3.1219568255939545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drivhus",Landbrug!E$52,1-Landbrug!E$52),1)</f>
        <v>2.9775888799017491</v>
      </c>
    </row>
    <row r="129" spans="1:10" hidden="1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drivhus",Landbrug!C$52,1-Landbrug!C$52),1)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drivhus",Landbrug!D$52,1-Landbrug!D$52),1)</f>
        <v>0.94503263983697594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drivhus",Landbrug!E$52,1-Landbrug!E$52),1)</f>
        <v>0.90133170851503508</v>
      </c>
    </row>
    <row r="130" spans="1:10" hidden="1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drivhus",Landbrug!C$52,1-Landbrug!C$52),1)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drivhus",Landbrug!D$52,1-Landbrug!D$52),1)</f>
        <v>-29.674680641973879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drivhus",Landbrug!E$52,1-Landbrug!E$52),1)</f>
        <v>-28.302441074714974</v>
      </c>
    </row>
    <row r="131" spans="1:10" hidden="1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drivhus",Landbrug!C$52,1-Landbrug!C$52),1)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drivhus",Landbrug!D$52,1-Landbrug!D$52),1)</f>
        <v>12.152284521028513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drivhus",Landbrug!E$52,1-Landbrug!E$52),1)</f>
        <v>11.590329167454941</v>
      </c>
    </row>
    <row r="132" spans="1:10" hidden="1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drivhus",Landbrug!C$52,1-Landbrug!C$52),1)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drivhus",Landbrug!D$52,1-Landbrug!D$52),1)</f>
        <v>440936.13099748403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drivhus",Landbrug!E$52,1-Landbrug!E$52),1)</f>
        <v>487878.52258538653</v>
      </c>
    </row>
    <row r="133" spans="1:10" hidden="1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drivhus",Landbrug!C$52,1-Landbrug!C$52),1)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drivhus",Landbrug!D$52,1-Landbrug!D$52),1)</f>
        <v>133473.67025063769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drivhus",Landbrug!E$52,1-Landbrug!E$52),1)</f>
        <v>147683.37740574434</v>
      </c>
    </row>
    <row r="134" spans="1:10" hidden="1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drivhus",Landbrug!C$52,1-Landbrug!C$52),1)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drivhus",Landbrug!D$52,1-Landbrug!D$52),1)</f>
        <v>-9388211.5314472727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drivhus",Landbrug!E$52,1-Landbrug!E$52),1)</f>
        <v>-10387687.580330584</v>
      </c>
    </row>
    <row r="135" spans="1:10" hidden="1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drivhus",Landbrug!C$52,1-Landbrug!C$52),1)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drivhus",Landbrug!D$52,1-Landbrug!D$52),1)</f>
        <v>199122.42238632197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drivhus",Landbrug!E$52,1-Landbrug!E$52),1)</f>
        <v>220321.14498690597</v>
      </c>
    </row>
    <row r="136" spans="1:10" hidden="1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drivhus",Landbrug!C$52,1-Landbrug!C$52),1)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drivhus",Landbrug!D$52,1-Landbrug!D$52),1)</f>
        <v>16962.34845758829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drivhus",Landbrug!E$52,1-Landbrug!E$52),1)</f>
        <v>0.55855889554392679</v>
      </c>
    </row>
    <row r="137" spans="1:10" hidden="1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drivhus",Landbrug!C$52,1-Landbrug!C$52),1)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drivhus",Landbrug!D$52,1-Landbrug!D$52),1)</f>
        <v>5134.5914873949623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drivhus",Landbrug!E$52,1-Landbrug!E$52),1)</f>
        <v>0.16907869552612334</v>
      </c>
    </row>
    <row r="138" spans="1:10" hidden="1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drivhus",Landbrug!C$52,1-Landbrug!C$52),1)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drivhus",Landbrug!D$52,1-Landbrug!D$52),1)</f>
        <v>-244531.76559766231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drivhus",Landbrug!E$52,1-Landbrug!E$52),1)</f>
        <v>-8.0522690156464574</v>
      </c>
    </row>
    <row r="139" spans="1:10" hidden="1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drivhus",Landbrug!C$52,1-Landbrug!C$52),1)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drivhus",Landbrug!D$52,1-Landbrug!D$52),1)</f>
        <v>44896.409398156262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drivhus",Landbrug!E$52,1-Landbrug!E$52),1)</f>
        <v>1.4784090133523664</v>
      </c>
    </row>
    <row r="140" spans="1:10" hidden="1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drivhus",Landbrug!C$52,1-Landbrug!C$52),1)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drivhus",Landbrug!D$52,1-Landbrug!D$52),1)</f>
        <v>0.32645201719650091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drivhus",Landbrug!E$52,1-Landbrug!E$52),1)</f>
        <v>0.42317854081027884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drivhus",Landbrug!C$52,1-Landbrug!C$52),1)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drivhus",Landbrug!D$52,1-Landbrug!D$52),1)</f>
        <v>9.881873095173932E-2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drivhus",Landbrug!E$52,1-Landbrug!E$52),1)</f>
        <v>0.12809835493743982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drivhus",Landbrug!C$52,1-Landbrug!C$52),1)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drivhus",Landbrug!D$52,1-Landbrug!D$52),1)</f>
        <v>-3.1029767214642057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drivhus",Landbrug!E$52,1-Landbrug!E$52),1)</f>
        <v>-4.0223772315276731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drivhus",Landbrug!C$52,1-Landbrug!C$52),1)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drivhus",Landbrug!D$52,1-Landbrug!D$52),1)</f>
        <v>1.8965993183108087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drivhus",Landbrug!E$52,1-Landbrug!E$52),1)</f>
        <v>2.4585546718843809</v>
      </c>
    </row>
    <row r="144" spans="1:10" hidden="1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drivhus",Landbrug!C$52,1-Landbrug!C$52),1)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drivhus",Landbrug!D$52,1-Landbrug!D$52),1)</f>
        <v>310028.70469894953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drivhus",Landbrug!E$52,1-Landbrug!E$52),1)</f>
        <v>252389.61412906172</v>
      </c>
    </row>
    <row r="145" spans="1:10" hidden="1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drivhus",Landbrug!C$52,1-Landbrug!C$52),1)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drivhus",Landbrug!D$52,1-Landbrug!D$52),1)</f>
        <v>-2805694.7811988289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drivhus",Landbrug!E$52,1-Landbrug!E$52),1)</f>
        <v>-2284073.0953552057</v>
      </c>
    </row>
    <row r="146" spans="1:10" hidden="1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drivhus",Landbrug!C$52,1-Landbrug!C$52),1)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drivhus",Landbrug!D$52,1-Landbrug!D$52),1)</f>
        <v>31896.462104475646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drivhus",Landbrug!E$52,1-Landbrug!E$52),1)</f>
        <v>25966.420659171064</v>
      </c>
    </row>
    <row r="147" spans="1:10" hidden="1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drivhus",Landbrug!C$52,1-Landbrug!C$52),1)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drivhus",Landbrug!D$52,1-Landbrug!D$52),1)</f>
        <v>1890.045129396352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drivhus",Landbrug!E$52,1-Landbrug!E$52),1)</f>
        <v>4.5791906684726116E-2</v>
      </c>
    </row>
    <row r="148" spans="1:10" hidden="1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drivhus",Landbrug!C$52,1-Landbrug!C$52),1)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drivhus",Landbrug!D$52,1-Landbrug!D$52),1)</f>
        <v>-13897.416146524663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drivhus",Landbrug!E$52,1-Landbrug!E$52),1)</f>
        <v>-0.3367058137620848</v>
      </c>
    </row>
    <row r="149" spans="1:10" hidden="1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drivhus",Landbrug!C$52,1-Landbrug!C$52),1)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drivhus",Landbrug!D$52,1-Landbrug!D$52),1)</f>
        <v>1139.7088795537434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drivhus",Landbrug!E$52,1-Landbrug!E$52),1)</f>
        <v>2.761280238686533E-2</v>
      </c>
    </row>
    <row r="150" spans="1:10" hidden="1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drivhus",Landbrug!C$52,1-Landbrug!C$52),1)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drivhus",Landbrug!D$52,1-Landbrug!D$52),1)</f>
        <v>1.835133254031052E-2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drivhus",Landbrug!E$52,1-Landbrug!E$52),1)</f>
        <v>1.7502716006654543E-2</v>
      </c>
    </row>
    <row r="151" spans="1:10" hidden="1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drivhus",Landbrug!C$52,1-Landbrug!C$52),1)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drivhus",Landbrug!D$52,1-Landbrug!D$52),1)</f>
        <v>-0.11269423328091767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drivhus",Landbrug!E$52,1-Landbrug!E$52),1)</f>
        <v>-0.10748293925636654</v>
      </c>
    </row>
    <row r="152" spans="1:10" hidden="1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drivhus",Landbrug!C$52,1-Landbrug!C$52),1)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drivhus",Landbrug!D$52,1-Landbrug!D$52),1)</f>
        <v>2.4289577885780251E-2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drivhus",Landbrug!E$52,1-Landbrug!E$52),1)</f>
        <v>2.3166360411293298E-2</v>
      </c>
    </row>
    <row r="153" spans="1:10" hidden="1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drivhus",Landbrug!C$52,1-Landbrug!C$52),1)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drivhus",Landbrug!D$52,1-Landbrug!D$52),1)</f>
        <v>27580.010204143542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drivhus",Landbrug!E$52,1-Landbrug!E$52),1)</f>
        <v>30516.198799241094</v>
      </c>
    </row>
    <row r="154" spans="1:10" hidden="1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drivhus",Landbrug!C$52,1-Landbrug!C$52),1)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drivhus",Landbrug!D$52,1-Landbrug!D$52),1)</f>
        <v>-249593.31030433511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drivhus",Landbrug!E$52,1-Landbrug!E$52),1)</f>
        <v>-276165.20152931119</v>
      </c>
    </row>
    <row r="155" spans="1:10" hidden="1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drivhus",Landbrug!C$52,1-Landbrug!C$52),1)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drivhus",Landbrug!D$52,1-Landbrug!D$52),1)</f>
        <v>4978.060559658049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drivhus",Landbrug!E$52,1-Landbrug!E$52),1)</f>
        <v>5508.02862467265</v>
      </c>
    </row>
    <row r="156" spans="1:10" hidden="1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drivhus",Landbrug!C$52,1-Landbrug!C$52),1)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drivhus",Landbrug!D$52,1-Landbrug!D$52),1)</f>
        <v>168.13754070179107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drivhus",Landbrug!E$52,1-Landbrug!E$52),1)</f>
        <v>5.5366578082441586E-3</v>
      </c>
    </row>
    <row r="157" spans="1:10" hidden="1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drivhus",Landbrug!C$52,1-Landbrug!C$52),1)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drivhus",Landbrug!D$52,1-Landbrug!D$52),1)</f>
        <v>-1236.3077138440149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drivhus",Landbrug!E$52,1-Landbrug!E$52),1)</f>
        <v>-4.0710793845779338E-2</v>
      </c>
    </row>
    <row r="158" spans="1:10" hidden="1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drivhus",Landbrug!C$52,1-Landbrug!C$52),1)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drivhus",Landbrug!D$52,1-Landbrug!D$52),1)</f>
        <v>177.8736401615669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drivhus",Landbrug!E$52,1-Landbrug!E$52),1)</f>
        <v>5.857261112365373E-3</v>
      </c>
    </row>
    <row r="159" spans="1:10" hidden="1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drivhus",Landbrug!C$52,1-Landbrug!C$52),1)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drivhus",Landbrug!D$52,1-Landbrug!D$52),1)</f>
        <v>1.6325260566206876E-3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drivhus",Landbrug!E$52,1-Landbrug!E$52),1)</f>
        <v>2.1162374808045945E-3</v>
      </c>
    </row>
    <row r="160" spans="1:10" hidden="1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drivhus",Landbrug!C$52,1-Landbrug!C$52),1)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drivhus",Landbrug!D$52,1-Landbrug!D$52),1)</f>
        <v>-1.002522687973019E-2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drivhus",Landbrug!E$52,1-Landbrug!E$52),1)</f>
        <v>-1.2995664473724317E-2</v>
      </c>
    </row>
    <row r="161" spans="1:10" hidden="1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drivhus",Landbrug!C$52,1-Landbrug!C$52),1)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drivhus",Landbrug!D$52,1-Landbrug!D$52),1)</f>
        <v>3.7908589763934494E-3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drivhus",Landbrug!E$52,1-Landbrug!E$52),1)</f>
        <v>4.9140764508803962E-3</v>
      </c>
    </row>
    <row r="162" spans="1:10" hidden="1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drivhus",Landbrug!C$52,1-Landbrug!C$52),1)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drivhus",Landbrug!D$52,1-Landbrug!D$52),1)</f>
        <v>34605.419519709823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drivhus",Landbrug!E$52,1-Landbrug!E$52),1)</f>
        <v>28029.348429707457</v>
      </c>
    </row>
    <row r="163" spans="1:10" hidden="1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drivhus",Landbrug!C$52,1-Landbrug!C$52),1)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drivhus",Landbrug!D$52,1-Landbrug!D$52),1)</f>
        <v>-29609460.9297335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drivhus",Landbrug!E$52,1-Landbrug!E$52),1)</f>
        <v>-23982772.315261599</v>
      </c>
    </row>
    <row r="164" spans="1:10" hidden="1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drivhus",Landbrug!C$52,1-Landbrug!C$52),1)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drivhus",Landbrug!D$52,1-Landbrug!D$52),1)</f>
        <v>6411.7013847824637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drivhus",Landbrug!E$52,1-Landbrug!E$52),1)</f>
        <v>5193.2851742758603</v>
      </c>
    </row>
    <row r="165" spans="1:10" hidden="1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drivhus",Landbrug!C$52,1-Landbrug!C$52),1)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drivhus",Landbrug!D$52,1-Landbrug!D$52),1)</f>
        <v>3078.4821179672504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drivhus",Landbrug!E$52,1-Landbrug!E$52),1)</f>
        <v>3389.0030374100838</v>
      </c>
    </row>
    <row r="166" spans="1:10" hidden="1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drivhus",Landbrug!C$52,1-Landbrug!C$52),1)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drivhus",Landbrug!D$52,1-Landbrug!D$52),1)</f>
        <v>-2634043.9520728248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drivhus",Landbrug!E$52,1-Landbrug!E$52),1)</f>
        <v>-2899735.1981179933</v>
      </c>
    </row>
    <row r="167" spans="1:10" hidden="1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drivhus",Landbrug!C$52,1-Landbrug!C$52),1)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drivhus",Landbrug!D$52,1-Landbrug!D$52),1)</f>
        <v>1000.6701583186507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drivhus",Landbrug!E$52,1-Landbrug!E$52),1)</f>
        <v>1101.6059460585159</v>
      </c>
    </row>
    <row r="168" spans="1:10" hidden="1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drivhus",Landbrug!C$52,1-Landbrug!C$52),1)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drivhus",Landbrug!D$52,1-Landbrug!D$52),1)</f>
        <v>1596749.1053775251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drivhus",Landbrug!E$52,1-Landbrug!E$52),1)</f>
        <v>1299888.9601480295</v>
      </c>
    </row>
    <row r="169" spans="1:10" hidden="1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drivhus",Landbrug!C$52,1-Landbrug!C$52),1)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drivhus",Landbrug!D$52,1-Landbrug!D$52),1)</f>
        <v>-5260677.7147478051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drivhus",Landbrug!E$52,1-Landbrug!E$52),1)</f>
        <v>-4282637.0537910108</v>
      </c>
    </row>
    <row r="170" spans="1:10" hidden="1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drivhus",Landbrug!C$52,1-Landbrug!C$52),1)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drivhus",Landbrug!D$52,1-Landbrug!D$52),1)</f>
        <v>79741.155261189124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drivhus",Landbrug!E$52,1-Landbrug!E$52),1)</f>
        <v>64916.051647927663</v>
      </c>
    </row>
    <row r="171" spans="1:10" hidden="1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drivhus",Landbrug!C$52,1-Landbrug!C$52),1)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drivhus",Landbrug!D$52,1-Landbrug!D$52),1)</f>
        <v>61472.06133240278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drivhus",Landbrug!E$52,1-Landbrug!E$52),1)</f>
        <v>1.4893416313028394</v>
      </c>
    </row>
    <row r="172" spans="1:10" hidden="1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drivhus",Landbrug!C$52,1-Landbrug!C$52),1)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drivhus",Landbrug!D$52,1-Landbrug!D$52),1)</f>
        <v>-135017.95702359162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drivhus",Landbrug!E$52,1-Landbrug!E$52),1)</f>
        <v>-3.271207439772259</v>
      </c>
    </row>
    <row r="173" spans="1:10" hidden="1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drivhus",Landbrug!C$52,1-Landbrug!C$52),1)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drivhus",Landbrug!D$52,1-Landbrug!D$52),1)</f>
        <v>17993.049190363032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drivhus",Landbrug!E$52,1-Landbrug!E$52),1)</f>
        <v>0.43593457991235474</v>
      </c>
    </row>
    <row r="174" spans="1:10" hidden="1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drivhus",Landbrug!C$52,1-Landbrug!C$52),1)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drivhus",Landbrug!D$52,1-Landbrug!D$52),1)</f>
        <v>2.0010902324434707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drivhus",Landbrug!E$52,1-Landbrug!E$52),1)</f>
        <v>1.9085542679374146</v>
      </c>
    </row>
    <row r="175" spans="1:10" hidden="1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drivhus",Landbrug!C$52,1-Landbrug!C$52),1)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drivhus",Landbrug!D$52,1-Landbrug!D$52),1)</f>
        <v>-2.8254973331828976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drivhus",Landbrug!E$52,1-Landbrug!E$52),1)</f>
        <v>-2.6948384969663475</v>
      </c>
    </row>
    <row r="176" spans="1:10" hidden="1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drivhus",Landbrug!C$52,1-Landbrug!C$52),1)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drivhus",Landbrug!D$52,1-Landbrug!D$52),1)</f>
        <v>1.2856544802739025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drivhus",Landbrug!E$52,1-Landbrug!E$52),1)</f>
        <v>1.2262022499722192</v>
      </c>
    </row>
    <row r="177" spans="1:10" hidden="1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drivhus",Landbrug!C$52,1-Landbrug!C$52),1)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drivhus",Landbrug!D$52,1-Landbrug!D$52),1)</f>
        <v>142046.0620332954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drivhus",Landbrug!E$52,1-Landbrug!E$52),1)</f>
        <v>157168.39245426172</v>
      </c>
    </row>
    <row r="178" spans="1:10" hidden="1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drivhus",Landbrug!C$52,1-Landbrug!C$52),1)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drivhus",Landbrug!D$52,1-Landbrug!D$52),1)</f>
        <v>-467987.45682062831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drivhus",Landbrug!E$52,1-Landbrug!E$52),1)</f>
        <v>-517809.75286745845</v>
      </c>
    </row>
    <row r="179" spans="1:10" hidden="1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drivhus",Landbrug!C$52,1-Landbrug!C$52),1)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drivhus",Landbrug!D$52,1-Landbrug!D$52),1)</f>
        <v>12445.151399145123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drivhus",Landbrug!E$52,1-Landbrug!E$52),1)</f>
        <v>13770.071561681623</v>
      </c>
    </row>
    <row r="180" spans="1:10" hidden="1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drivhus",Landbrug!C$52,1-Landbrug!C$52),1)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drivhus",Landbrug!D$52,1-Landbrug!D$52),1)</f>
        <v>5468.5261497438078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drivhus",Landbrug!E$52,1-Landbrug!E$52),1)</f>
        <v>0.18007494269388874</v>
      </c>
    </row>
    <row r="181" spans="1:10" hidden="1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drivhus",Landbrug!C$52,1-Landbrug!C$52),1)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drivhus",Landbrug!D$52,1-Landbrug!D$52),1)</f>
        <v>-12011.135020769218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drivhus",Landbrug!E$52,1-Landbrug!E$52),1)</f>
        <v>-0.39551871771791858</v>
      </c>
    </row>
    <row r="182" spans="1:10" hidden="1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drivhus",Landbrug!C$52,1-Landbrug!C$52),1)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drivhus",Landbrug!D$52,1-Landbrug!D$52),1)</f>
        <v>2808.1637464728433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drivhus",Landbrug!E$52,1-Landbrug!E$52),1)</f>
        <v>9.2470971496560098E-2</v>
      </c>
    </row>
    <row r="183" spans="1:10" hidden="1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drivhus",Landbrug!C$52,1-Landbrug!C$52),1)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drivhus",Landbrug!D$52,1-Landbrug!D$52),1)</f>
        <v>0.17801606171852613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drivhus",Landbrug!E$52,1-Landbrug!E$52),1)</f>
        <v>0.23076156148697827</v>
      </c>
    </row>
    <row r="184" spans="1:10" hidden="1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drivhus",Landbrug!C$52,1-Landbrug!C$52),1)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drivhus",Landbrug!D$52,1-Landbrug!D$52),1)</f>
        <v>-0.25135493617158844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drivhus",Landbrug!E$52,1-Landbrug!E$52),1)</f>
        <v>-0.32583047281502198</v>
      </c>
    </row>
    <row r="185" spans="1:10" hidden="1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drivhus",Landbrug!C$52,1-Landbrug!C$52),1)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drivhus",Landbrug!D$52,1-Landbrug!D$52),1)</f>
        <v>0.20065127726818136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drivhus",Landbrug!E$52,1-Landbrug!E$52),1)</f>
        <v>0.26010350756986467</v>
      </c>
    </row>
    <row r="186" spans="1:10" hidden="1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drivhus",Landbrug!C$52,1-Landbrug!C$52),1)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drivhus",Landbrug!D$52,1-Landbrug!D$52),1)</f>
        <v>7462115.6223094054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drivhus",Landbrug!E$52,1-Landbrug!E$52),1)</f>
        <v>6074793.8947457569</v>
      </c>
    </row>
    <row r="187" spans="1:10" hidden="1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drivhus",Landbrug!C$52,1-Landbrug!C$52),1)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drivhus",Landbrug!D$52,1-Landbrug!D$52),1)</f>
        <v>-21744134.554290928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drivhus",Landbrug!E$52,1-Landbrug!E$52),1)</f>
        <v>-17701566.489002846</v>
      </c>
    </row>
    <row r="188" spans="1:10" hidden="1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drivhus",Landbrug!C$52,1-Landbrug!C$52),1)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drivhus",Landbrug!D$52,1-Landbrug!D$52),1)</f>
        <v>318964.6210447565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drivhus",Landbrug!E$52,1-Landbrug!E$52),1)</f>
        <v>259664.20659171065</v>
      </c>
    </row>
    <row r="189" spans="1:10" hidden="1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drivhus",Landbrug!C$52,1-Landbrug!C$52),1)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drivhus",Landbrug!D$52,1-Landbrug!D$52),1)</f>
        <v>972660.7244525596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drivhus",Landbrug!E$52,1-Landbrug!E$52),1)</f>
        <v>23.565569116466033</v>
      </c>
    </row>
    <row r="190" spans="1:10" hidden="1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drivhus",Landbrug!C$52,1-Landbrug!C$52),1)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drivhus",Landbrug!D$52,1-Landbrug!D$52),1)</f>
        <v>-1980942.8237132172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drivhus",Landbrug!E$52,1-Landbrug!E$52),1)</f>
        <v>-47.994170890631111</v>
      </c>
    </row>
    <row r="191" spans="1:10" hidden="1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drivhus",Landbrug!C$52,1-Landbrug!C$52),1)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drivhus",Landbrug!D$52,1-Landbrug!D$52),1)</f>
        <v>243681.78612527228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drivhus",Landbrug!E$52,1-Landbrug!E$52),1)</f>
        <v>5.9039085561833859</v>
      </c>
    </row>
    <row r="192" spans="1:10" hidden="1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drivhus",Landbrug!C$52,1-Landbrug!C$52),1)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drivhus",Landbrug!D$52,1-Landbrug!D$52),1)</f>
        <v>38.001851974654684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drivhus",Landbrug!E$52,1-Landbrug!E$52),1)</f>
        <v>36.244540900682203</v>
      </c>
    </row>
    <row r="193" spans="1:10" hidden="1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drivhus",Landbrug!C$52,1-Landbrug!C$52),1)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drivhus",Landbrug!D$52,1-Landbrug!D$52),1)</f>
        <v>-53.581452210288894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drivhus",Landbrug!E$52,1-Landbrug!E$52),1)</f>
        <v>-51.103697194784196</v>
      </c>
    </row>
    <row r="194" spans="1:10" hidden="1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drivhus",Landbrug!C$52,1-Landbrug!C$52),1)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drivhus",Landbrug!D$52,1-Landbrug!D$52),1)</f>
        <v>20.897630996969323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drivhus",Landbrug!E$52,1-Landbrug!E$52),1)</f>
        <v>19.931266557803106</v>
      </c>
    </row>
    <row r="195" spans="1:10" hidden="1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drivhus",Landbrug!C$52,1-Landbrug!C$52),1)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drivhus",Landbrug!D$52,1-Landbrug!D$52),1)</f>
        <v>908393.95957130671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drivhus",Landbrug!E$52,1-Landbrug!E$52),1)</f>
        <v>1005102.2625852071</v>
      </c>
    </row>
    <row r="196" spans="1:10" hidden="1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drivhus",Landbrug!C$52,1-Landbrug!C$52),1)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drivhus",Landbrug!D$52,1-Landbrug!D$52),1)</f>
        <v>-2647002.7382275541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drivhus",Landbrug!E$52,1-Landbrug!E$52),1)</f>
        <v>-2928804.6372713796</v>
      </c>
    </row>
    <row r="197" spans="1:10" hidden="1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drivhus",Landbrug!C$52,1-Landbrug!C$52),1)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drivhus",Landbrug!D$52,1-Landbrug!D$52),1)</f>
        <v>49780.605596580492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drivhus",Landbrug!E$52,1-Landbrug!E$52),1)</f>
        <v>55080.286246726493</v>
      </c>
    </row>
    <row r="198" spans="1:10" hidden="1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drivhus",Landbrug!C$52,1-Landbrug!C$52),1)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drivhus",Landbrug!D$52,1-Landbrug!D$52),1)</f>
        <v>118405.98183220177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drivhus",Landbrug!E$52,1-Landbrug!E$52),1)</f>
        <v>3.8990305265425622</v>
      </c>
    </row>
    <row r="199" spans="1:10" hidden="1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drivhus",Landbrug!C$52,1-Landbrug!C$52),1)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drivhus",Landbrug!D$52,1-Landbrug!D$52),1)</f>
        <v>-241148.29981156276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drivhus",Landbrug!E$52,1-Landbrug!E$52),1)</f>
        <v>-7.9408537291771486</v>
      </c>
    </row>
    <row r="200" spans="1:10" hidden="1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drivhus",Landbrug!C$52,1-Landbrug!C$52),1)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drivhus",Landbrug!D$52,1-Landbrug!D$52),1)</f>
        <v>38031.261418395094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drivhus",Landbrug!E$52,1-Landbrug!E$52),1)</f>
        <v>1.2523442391904154</v>
      </c>
    </row>
    <row r="201" spans="1:10" hidden="1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drivhus",Landbrug!C$52,1-Landbrug!C$52),1)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drivhus",Landbrug!D$52,1-Landbrug!D$52),1)</f>
        <v>4.6261214022325303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drivhus",Landbrug!E$52,1-Landbrug!E$52),1)</f>
        <v>5.9968240399310559</v>
      </c>
    </row>
    <row r="202" spans="1:10" hidden="1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drivhus",Landbrug!C$52,1-Landbrug!C$52),1)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drivhus",Landbrug!D$52,1-Landbrug!D$52),1)</f>
        <v>-6.5226900783160939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drivhus",Landbrug!E$52,1-Landbrug!E$52),1)</f>
        <v>-8.45533899040975</v>
      </c>
    </row>
    <row r="203" spans="1:10" hidden="1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drivhus",Landbrug!C$52,1-Landbrug!C$52),1)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drivhus",Landbrug!D$52,1-Landbrug!D$52),1)</f>
        <v>3.2614799821859632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drivhus",Landbrug!E$52,1-Landbrug!E$52),1)</f>
        <v>4.2278444213521738</v>
      </c>
    </row>
    <row r="204" spans="1:10" hidden="1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drivhus",Landbrug!C$52,1-Landbrug!C$52),1)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drivhus",Landbrug!D$52,1-Landbrug!D$52),1)</f>
        <v>522438.32470582169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drivhus",Landbrug!E$52,1-Landbrug!E$52),1)</f>
        <v>425309.02842294966</v>
      </c>
    </row>
    <row r="205" spans="1:10" hidden="1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drivhus",Landbrug!C$52,1-Landbrug!C$52),1)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drivhus",Landbrug!D$52,1-Landbrug!D$52),1)</f>
        <v>143842.50032724059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drivhus",Landbrug!E$52,1-Landbrug!E$52),1)</f>
        <v>117099.97365632544</v>
      </c>
    </row>
    <row r="206" spans="1:10" hidden="1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drivhus",Landbrug!C$52,1-Landbrug!C$52),1)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drivhus",Landbrug!D$52,1-Landbrug!D$52),1)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drivhus",Landbrug!E$52,1-Landbrug!E$52),1)</f>
        <v>0</v>
      </c>
    </row>
    <row r="207" spans="1:10" hidden="1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drivhus",Landbrug!C$52,1-Landbrug!C$52),1)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drivhus",Landbrug!D$52,1-Landbrug!D$52),1)</f>
        <v>287068.15894028079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drivhus",Landbrug!E$52,1-Landbrug!E$52),1)</f>
        <v>233697.78593253958</v>
      </c>
    </row>
    <row r="208" spans="1:10" hidden="1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drivhus",Landbrug!C$52,1-Landbrug!C$52),1)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drivhus",Landbrug!D$52,1-Landbrug!D$52),1)</f>
        <v>7657.134218172675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drivhus",Landbrug!E$52,1-Landbrug!E$52),1)</f>
        <v>0.18551661552281196</v>
      </c>
    </row>
    <row r="209" spans="1:10" hidden="1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drivhus",Landbrug!C$52,1-Landbrug!C$52),1)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drivhus",Landbrug!D$52,1-Landbrug!D$52),1)</f>
        <v>2108.2322624463363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drivhus",Landbrug!E$52,1-Landbrug!E$52),1)</f>
        <v>5.1078132225607163E-2</v>
      </c>
    </row>
    <row r="210" spans="1:10" hidden="1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drivhus",Landbrug!C$52,1-Landbrug!C$52),1)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drivhus",Landbrug!D$52,1-Landbrug!D$52),1)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drivhus",Landbrug!E$52,1-Landbrug!E$52),1)</f>
        <v>0</v>
      </c>
    </row>
    <row r="211" spans="1:10" hidden="1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drivhus",Landbrug!C$52,1-Landbrug!C$52),1)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drivhus",Landbrug!D$52,1-Landbrug!D$52),1)</f>
        <v>24660.245998761078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drivhus",Landbrug!E$52,1-Landbrug!E$52),1)</f>
        <v>0.5974670477621441</v>
      </c>
    </row>
    <row r="212" spans="1:10" hidden="1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drivhus",Landbrug!C$52,1-Landbrug!C$52),1)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drivhus",Landbrug!D$52,1-Landbrug!D$52),1)</f>
        <v>9.8983310389589116E-2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drivhus",Landbrug!E$52,1-Landbrug!E$52),1)</f>
        <v>9.440604748140001E-2</v>
      </c>
    </row>
    <row r="213" spans="1:10" hidden="1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drivhus",Landbrug!C$52,1-Landbrug!C$52),1)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drivhus",Landbrug!D$52,1-Landbrug!D$52),1)</f>
        <v>2.7252990800632919E-2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drivhus",Landbrug!E$52,1-Landbrug!E$52),1)</f>
        <v>2.5992736890777055E-2</v>
      </c>
    </row>
    <row r="214" spans="1:10" hidden="1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drivhus",Landbrug!C$52,1-Landbrug!C$52),1)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drivhus",Landbrug!D$52,1-Landbrug!D$52),1)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drivhus",Landbrug!E$52,1-Landbrug!E$52),1)</f>
        <v>0</v>
      </c>
    </row>
    <row r="215" spans="1:10" hidden="1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drivhus",Landbrug!C$52,1-Landbrug!C$52),1)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drivhus",Landbrug!D$52,1-Landbrug!D$52),1)</f>
        <v>0.69971909188267134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drivhus",Landbrug!E$52,1-Landbrug!E$52),1)</f>
        <v>0.66736213965688296</v>
      </c>
    </row>
    <row r="216" spans="1:10" hidden="1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drivhus",Landbrug!C$52,1-Landbrug!C$52),1)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drivhus",Landbrug!D$52,1-Landbrug!D$52),1)</f>
        <v>46475.871775853164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drivhus",Landbrug!E$52,1-Landbrug!E$52),1)</f>
        <v>51423.727982047552</v>
      </c>
    </row>
    <row r="217" spans="1:10" hidden="1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drivhus",Landbrug!C$52,1-Landbrug!C$52),1)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drivhus",Landbrug!D$52,1-Landbrug!D$52),1)</f>
        <v>12796.162312348168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drivhus",Landbrug!E$52,1-Landbrug!E$52),1)</f>
        <v>14158.4513602648</v>
      </c>
    </row>
    <row r="218" spans="1:10" hidden="1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drivhus",Landbrug!C$52,1-Landbrug!C$52),1)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drivhus",Landbrug!D$52,1-Landbrug!D$52),1)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drivhus",Landbrug!E$52,1-Landbrug!E$52),1)</f>
        <v>0</v>
      </c>
    </row>
    <row r="219" spans="1:10" hidden="1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drivhus",Landbrug!C$52,1-Landbrug!C$52),1)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drivhus",Landbrug!D$52,1-Landbrug!D$52),1)</f>
        <v>44802.545036922449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drivhus",Landbrug!E$52,1-Landbrug!E$52),1)</f>
        <v>49572.257622053847</v>
      </c>
    </row>
    <row r="220" spans="1:10" hidden="1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drivhus",Landbrug!C$52,1-Landbrug!C$52),1)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drivhus",Landbrug!D$52,1-Landbrug!D$52),1)</f>
        <v>681.17511917732634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drivhus",Landbrug!E$52,1-Landbrug!E$52),1)</f>
        <v>2.2430645331394539E-2</v>
      </c>
    </row>
    <row r="221" spans="1:10" hidden="1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drivhus",Landbrug!C$52,1-Landbrug!C$52),1)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drivhus",Landbrug!D$52,1-Landbrug!D$52),1)</f>
        <v>187.54736716213358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drivhus",Landbrug!E$52,1-Landbrug!E$52),1)</f>
        <v>6.1758105327325017E-3</v>
      </c>
    </row>
    <row r="222" spans="1:10" hidden="1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drivhus",Landbrug!C$52,1-Landbrug!C$52),1)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drivhus",Landbrug!D$52,1-Landbrug!D$52),1)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drivhus",Landbrug!E$52,1-Landbrug!E$52),1)</f>
        <v>0</v>
      </c>
    </row>
    <row r="223" spans="1:10" hidden="1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drivhus",Landbrug!C$52,1-Landbrug!C$52),1)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drivhus",Landbrug!D$52,1-Landbrug!D$52),1)</f>
        <v>3848.7089131014404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drivhus",Landbrug!E$52,1-Landbrug!E$52),1)</f>
        <v>0.12673543437378815</v>
      </c>
    </row>
    <row r="224" spans="1:10" hidden="1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drivhus",Landbrug!C$52,1-Landbrug!C$52),1)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drivhus",Landbrug!D$52,1-Landbrug!D$52),1)</f>
        <v>8.8055095196287649E-3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drivhus",Landbrug!E$52,1-Landbrug!E$52),1)</f>
        <v>1.1414549377296546E-2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drivhus",Landbrug!C$52,1-Landbrug!C$52),1)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drivhus",Landbrug!D$52,1-Landbrug!D$52),1)</f>
        <v>2.4244134590852054E-3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drivhus",Landbrug!E$52,1-Landbrug!E$52),1)</f>
        <v>3.1427581877030444E-3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drivhus",Landbrug!C$52,1-Landbrug!C$52),1)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drivhus",Landbrug!D$52,1-Landbrug!D$52),1)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drivhus",Landbrug!E$52,1-Landbrug!E$52),1)</f>
        <v>0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drivhus",Landbrug!C$52,1-Landbrug!C$52),1)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drivhus",Landbrug!D$52,1-Landbrug!D$52),1)</f>
        <v>0.1092047137620354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drivhus",Landbrug!E$52,1-Landbrug!E$52),1)</f>
        <v>0.14156166598782366</v>
      </c>
    </row>
    <row r="228" spans="1:10" hidden="1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drivhus",Landbrug!C$52,1-Landbrug!C$52),1)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drivhus",Landbrug!D$52,1-Landbrug!D$52),1)</f>
        <v>1221936.1911077139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drivhus",Landbrug!E$52,1-Landbrug!E$52),1)</f>
        <v>994759.51448909915</v>
      </c>
    </row>
    <row r="229" spans="1:10" hidden="1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drivhus",Landbrug!C$52,1-Landbrug!C$52),1)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drivhus",Landbrug!D$52,1-Landbrug!D$52),1)</f>
        <v>-1893843.9773092095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drivhus",Landbrug!E$52,1-Landbrug!E$52),1)</f>
        <v>-1541749.3393647638</v>
      </c>
    </row>
    <row r="230" spans="1:10" hidden="1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drivhus",Landbrug!C$52,1-Landbrug!C$52),1)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drivhus",Landbrug!D$52,1-Landbrug!D$52),1)</f>
        <v>31896.462104475646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drivhus",Landbrug!E$52,1-Landbrug!E$52),1)</f>
        <v>25966.420659171064</v>
      </c>
    </row>
    <row r="231" spans="1:10" hidden="1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drivhus",Landbrug!C$52,1-Landbrug!C$52),1)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drivhus",Landbrug!D$52,1-Landbrug!D$52),1)</f>
        <v>3085.4320588884757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drivhus",Landbrug!E$52,1-Landbrug!E$52),1)</f>
        <v>7.4753673721964703E-2</v>
      </c>
    </row>
    <row r="232" spans="1:10" hidden="1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drivhus",Landbrug!C$52,1-Landbrug!C$52),1)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drivhus",Landbrug!D$52,1-Landbrug!D$52),1)</f>
        <v>-3099.4593262392268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drivhus",Landbrug!E$52,1-Landbrug!E$52),1)</f>
        <v>-7.509352556337151E-2</v>
      </c>
    </row>
    <row r="233" spans="1:10" hidden="1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drivhus",Landbrug!C$52,1-Landbrug!C$52),1)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drivhus",Landbrug!D$52,1-Landbrug!D$52),1)</f>
        <v>472.05339285400112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drivhus",Landbrug!E$52,1-Landbrug!E$52),1)</f>
        <v>1.1436882950346606E-2</v>
      </c>
    </row>
    <row r="234" spans="1:10" hidden="1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drivhus",Landbrug!C$52,1-Landbrug!C$52),1)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drivhus",Landbrug!D$52,1-Landbrug!D$52),1)</f>
        <v>4.1400673880798877E-2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drivhus",Landbrug!E$52,1-Landbrug!E$52),1)</f>
        <v>3.9486191851628986E-2</v>
      </c>
    </row>
    <row r="235" spans="1:10" hidden="1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drivhus",Landbrug!C$52,1-Landbrug!C$52),1)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drivhus",Landbrug!D$52,1-Landbrug!D$52),1)</f>
        <v>-2.546258775273496E-2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drivhus",Landbrug!E$52,1-Landbrug!E$52),1)</f>
        <v>-2.4285127047406173E-2</v>
      </c>
    </row>
    <row r="236" spans="1:10" hidden="1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drivhus",Landbrug!C$52,1-Landbrug!C$52),1)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drivhus",Landbrug!D$52,1-Landbrug!D$52),1)</f>
        <v>1.390314815273707E-2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drivhus",Landbrug!E$52,1-Landbrug!E$52),1)</f>
        <v>1.3260228006945761E-2</v>
      </c>
    </row>
    <row r="237" spans="1:10" hidden="1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drivhus",Landbrug!C$52,1-Landbrug!C$52),1)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drivhus",Landbrug!D$52,1-Landbrug!D$52),1)</f>
        <v>108702.87850374402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drivhus",Landbrug!E$52,1-Landbrug!E$52),1)</f>
        <v>120275.46857004562</v>
      </c>
    </row>
    <row r="238" spans="1:10" hidden="1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drivhus",Landbrug!C$52,1-Landbrug!C$52),1)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drivhus",Landbrug!D$52,1-Landbrug!D$52),1)</f>
        <v>-168475.48445542619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drivhus",Landbrug!E$52,1-Landbrug!E$52),1)</f>
        <v>-186411.51103228505</v>
      </c>
    </row>
    <row r="239" spans="1:10" hidden="1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drivhus",Landbrug!C$52,1-Landbrug!C$52),1)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drivhus",Landbrug!D$52,1-Landbrug!D$52),1)</f>
        <v>4978.060559658049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drivhus",Landbrug!E$52,1-Landbrug!E$52),1)</f>
        <v>5508.02862467265</v>
      </c>
    </row>
    <row r="240" spans="1:10" hidden="1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drivhus",Landbrug!C$52,1-Landbrug!C$52),1)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drivhus",Landbrug!D$52,1-Landbrug!D$52),1)</f>
        <v>274.47860916932729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drivhus",Landbrug!E$52,1-Landbrug!E$52),1)</f>
        <v>9.0383987318375502E-3</v>
      </c>
    </row>
    <row r="241" spans="1:10" hidden="1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drivhus",Landbrug!C$52,1-Landbrug!C$52),1)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drivhus",Landbrug!D$52,1-Landbrug!D$52),1)</f>
        <v>-275.72646838625258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drivhus",Landbrug!E$52,1-Landbrug!E$52),1)</f>
        <v>-9.0794899090258282E-3</v>
      </c>
    </row>
    <row r="242" spans="1:10" hidden="1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drivhus",Landbrug!C$52,1-Landbrug!C$52),1)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drivhus",Landbrug!D$52,1-Landbrug!D$52),1)</f>
        <v>73.673072873167797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drivhus",Landbrug!E$52,1-Landbrug!E$52),1)</f>
        <v>2.4260054743159469E-3</v>
      </c>
    </row>
    <row r="243" spans="1:10" hidden="1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drivhus",Landbrug!C$52,1-Landbrug!C$52),1)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drivhus",Landbrug!D$52,1-Landbrug!D$52),1)</f>
        <v>3.6829848036155767E-3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drivhus",Landbrug!E$52,1-Landbrug!E$52),1)</f>
        <v>4.7742395602424137E-3</v>
      </c>
    </row>
    <row r="244" spans="1:10" hidden="1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drivhus",Landbrug!C$52,1-Landbrug!C$52),1)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drivhus",Landbrug!D$52,1-Landbrug!D$52),1)</f>
        <v>-2.2651400318762483E-3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drivhus",Landbrug!E$52,1-Landbrug!E$52),1)</f>
        <v>-2.9362926339136551E-3</v>
      </c>
    </row>
    <row r="245" spans="1:10" hidden="1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drivhus",Landbrug!C$52,1-Landbrug!C$52),1)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drivhus",Landbrug!D$52,1-Landbrug!D$52),1)</f>
        <v>2.1698554920456699E-3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drivhus",Landbrug!E$52,1-Landbrug!E$52),1)</f>
        <v>2.8127756378369794E-3</v>
      </c>
    </row>
    <row r="246" spans="1:10" hidden="1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drivhus",Landbrug!C$52,1-Landbrug!C$52),1)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drivhus",Landbrug!D$52,1-Landbrug!D$52),1)</f>
        <v>63838.5344955732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drivhus",Landbrug!E$52,1-Landbrug!E$52),1)</f>
        <v>51969.971953236076</v>
      </c>
    </row>
    <row r="247" spans="1:10" hidden="1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drivhus",Landbrug!C$52,1-Landbrug!C$52),1)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drivhus",Landbrug!D$52,1-Landbrug!D$52),1)</f>
        <v>-981993.17341959011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drivhus",Landbrug!E$52,1-Landbrug!E$52),1)</f>
        <v>-799425.58337432204</v>
      </c>
    </row>
    <row r="248" spans="1:10" hidden="1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drivhus",Landbrug!C$52,1-Landbrug!C$52),1)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drivhus",Landbrug!D$52,1-Landbrug!D$52),1)</f>
        <v>13787.846070714724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drivhus",Landbrug!E$52,1-Landbrug!E$52),1)</f>
        <v>11224.474046162024</v>
      </c>
    </row>
    <row r="249" spans="1:10" hidden="1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drivhus",Landbrug!C$52,1-Landbrug!C$52),1)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drivhus",Landbrug!D$52,1-Landbrug!D$52),1)</f>
        <v>708.95734169055743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drivhus",Landbrug!E$52,1-Landbrug!E$52),1)</f>
        <v>1.7176578447369726E-2</v>
      </c>
    </row>
    <row r="250" spans="1:10" hidden="1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drivhus",Landbrug!C$52,1-Landbrug!C$52),1)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drivhus",Landbrug!D$52,1-Landbrug!D$52),1)</f>
        <v>-9087.9183877320957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drivhus",Landbrug!E$52,1-Landbrug!E$52),1)</f>
        <v>-0.22018157360207954</v>
      </c>
    </row>
    <row r="251" spans="1:10" hidden="1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drivhus",Landbrug!C$52,1-Landbrug!C$52),1)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drivhus",Landbrug!D$52,1-Landbrug!D$52),1)</f>
        <v>692.09005919036315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drivhus",Landbrug!E$52,1-Landbrug!E$52),1)</f>
        <v>1.6767918879266978E-2</v>
      </c>
    </row>
    <row r="252" spans="1:10" hidden="1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drivhus",Landbrug!C$52,1-Landbrug!C$52),1)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drivhus",Landbrug!D$52,1-Landbrug!D$52),1)</f>
        <v>1.5416362042146159E-2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drivhus",Landbrug!E$52,1-Landbrug!E$52),1)</f>
        <v>1.4703466687596051E-2</v>
      </c>
    </row>
    <row r="253" spans="1:10" hidden="1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drivhus",Landbrug!C$52,1-Landbrug!C$52),1)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drivhus",Landbrug!D$52,1-Landbrug!D$52),1)</f>
        <v>-0.1693867460636983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drivhus",Landbrug!E$52,1-Landbrug!E$52),1)</f>
        <v>-0.16155383295092615</v>
      </c>
    </row>
    <row r="254" spans="1:10" hidden="1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drivhus",Landbrug!C$52,1-Landbrug!C$52),1)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drivhus",Landbrug!D$52,1-Landbrug!D$52),1)</f>
        <v>3.4484351901502862E-2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drivhus",Landbrug!E$52,1-Landbrug!E$52),1)</f>
        <v>3.2889699790450713E-2</v>
      </c>
    </row>
    <row r="255" spans="1:10" hidden="1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drivhus",Landbrug!C$52,1-Landbrug!C$52),1)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drivhus",Landbrug!D$52,1-Landbrug!D$52),1)</f>
        <v>5679.0465080165986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drivhus",Landbrug!E$52,1-Landbrug!E$52),1)</f>
        <v>6283.6420634367241</v>
      </c>
    </row>
    <row r="256" spans="1:10" hidden="1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drivhus",Landbrug!C$52,1-Landbrug!C$52),1)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drivhus",Landbrug!D$52,1-Landbrug!D$52),1)</f>
        <v>-87357.658606517303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drivhus",Landbrug!E$52,1-Landbrug!E$52),1)</f>
        <v>-96657.820535258928</v>
      </c>
    </row>
    <row r="257" spans="1:10" hidden="1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drivhus",Landbrug!C$52,1-Landbrug!C$52),1)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drivhus",Landbrug!D$52,1-Landbrug!D$52),1)</f>
        <v>2151.8603694179051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drivhus",Landbrug!E$52,1-Landbrug!E$52),1)</f>
        <v>2380.9490400949744</v>
      </c>
    </row>
    <row r="258" spans="1:10" hidden="1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drivhus",Landbrug!C$52,1-Landbrug!C$52),1)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drivhus",Landbrug!D$52,1-Landbrug!D$52),1)</f>
        <v>63.068517275246698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drivhus",Landbrug!E$52,1-Landbrug!E$52),1)</f>
        <v>2.076804485000157E-3</v>
      </c>
    </row>
    <row r="259" spans="1:10" hidden="1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drivhus",Landbrug!C$52,1-Landbrug!C$52),1)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drivhus",Landbrug!D$52,1-Landbrug!D$52),1)</f>
        <v>-808.4570172670343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drivhus",Landbrug!E$52,1-Landbrug!E$52),1)</f>
        <v>-2.6621953899160521E-2</v>
      </c>
    </row>
    <row r="260" spans="1:10" hidden="1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drivhus",Landbrug!C$52,1-Landbrug!C$52),1)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drivhus",Landbrug!D$52,1-Landbrug!D$52),1)</f>
        <v>108.0140554805769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drivhus",Landbrug!E$52,1-Landbrug!E$52),1)</f>
        <v>3.5568312774202676E-3</v>
      </c>
    </row>
    <row r="261" spans="1:10" hidden="1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drivhus",Landbrug!C$52,1-Landbrug!C$52),1)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drivhus",Landbrug!D$52,1-Landbrug!D$52),1)</f>
        <v>1.3714324383157768E-3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drivhus",Landbrug!E$52,1-Landbrug!E$52),1)</f>
        <v>1.7777827904093401E-3</v>
      </c>
    </row>
    <row r="262" spans="1:10" hidden="1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drivhus",Landbrug!C$52,1-Landbrug!C$52),1)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drivhus",Landbrug!D$52,1-Landbrug!D$52),1)</f>
        <v>-1.5068566600695473E-2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drivhus",Landbrug!E$52,1-Landbrug!E$52),1)</f>
        <v>-1.9533327074975612E-2</v>
      </c>
    </row>
    <row r="263" spans="1:10" hidden="1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drivhus",Landbrug!C$52,1-Landbrug!C$52),1)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drivhus",Landbrug!D$52,1-Landbrug!D$52),1)</f>
        <v>5.381950874801025E-3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drivhus",Landbrug!E$52,1-Landbrug!E$52),1)</f>
        <v>6.9766029858531805E-3</v>
      </c>
    </row>
    <row r="264" spans="1:10" hidden="1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drivhus",Landbrug!C$52,1-Landbrug!C$52),1)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drivhus",Landbrug!D$52,1-Landbrug!D$52),1)</f>
        <v>1120217.5309043003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drivhus",Landbrug!E$52,1-Landbrug!E$52),1)</f>
        <v>911951.91309814411</v>
      </c>
    </row>
    <row r="265" spans="1:10" hidden="1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drivhus",Landbrug!C$52,1-Landbrug!C$52),1)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drivhus",Landbrug!D$52,1-Landbrug!D$52),1)</f>
        <v>-4983030.8353583375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drivhus",Landbrug!E$52,1-Landbrug!E$52),1)</f>
        <v>-4056608.9870631522</v>
      </c>
    </row>
    <row r="266" spans="1:10" hidden="1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drivhus",Landbrug!C$52,1-Landbrug!C$52),1)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drivhus",Landbrug!D$52,1-Landbrug!D$52),1)</f>
        <v>79741.155261189124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drivhus",Landbrug!E$52,1-Landbrug!E$52),1)</f>
        <v>64916.051647927663</v>
      </c>
    </row>
    <row r="267" spans="1:10" hidden="1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drivhus",Landbrug!C$52,1-Landbrug!C$52),1)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drivhus",Landbrug!D$52,1-Landbrug!D$52),1)</f>
        <v>44004.466038950108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drivhus",Landbrug!E$52,1-Landbrug!E$52),1)</f>
        <v>1.0661377187381633</v>
      </c>
    </row>
    <row r="268" spans="1:10" hidden="1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drivhus",Landbrug!C$52,1-Landbrug!C$52),1)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drivhus",Landbrug!D$52,1-Landbrug!D$52),1)</f>
        <v>-143507.16828434472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drivhus",Landbrug!E$52,1-Landbrug!E$52),1)</f>
        <v>-3.4768835709043713</v>
      </c>
    </row>
    <row r="269" spans="1:10" hidden="1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drivhus",Landbrug!C$52,1-Landbrug!C$52),1)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drivhus",Landbrug!D$52,1-Landbrug!D$52),1)</f>
        <v>18359.382197972347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drivhus",Landbrug!E$52,1-Landbrug!E$52),1)</f>
        <v>0.44481007533787331</v>
      </c>
    </row>
    <row r="270" spans="1:10" hidden="1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drivhus",Landbrug!C$52,1-Landbrug!C$52),1)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drivhus",Landbrug!D$52,1-Landbrug!D$52),1)</f>
        <v>0.956882367999908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drivhus",Landbrug!E$52,1-Landbrug!E$52),1)</f>
        <v>0.91263347236985437</v>
      </c>
    </row>
    <row r="271" spans="1:10" hidden="1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drivhus",Landbrug!C$52,1-Landbrug!C$52),1)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drivhus",Landbrug!D$52,1-Landbrug!D$52),1)</f>
        <v>-2.3092295763705035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drivhus",Landbrug!E$52,1-Landbrug!E$52),1)</f>
        <v>-2.2024443936481677</v>
      </c>
    </row>
    <row r="272" spans="1:10" hidden="1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drivhus",Landbrug!C$52,1-Landbrug!C$52),1)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drivhus",Landbrug!D$52,1-Landbrug!D$52),1)</f>
        <v>0.87629526334408736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drivhus",Landbrug!E$52,1-Landbrug!E$52),1)</f>
        <v>0.83577293902759764</v>
      </c>
    </row>
    <row r="273" spans="1:10" hidden="1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drivhus",Landbrug!C$52,1-Landbrug!C$52),1)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drivhus",Landbrug!D$52,1-Landbrug!D$52),1)</f>
        <v>99654.033529579072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drivhus",Landbrug!E$52,1-Landbrug!E$52),1)</f>
        <v>110263.27676550287</v>
      </c>
    </row>
    <row r="274" spans="1:10" hidden="1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drivhus",Landbrug!C$52,1-Landbrug!C$52),1)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drivhus",Landbrug!D$52,1-Landbrug!D$52),1)</f>
        <v>-443288.11882176186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drivhus",Landbrug!E$52,1-Landbrug!E$52),1)</f>
        <v>-490480.9047994538</v>
      </c>
    </row>
    <row r="275" spans="1:10" hidden="1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drivhus",Landbrug!C$52,1-Landbrug!C$52),1)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drivhus",Landbrug!D$52,1-Landbrug!D$52),1)</f>
        <v>12445.151399145123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drivhus",Landbrug!E$52,1-Landbrug!E$52),1)</f>
        <v>13770.071561681623</v>
      </c>
    </row>
    <row r="276" spans="1:10" hidden="1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drivhus",Landbrug!C$52,1-Landbrug!C$52),1)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drivhus",Landbrug!D$52,1-Landbrug!D$52),1)</f>
        <v>3914.6169499389716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drivhus",Landbrug!E$52,1-Landbrug!E$52),1)</f>
        <v>0.12890574235652336</v>
      </c>
    </row>
    <row r="277" spans="1:10" hidden="1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drivhus",Landbrug!C$52,1-Landbrug!C$52),1)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drivhus",Landbrug!D$52,1-Landbrug!D$52),1)</f>
        <v>-12766.331328878992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drivhus",Landbrug!E$52,1-Landbrug!E$52),1)</f>
        <v>-0.42038683175480124</v>
      </c>
    </row>
    <row r="278" spans="1:10" hidden="1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drivhus",Landbrug!C$52,1-Landbrug!C$52),1)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drivhus",Landbrug!D$52,1-Landbrug!D$52),1)</f>
        <v>2865.3371060419277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drivhus",Landbrug!E$52,1-Landbrug!E$52),1)</f>
        <v>9.4353652344397368E-2</v>
      </c>
    </row>
    <row r="279" spans="1:10" hidden="1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drivhus",Landbrug!C$52,1-Landbrug!C$52),1)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drivhus",Landbrug!D$52,1-Landbrug!D$52),1)</f>
        <v>8.5123812968315504E-2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drivhus",Landbrug!E$52,1-Landbrug!E$52),1)</f>
        <v>0.11034568347744603</v>
      </c>
    </row>
    <row r="280" spans="1:10" hidden="1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drivhus",Landbrug!C$52,1-Landbrug!C$52),1)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drivhus",Landbrug!D$52,1-Landbrug!D$52),1)</f>
        <v>-0.20542799526209277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drivhus",Landbrug!E$52,1-Landbrug!E$52),1)</f>
        <v>-0.26629554941382388</v>
      </c>
    </row>
    <row r="281" spans="1:10" hidden="1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drivhus",Landbrug!C$52,1-Landbrug!C$52),1)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drivhus",Landbrug!D$52,1-Landbrug!D$52),1)</f>
        <v>0.13676284456815238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drivhus",Landbrug!E$52,1-Landbrug!E$52),1)</f>
        <v>0.17728516888464194</v>
      </c>
    </row>
    <row r="282" spans="1:10" hidden="1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drivhus",Landbrug!C$52,1-Landbrug!C$52),1)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drivhus",Landbrug!D$52,1-Landbrug!D$52),1)</f>
        <v>3346823.5222590859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drivhus",Landbrug!E$52,1-Landbrug!E$52),1)</f>
        <v>2724597.7051101746</v>
      </c>
    </row>
    <row r="283" spans="1:10" hidden="1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drivhus",Landbrug!C$52,1-Landbrug!C$52),1)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drivhus",Landbrug!D$52,1-Landbrug!D$52),1)</f>
        <v>-11222779.124795318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drivhus",Landbrug!E$52,1-Landbrug!E$52),1)</f>
        <v>-9136292.3814208228</v>
      </c>
    </row>
    <row r="284" spans="1:10" hidden="1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drivhus",Landbrug!C$52,1-Landbrug!C$52),1)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drivhus",Landbrug!D$52,1-Landbrug!D$52),1)</f>
        <v>159482.31052237825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drivhus",Landbrug!E$52,1-Landbrug!E$52),1)</f>
        <v>129832.10329585533</v>
      </c>
    </row>
    <row r="285" spans="1:10" hidden="1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drivhus",Landbrug!C$52,1-Landbrug!C$52),1)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drivhus",Landbrug!D$52,1-Landbrug!D$52),1)</f>
        <v>218175.48732189485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drivhus",Landbrug!E$52,1-Landbrug!E$52),1)</f>
        <v>5.2859433888383958</v>
      </c>
    </row>
    <row r="286" spans="1:10" hidden="1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drivhus",Landbrug!C$52,1-Landbrug!C$52),1)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drivhus",Landbrug!D$52,1-Landbrug!D$52),1)</f>
        <v>-495354.00801273214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drivhus",Landbrug!E$52,1-Landbrug!E$52),1)</f>
        <v>-12.001408938880065</v>
      </c>
    </row>
    <row r="287" spans="1:10" hidden="1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drivhus",Landbrug!C$52,1-Landbrug!C$52),1)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drivhus",Landbrug!D$52,1-Landbrug!D$52),1)</f>
        <v>60934.999229604276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drivhus",Landbrug!E$52,1-Landbrug!E$52),1)</f>
        <v>1.4763297209982922</v>
      </c>
    </row>
    <row r="288" spans="1:10" hidden="1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drivhus",Landbrug!C$52,1-Landbrug!C$52),1)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drivhus",Landbrug!D$52,1-Landbrug!D$52),1)</f>
        <v>2.820341313820756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drivhus",Landbrug!E$52,1-Landbrug!E$52),1)</f>
        <v>2.6899209062452294</v>
      </c>
    </row>
    <row r="289" spans="1:10" hidden="1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drivhus",Landbrug!C$52,1-Landbrug!C$52),1)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drivhus",Landbrug!D$52,1-Landbrug!D$52),1)</f>
        <v>-4.2220294070089235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drivhus",Landbrug!E$52,1-Landbrug!E$52),1)</f>
        <v>-4.0267910529275861</v>
      </c>
    </row>
    <row r="290" spans="1:10" hidden="1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drivhus",Landbrug!C$52,1-Landbrug!C$52),1)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drivhus",Landbrug!D$52,1-Landbrug!D$52),1)</f>
        <v>1.7289925788636529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drivhus",Landbrug!E$52,1-Landbrug!E$52),1)</f>
        <v>1.6490391648121545</v>
      </c>
    </row>
    <row r="291" spans="1:10" hidden="1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drivhus",Landbrug!C$52,1-Landbrug!C$52),1)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drivhus",Landbrug!D$52,1-Landbrug!D$52),1)</f>
        <v>433539.39383714506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drivhus",Landbrug!E$52,1-Landbrug!E$52),1)</f>
        <v>479694.32323303365</v>
      </c>
    </row>
    <row r="292" spans="1:10" hidden="1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drivhus",Landbrug!C$52,1-Landbrug!C$52),1)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drivhus",Landbrug!D$52,1-Landbrug!D$52),1)</f>
        <v>-1453771.5617726184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drivhus",Landbrug!E$52,1-Landbrug!E$52),1)</f>
        <v>-1608541.1738198476</v>
      </c>
    </row>
    <row r="293" spans="1:10" hidden="1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drivhus",Landbrug!C$52,1-Landbrug!C$52),1)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drivhus",Landbrug!D$52,1-Landbrug!D$52),1)</f>
        <v>24890.302798290246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drivhus",Landbrug!E$52,1-Landbrug!E$52),1)</f>
        <v>27540.143123363247</v>
      </c>
    </row>
    <row r="294" spans="1:10" hidden="1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drivhus",Landbrug!C$52,1-Landbrug!C$52),1)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drivhus",Landbrug!D$52,1-Landbrug!D$52),1)</f>
        <v>28261.922953084759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drivhus",Landbrug!E$52,1-Landbrug!E$52),1)</f>
        <v>0.93064639664094173</v>
      </c>
    </row>
    <row r="295" spans="1:10" hidden="1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drivhus",Landbrug!C$52,1-Landbrug!C$52),1)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drivhus",Landbrug!D$52,1-Landbrug!D$52),1)</f>
        <v>-64166.955604423863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drivhus",Landbrug!E$52,1-Landbrug!E$52),1)</f>
        <v>-2.1129753313603992</v>
      </c>
    </row>
    <row r="296" spans="1:10" hidden="1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drivhus",Landbrug!C$52,1-Landbrug!C$52),1)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drivhus",Landbrug!D$52,1-Landbrug!D$52),1)</f>
        <v>9510.0865849671427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drivhus",Landbrug!E$52,1-Landbrug!E$52),1)</f>
        <v>0.31316084990872861</v>
      </c>
    </row>
    <row r="297" spans="1:10" hidden="1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drivhus",Landbrug!C$52,1-Landbrug!C$52),1)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drivhus",Landbrug!D$52,1-Landbrug!D$52),1)</f>
        <v>0.36534016672094299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drivhus",Landbrug!E$52,1-Landbrug!E$52),1)</f>
        <v>0.47358910500862972</v>
      </c>
    </row>
    <row r="298" spans="1:10" hidden="1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drivhus",Landbrug!C$52,1-Landbrug!C$52),1)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drivhus",Landbrug!D$52,1-Landbrug!D$52),1)</f>
        <v>-0.5469114393703467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drivhus",Landbrug!E$52,1-Landbrug!E$52),1)</f>
        <v>-0.70895927325785679</v>
      </c>
    </row>
    <row r="299" spans="1:10" hidden="1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drivhus",Landbrug!C$52,1-Landbrug!C$52),1)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drivhus",Landbrug!D$52,1-Landbrug!D$52),1)</f>
        <v>0.26984277242380711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drivhus",Landbrug!E$52,1-Landbrug!E$52),1)</f>
        <v>0.34979618647530547</v>
      </c>
    </row>
    <row r="300" spans="1:10" hidden="1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drivhus",Landbrug!C$52,1-Landbrug!C$52),1)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drivhus",Landbrug!D$52,1-Landbrug!D$52),1)</f>
        <v>661695.05719793192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drivhus",Landbrug!E$52,1-Landbrug!E$52),1)</f>
        <v>538675.79880857188</v>
      </c>
    </row>
    <row r="301" spans="1:10" hidden="1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drivhus",Landbrug!C$52,1-Landbrug!C$52),1)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drivhus",Landbrug!D$52,1-Landbrug!D$52),1)</f>
        <v>327761.26433964726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drivhus",Landbrug!E$52,1-Landbrug!E$52),1)</f>
        <v>266825.4189993951</v>
      </c>
    </row>
    <row r="302" spans="1:10" hidden="1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drivhus",Landbrug!C$52,1-Landbrug!C$52),1)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drivhus",Landbrug!D$52,1-Landbrug!D$52),1)</f>
        <v>-24549829.335489757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drivhus",Landbrug!E$52,1-Landbrug!E$52),1)</f>
        <v>-19985639.584358051</v>
      </c>
    </row>
    <row r="303" spans="1:10" hidden="1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drivhus",Landbrug!C$52,1-Landbrug!C$52),1)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drivhus",Landbrug!D$52,1-Landbrug!D$52),1)</f>
        <v>318964.6210447565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drivhus",Landbrug!E$52,1-Landbrug!E$52),1)</f>
        <v>259664.20659171065</v>
      </c>
    </row>
    <row r="304" spans="1:10" hidden="1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drivhus",Landbrug!C$52,1-Landbrug!C$52),1)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drivhus",Landbrug!D$52,1-Landbrug!D$52),1)</f>
        <v>9346.1575671998344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drivhus",Landbrug!E$52,1-Landbrug!E$52),1)</f>
        <v>0.22643817786226661</v>
      </c>
    </row>
    <row r="305" spans="1:10" hidden="1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drivhus",Landbrug!C$52,1-Landbrug!C$52),1)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drivhus",Landbrug!D$52,1-Landbrug!D$52),1)</f>
        <v>4629.4866307678276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drivhus",Landbrug!E$52,1-Landbrug!E$52),1)</f>
        <v>0.1121629407134921</v>
      </c>
    </row>
    <row r="306" spans="1:10" hidden="1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drivhus",Landbrug!C$52,1-Landbrug!C$52),1)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drivhus",Landbrug!D$52,1-Landbrug!D$52),1)</f>
        <v>-239426.596994427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drivhus",Landbrug!E$52,1-Landbrug!E$52),1)</f>
        <v>-5.8008140741655101</v>
      </c>
    </row>
    <row r="307" spans="1:10" hidden="1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drivhus",Landbrug!C$52,1-Landbrug!C$52),1)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drivhus",Landbrug!D$52,1-Landbrug!D$52),1)</f>
        <v>26405.772155737857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drivhus",Landbrug!E$52,1-Landbrug!E$52),1)</f>
        <v>0.63975755694250325</v>
      </c>
    </row>
    <row r="308" spans="1:10" hidden="1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drivhus",Landbrug!C$52,1-Landbrug!C$52),1)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drivhus",Landbrug!D$52,1-Landbrug!D$52),1)</f>
        <v>0.14611066864294522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drivhus",Landbrug!E$52,1-Landbrug!E$52),1)</f>
        <v>0.13935410593113273</v>
      </c>
    </row>
    <row r="309" spans="1:10" hidden="1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drivhus",Landbrug!C$52,1-Landbrug!C$52),1)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drivhus",Landbrug!D$52,1-Landbrug!D$52),1)</f>
        <v>7.2373847993846926E-2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drivhus",Landbrug!E$52,1-Landbrug!E$52),1)</f>
        <v>6.9027080456559198E-2</v>
      </c>
    </row>
    <row r="310" spans="1:10" hidden="1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drivhus",Landbrug!C$52,1-Landbrug!C$52),1)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drivhus",Landbrug!D$52,1-Landbrug!D$52),1)</f>
        <v>-2.544510638862107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drivhus",Landbrug!E$52,1-Landbrug!E$52),1)</f>
        <v>-2.4268454070072116</v>
      </c>
    </row>
    <row r="311" spans="1:10" hidden="1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drivhus",Landbrug!C$52,1-Landbrug!C$52),1)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drivhus",Landbrug!D$52,1-Landbrug!D$52),1)</f>
        <v>0.90610453910866218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drivhus",Landbrug!E$52,1-Landbrug!E$52),1)</f>
        <v>0.86420375117300141</v>
      </c>
    </row>
    <row r="312" spans="1:10" hidden="1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drivhus",Landbrug!C$52,1-Landbrug!C$52),1)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drivhus",Landbrug!D$52,1-Landbrug!D$52),1)</f>
        <v>56798.679765256013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drivhus",Landbrug!E$52,1-Landbrug!E$52),1)</f>
        <v>62845.50986100005</v>
      </c>
    </row>
    <row r="313" spans="1:10" hidden="1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drivhus",Landbrug!C$52,1-Landbrug!C$52),1)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drivhus",Landbrug!D$52,1-Landbrug!D$52),1)</f>
        <v>28134.420667304974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drivhus",Landbrug!E$52,1-Landbrug!E$52),1)</f>
        <v>31129.632216596096</v>
      </c>
    </row>
    <row r="314" spans="1:10" hidden="1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drivhus",Landbrug!C$52,1-Landbrug!C$52),1)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drivhus",Landbrug!D$52,1-Landbrug!D$52),1)</f>
        <v>-2107311.9400694966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drivhus",Landbrug!E$52,1-Landbrug!E$52),1)</f>
        <v>-2331657.9515084396</v>
      </c>
    </row>
    <row r="315" spans="1:10" hidden="1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drivhus",Landbrug!C$52,1-Landbrug!C$52),1)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drivhus",Landbrug!D$52,1-Landbrug!D$52),1)</f>
        <v>49780.605596580492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drivhus",Landbrug!E$52,1-Landbrug!E$52),1)</f>
        <v>55080.286246726493</v>
      </c>
    </row>
    <row r="316" spans="1:10" hidden="1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drivhus",Landbrug!C$52,1-Landbrug!C$52),1)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drivhus",Landbrug!D$52,1-Landbrug!D$52),1)</f>
        <v>802.25687787813627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drivhus",Landbrug!E$52,1-Landbrug!E$52),1)</f>
        <v>2.641778741726444E-2</v>
      </c>
    </row>
    <row r="317" spans="1:10" hidden="1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drivhus",Landbrug!C$52,1-Landbrug!C$52),1)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drivhus",Landbrug!D$52,1-Landbrug!D$52),1)</f>
        <v>397.38656917284544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drivhus",Landbrug!E$52,1-Landbrug!E$52),1)</f>
        <v>1.3085676416574078E-2</v>
      </c>
    </row>
    <row r="318" spans="1:10" hidden="1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drivhus",Landbrug!C$52,1-Landbrug!C$52),1)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drivhus",Landbrug!D$52,1-Landbrug!D$52),1)</f>
        <v>-20551.936215995614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drivhus",Landbrug!E$52,1-Landbrug!E$52),1)</f>
        <v>-0.6767616419859761</v>
      </c>
    </row>
    <row r="319" spans="1:10" hidden="1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drivhus",Landbrug!C$52,1-Landbrug!C$52),1)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drivhus",Landbrug!D$52,1-Landbrug!D$52),1)</f>
        <v>4121.1320705486833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drivhus",Landbrug!E$52,1-Landbrug!E$52),1)</f>
        <v>0.13570614844234916</v>
      </c>
    </row>
    <row r="320" spans="1:10" hidden="1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drivhus",Landbrug!C$52,1-Landbrug!C$52),1)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drivhus",Landbrug!D$52,1-Landbrug!D$52),1)</f>
        <v>1.2541869533801946E-2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drivhus",Landbrug!E$52,1-Landbrug!E$52),1)</f>
        <v>1.6257979025298817E-2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drivhus",Landbrug!C$52,1-Landbrug!C$52),1)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drivhus",Landbrug!D$52,1-Landbrug!D$52),1)</f>
        <v>6.2124372410903286E-3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drivhus",Landbrug!E$52,1-Landbrug!E$52),1)</f>
        <v>8.0531593865985733E-3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drivhus",Landbrug!C$52,1-Landbrug!C$52),1)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drivhus",Landbrug!D$52,1-Landbrug!D$52),1)</f>
        <v>-0.2184160866306491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drivhus",Landbrug!E$52,1-Landbrug!E$52),1)</f>
        <v>-0.28313196415084135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drivhus",Landbrug!C$52,1-Landbrug!C$52),1)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drivhus",Landbrug!D$52,1-Landbrug!D$52),1)</f>
        <v>0.14141515928285478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drivhus",Landbrug!E$52,1-Landbrug!E$52),1)</f>
        <v>0.18331594721851543</v>
      </c>
    </row>
    <row r="324" spans="1:10" hidden="1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drivhus",Landbrug!C$52,1-Landbrug!C$52),1)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drivhus",Landbrug!D$52,1-Landbrug!D$52),1)</f>
        <v>868028.00036343175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drivhus",Landbrug!E$52,1-Landbrug!E$52),1)</f>
        <v>706648.28367323068</v>
      </c>
    </row>
    <row r="325" spans="1:10" hidden="1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drivhus",Landbrug!C$52,1-Landbrug!C$52),1)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drivhus",Landbrug!D$52,1-Landbrug!D$52),1)</f>
        <v>133737.54543094253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drivhus",Landbrug!E$52,1-Landbrug!E$52),1)</f>
        <v>108873.68483721504</v>
      </c>
    </row>
    <row r="326" spans="1:10" hidden="1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drivhus",Landbrug!C$52,1-Landbrug!C$52),1)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drivhus",Landbrug!D$52,1-Landbrug!D$52),1)</f>
        <v>-8500267.7180683818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drivhus",Landbrug!E$52,1-Landbrug!E$52),1)</f>
        <v>-6919937.595585702</v>
      </c>
    </row>
    <row r="327" spans="1:10" hidden="1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drivhus",Landbrug!C$52,1-Landbrug!C$52),1)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drivhus",Landbrug!D$52,1-Landbrug!D$52),1)</f>
        <v>128846.73888460379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drivhus",Landbrug!E$52,1-Landbrug!E$52),1)</f>
        <v>104892.15422956061</v>
      </c>
    </row>
    <row r="328" spans="1:10" hidden="1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drivhus",Landbrug!C$52,1-Landbrug!C$52),1)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drivhus",Landbrug!D$52,1-Landbrug!D$52),1)</f>
        <v>52087.589925103726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drivhus",Landbrug!E$52,1-Landbrug!E$52),1)</f>
        <v>1.2619751878858152</v>
      </c>
    </row>
    <row r="329" spans="1:10" hidden="1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drivhus",Landbrug!C$52,1-Landbrug!C$52),1)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drivhus",Landbrug!D$52,1-Landbrug!D$52),1)</f>
        <v>8025.1632678672413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drivhus",Landbrug!E$52,1-Landbrug!E$52),1)</f>
        <v>0.1944332025602149</v>
      </c>
    </row>
    <row r="330" spans="1:10" hidden="1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drivhus",Landbrug!C$52,1-Landbrug!C$52),1)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drivhus",Landbrug!D$52,1-Landbrug!D$52),1)</f>
        <v>-382555.45238773926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drivhus",Landbrug!E$52,1-Landbrug!E$52),1)</f>
        <v>-9.2685319017051615</v>
      </c>
    </row>
    <row r="331" spans="1:10" hidden="1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drivhus",Landbrug!C$52,1-Landbrug!C$52),1)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drivhus",Landbrug!D$52,1-Landbrug!D$52),1)</f>
        <v>45316.369431110084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drivhus",Landbrug!E$52,1-Landbrug!E$52),1)</f>
        <v>1.0979224400545016</v>
      </c>
    </row>
    <row r="332" spans="1:10" hidden="1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drivhus",Landbrug!C$52,1-Landbrug!C$52),1)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drivhus",Landbrug!D$52,1-Landbrug!D$52),1)</f>
        <v>1.4600023513380349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drivhus",Landbrug!E$52,1-Landbrug!E$52),1)</f>
        <v>1.3924877917385883</v>
      </c>
    </row>
    <row r="333" spans="1:10" hidden="1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drivhus",Landbrug!C$52,1-Landbrug!C$52),1)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drivhus",Landbrug!D$52,1-Landbrug!D$52),1)</f>
        <v>0.22494335517932812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drivhus",Landbrug!E$52,1-Landbrug!E$52),1)</f>
        <v>0.21454135031554414</v>
      </c>
    </row>
    <row r="334" spans="1:10" hidden="1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drivhus",Landbrug!C$52,1-Landbrug!C$52),1)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drivhus",Landbrug!D$52,1-Landbrug!D$52),1)</f>
        <v>-8.1698555149877059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drivhus",Landbrug!E$52,1-Landbrug!E$52),1)</f>
        <v>-7.7920587281674631</v>
      </c>
    </row>
    <row r="335" spans="1:10" hidden="1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drivhus",Landbrug!C$52,1-Landbrug!C$52),1)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drivhus",Landbrug!D$52,1-Landbrug!D$52),1)</f>
        <v>2.7880785506357664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drivhus",Landbrug!E$52,1-Landbrug!E$52),1)</f>
        <v>2.6591500627450948</v>
      </c>
    </row>
    <row r="336" spans="1:10" hidden="1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drivhus",Landbrug!C$52,1-Landbrug!C$52),1)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drivhus",Landbrug!D$52,1-Landbrug!D$52),1)</f>
        <v>77219.369512099496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drivhus",Landbrug!E$52,1-Landbrug!E$52),1)</f>
        <v>85440.20157139971</v>
      </c>
    </row>
    <row r="337" spans="1:10" hidden="1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drivhus",Landbrug!C$52,1-Landbrug!C$52),1)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drivhus",Landbrug!D$52,1-Landbrug!D$52),1)</f>
        <v>11897.230197585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drivhus",Landbrug!E$52,1-Landbrug!E$52),1)</f>
        <v>13163.818257590547</v>
      </c>
    </row>
    <row r="338" spans="1:10" hidden="1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drivhus",Landbrug!C$52,1-Landbrug!C$52),1)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drivhus",Landbrug!D$52,1-Landbrug!D$52),1)</f>
        <v>-756179.88543972454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drivhus",Landbrug!E$52,1-Landbrug!E$52),1)</f>
        <v>-836683.36382990761</v>
      </c>
    </row>
    <row r="339" spans="1:10" hidden="1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drivhus",Landbrug!C$52,1-Landbrug!C$52),1)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drivhus",Landbrug!D$52,1-Landbrug!D$52),1)</f>
        <v>20109.028612047987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drivhus",Landbrug!E$52,1-Landbrug!E$52),1)</f>
        <v>22249.850897179527</v>
      </c>
    </row>
    <row r="340" spans="1:10" hidden="1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drivhus",Landbrug!C$52,1-Landbrug!C$52),1)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drivhus",Landbrug!D$52,1-Landbrug!D$52),1)</f>
        <v>4633.687912990441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drivhus",Landbrug!E$52,1-Landbrug!E$52),1)</f>
        <v>0.15258427271710306</v>
      </c>
    </row>
    <row r="341" spans="1:10" hidden="1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drivhus",Landbrug!C$52,1-Landbrug!C$52),1)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drivhus",Landbrug!D$52,1-Landbrug!D$52),1)</f>
        <v>713.91481325131122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drivhus",Landbrug!E$52,1-Landbrug!E$52),1)</f>
        <v>2.3508741764098708E-2</v>
      </c>
    </row>
    <row r="342" spans="1:10" hidden="1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drivhus",Landbrug!C$52,1-Landbrug!C$52),1)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drivhus",Landbrug!D$52,1-Landbrug!D$52),1)</f>
        <v>-34031.956140157839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drivhus",Landbrug!E$52,1-Landbrug!E$52),1)</f>
        <v>-1.1206497662970782</v>
      </c>
    </row>
    <row r="343" spans="1:10" hidden="1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drivhus",Landbrug!C$52,1-Landbrug!C$52),1)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drivhus",Landbrug!D$52,1-Landbrug!D$52),1)</f>
        <v>7072.4969632368347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drivhus",Landbrug!E$52,1-Landbrug!E$52),1)</f>
        <v>0.23289263879943969</v>
      </c>
    </row>
    <row r="344" spans="1:10" hidden="1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drivhus",Landbrug!C$52,1-Landbrug!C$52),1)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drivhus",Landbrug!D$52,1-Landbrug!D$52),1)</f>
        <v>0.1298811340294356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drivhus",Landbrug!E$52,1-Landbrug!E$52),1)</f>
        <v>0.16836443300112025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drivhus",Landbrug!C$52,1-Landbrug!C$52),1)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drivhus",Landbrug!D$52,1-Landbrug!D$52),1)</f>
        <v>2.0010856856704395E-2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drivhus",Landbrug!E$52,1-Landbrug!E$52),1)</f>
        <v>2.5939999629061253E-2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drivhus",Landbrug!C$52,1-Landbrug!C$52),1)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drivhus",Landbrug!D$52,1-Landbrug!D$52),1)</f>
        <v>-0.726786568645438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drivhus",Landbrug!E$52,1-Landbrug!E$52),1)</f>
        <v>-0.94213073713297524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drivhus",Landbrug!C$52,1-Landbrug!C$52),1)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drivhus",Landbrug!D$52,1-Landbrug!D$52),1)</f>
        <v>0.43513364663101561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drivhus",Landbrug!E$52,1-Landbrug!E$52),1)</f>
        <v>0.56406213452168696</v>
      </c>
    </row>
    <row r="348" spans="1:10" hidden="1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drivhus",Landbrug!C$52,1-Landbrug!C$52),1)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drivhus",Landbrug!D$52,1-Landbrug!D$52),1)</f>
        <v>751926.20136128622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drivhus",Landbrug!E$52,1-Landbrug!E$52),1)</f>
        <v>612131.58955519518</v>
      </c>
    </row>
    <row r="349" spans="1:10" hidden="1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drivhus",Landbrug!C$52,1-Landbrug!C$52),1)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drivhus",Landbrug!D$52,1-Landbrug!D$52),1)</f>
        <v>-1543132.1296593559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drivhus",Landbrug!E$52,1-Landbrug!E$52),1)</f>
        <v>-1256240.2024453632</v>
      </c>
    </row>
    <row r="350" spans="1:10" hidden="1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drivhus",Landbrug!C$52,1-Landbrug!C$52),1)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drivhus",Landbrug!D$52,1-Landbrug!D$52),1)</f>
        <v>27575.692141429448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drivhus",Landbrug!E$52,1-Landbrug!E$52),1)</f>
        <v>22448.948092324048</v>
      </c>
    </row>
    <row r="351" spans="1:10" hidden="1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drivhus",Landbrug!C$52,1-Landbrug!C$52),1)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drivhus",Landbrug!D$52,1-Landbrug!D$52),1)</f>
        <v>20941.147059828374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drivhus",Landbrug!E$52,1-Landbrug!E$52),1)</f>
        <v>0.50736092864674365</v>
      </c>
    </row>
    <row r="352" spans="1:10" hidden="1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drivhus",Landbrug!C$52,1-Landbrug!C$52),1)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drivhus",Landbrug!D$52,1-Landbrug!D$52),1)</f>
        <v>-32557.753513414758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drivhus",Landbrug!E$52,1-Landbrug!E$52),1)</f>
        <v>-0.78880741394083276</v>
      </c>
    </row>
    <row r="353" spans="1:10" hidden="1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drivhus",Landbrug!C$52,1-Landbrug!C$52),1)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drivhus",Landbrug!D$52,1-Landbrug!D$52),1)</f>
        <v>3471.2081725195412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drivhus",Landbrug!E$52,1-Landbrug!E$52),1)</f>
        <v>8.4100235622437486E-2</v>
      </c>
    </row>
    <row r="354" spans="1:10" hidden="1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drivhus",Landbrug!C$52,1-Landbrug!C$52),1)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drivhus",Landbrug!D$52,1-Landbrug!D$52),1)</f>
        <v>0.45536774311739758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drivhus",Landbrug!E$52,1-Landbrug!E$52),1)</f>
        <v>0.4343102752275757</v>
      </c>
    </row>
    <row r="355" spans="1:10" hidden="1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drivhus",Landbrug!C$52,1-Landbrug!C$52),1)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drivhus",Landbrug!D$52,1-Landbrug!D$52),1)</f>
        <v>-0.54615001173461863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drivhus",Landbrug!E$52,1-Landbrug!E$52),1)</f>
        <v>-0.52089451986249746</v>
      </c>
    </row>
    <row r="356" spans="1:10" hidden="1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drivhus",Landbrug!C$52,1-Landbrug!C$52),1)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drivhus",Landbrug!D$52,1-Landbrug!D$52),1)</f>
        <v>0.17295778570287446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drivhus",Landbrug!E$52,1-Landbrug!E$52),1)</f>
        <v>0.16495973780909989</v>
      </c>
    </row>
    <row r="357" spans="1:10" hidden="1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drivhus",Landbrug!C$52,1-Landbrug!C$52),1)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drivhus",Landbrug!D$52,1-Landbrug!D$52),1)</f>
        <v>66891.007161561822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drivhus",Landbrug!E$52,1-Landbrug!E$52),1)</f>
        <v>74012.274009855406</v>
      </c>
    </row>
    <row r="358" spans="1:10" hidden="1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drivhus",Landbrug!C$52,1-Landbrug!C$52),1)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drivhus",Landbrug!D$52,1-Landbrug!D$52),1)</f>
        <v>-137276.32066738431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drivhus",Landbrug!E$52,1-Landbrug!E$52),1)</f>
        <v>-151890.86084112118</v>
      </c>
    </row>
    <row r="359" spans="1:10" hidden="1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drivhus",Landbrug!C$52,1-Landbrug!C$52),1)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drivhus",Landbrug!D$52,1-Landbrug!D$52),1)</f>
        <v>4303.7207388358102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drivhus",Landbrug!E$52,1-Landbrug!E$52),1)</f>
        <v>4761.8980801899488</v>
      </c>
    </row>
    <row r="360" spans="1:10" hidden="1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drivhus",Landbrug!C$52,1-Landbrug!C$52),1)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drivhus",Landbrug!D$52,1-Landbrug!D$52),1)</f>
        <v>1862.9147586749057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drivhus",Landbrug!E$52,1-Landbrug!E$52),1)</f>
        <v>6.1344548645469892E-2</v>
      </c>
    </row>
    <row r="361" spans="1:10" hidden="1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drivhus",Landbrug!C$52,1-Landbrug!C$52),1)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drivhus",Landbrug!D$52,1-Landbrug!D$52),1)</f>
        <v>-2896.322696944816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drivhus",Landbrug!E$52,1-Landbrug!E$52),1)</f>
        <v>-9.5373987321937012E-2</v>
      </c>
    </row>
    <row r="362" spans="1:10" hidden="1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drivhus",Landbrug!C$52,1-Landbrug!C$52),1)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drivhus",Landbrug!D$52,1-Landbrug!D$52),1)</f>
        <v>541.74925235854118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drivhus",Landbrug!E$52,1-Landbrug!E$52),1)</f>
        <v>1.7839443919910981E-2</v>
      </c>
    </row>
    <row r="363" spans="1:10" hidden="1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drivhus",Landbrug!C$52,1-Landbrug!C$52),1)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drivhus",Landbrug!D$52,1-Landbrug!D$52),1)</f>
        <v>4.0509303853044784E-2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drivhus",Landbrug!E$52,1-Landbrug!E$52),1)</f>
        <v>5.2512060550243253E-2</v>
      </c>
    </row>
    <row r="364" spans="1:10" hidden="1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drivhus",Landbrug!C$52,1-Landbrug!C$52),1)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drivhus",Landbrug!D$52,1-Landbrug!D$52),1)</f>
        <v>-4.8585252488992946E-2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drivhus",Landbrug!E$52,1-Landbrug!E$52),1)</f>
        <v>-6.2980882856101969E-2</v>
      </c>
    </row>
    <row r="365" spans="1:10" hidden="1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drivhus",Landbrug!C$52,1-Landbrug!C$52),1)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drivhus",Landbrug!D$52,1-Landbrug!D$52),1)</f>
        <v>2.6993411641489076E-2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drivhus",Landbrug!E$52,1-Landbrug!E$52),1)</f>
        <v>3.4991459535263621E-2</v>
      </c>
    </row>
    <row r="366" spans="1:10" hidden="1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drivhus",Landbrug!C$52,1-Landbrug!C$52),1)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drivhus",Landbrug!D$52,1-Landbrug!D$52),1)</f>
        <v>183396.63447836248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drivhus",Landbrug!E$52,1-Landbrug!E$52),1)</f>
        <v>149300.38769638908</v>
      </c>
    </row>
    <row r="367" spans="1:10" hidden="1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drivhus",Landbrug!C$52,1-Landbrug!C$52),1)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drivhus",Landbrug!D$52,1-Landbrug!D$52),1)</f>
        <v>-841708.43435964861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drivhus",Landbrug!E$52,1-Landbrug!E$52),1)</f>
        <v>-685221.92860656173</v>
      </c>
    </row>
    <row r="368" spans="1:10" hidden="1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drivhus",Landbrug!C$52,1-Landbrug!C$52),1)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drivhus",Landbrug!D$52,1-Landbrug!D$52),1)</f>
        <v>13787.846070714724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drivhus",Landbrug!E$52,1-Landbrug!E$52),1)</f>
        <v>11224.474046162024</v>
      </c>
    </row>
    <row r="369" spans="1:10" hidden="1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drivhus",Landbrug!C$52,1-Landbrug!C$52),1)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drivhus",Landbrug!D$52,1-Landbrug!D$52),1)</f>
        <v>16777.114803525586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drivhus",Landbrug!E$52,1-Landbrug!E$52),1)</f>
        <v>0.40647499023864508</v>
      </c>
    </row>
    <row r="370" spans="1:10" hidden="1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drivhus",Landbrug!C$52,1-Landbrug!C$52),1)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drivhus",Landbrug!D$52,1-Landbrug!D$52),1)</f>
        <v>-64166.204006021362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drivhus",Landbrug!E$52,1-Landbrug!E$52),1)</f>
        <v>-1.5546151678903404</v>
      </c>
    </row>
    <row r="371" spans="1:10" hidden="1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drivhus",Landbrug!C$52,1-Landbrug!C$52),1)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drivhus",Landbrug!D$52,1-Landbrug!D$52),1)</f>
        <v>5701.0037986160087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drivhus",Landbrug!E$52,1-Landbrug!E$52),1)</f>
        <v>0.13812359815919922</v>
      </c>
    </row>
    <row r="372" spans="1:10" hidden="1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drivhus",Landbrug!C$52,1-Landbrug!C$52),1)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drivhus",Landbrug!D$52,1-Landbrug!D$52),1)</f>
        <v>0.52434459319496152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drivhus",Landbrug!E$52,1-Landbrug!E$52),1)</f>
        <v>0.50009744437669734</v>
      </c>
    </row>
    <row r="373" spans="1:10" hidden="1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drivhus",Landbrug!C$52,1-Landbrug!C$52),1)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drivhus",Landbrug!D$52,1-Landbrug!D$52),1)</f>
        <v>-1.7189335011455296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drivhus",Landbrug!E$52,1-Landbrug!E$52),1)</f>
        <v>-1.6394452467572969</v>
      </c>
    </row>
    <row r="374" spans="1:10" hidden="1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drivhus",Landbrug!C$52,1-Landbrug!C$52),1)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drivhus",Landbrug!D$52,1-Landbrug!D$52),1)</f>
        <v>0.4082709773973468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drivhus",Landbrug!E$52,1-Landbrug!E$52),1)</f>
        <v>0.38939139462752725</v>
      </c>
    </row>
    <row r="375" spans="1:10" hidden="1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drivhus",Landbrug!C$52,1-Landbrug!C$52),1)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drivhus",Landbrug!D$52,1-Landbrug!D$52),1)</f>
        <v>16314.879795502882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drivhus",Landbrug!E$52,1-Landbrug!E$52),1)</f>
        <v>18051.774148745222</v>
      </c>
    </row>
    <row r="376" spans="1:10" hidden="1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drivhus",Landbrug!C$52,1-Landbrug!C$52),1)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drivhus",Landbrug!D$52,1-Landbrug!D$52),1)</f>
        <v>-74877.993091300537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drivhus",Landbrug!E$52,1-Landbrug!E$52),1)</f>
        <v>-82849.560458793363</v>
      </c>
    </row>
    <row r="377" spans="1:10" hidden="1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drivhus",Landbrug!C$52,1-Landbrug!C$52),1)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drivhus",Landbrug!D$52,1-Landbrug!D$52),1)</f>
        <v>2151.8603694179051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drivhus",Landbrug!E$52,1-Landbrug!E$52),1)</f>
        <v>2380.9490400949744</v>
      </c>
    </row>
    <row r="378" spans="1:10" hidden="1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drivhus",Landbrug!C$52,1-Landbrug!C$52),1)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drivhus",Landbrug!D$52,1-Landbrug!D$52),1)</f>
        <v>1492.4843747182588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drivhus",Landbrug!E$52,1-Landbrug!E$52),1)</f>
        <v>4.9146521547036179E-2</v>
      </c>
    </row>
    <row r="379" spans="1:10" hidden="1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drivhus",Landbrug!C$52,1-Landbrug!C$52),1)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drivhus",Landbrug!D$52,1-Landbrug!D$52),1)</f>
        <v>-5708.1958361425941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drivhus",Landbrug!E$52,1-Landbrug!E$52),1)</f>
        <v>-0.18796710666310479</v>
      </c>
    </row>
    <row r="380" spans="1:10" hidden="1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drivhus",Landbrug!C$52,1-Landbrug!C$52),1)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drivhus",Landbrug!D$52,1-Landbrug!D$52),1)</f>
        <v>889.75203793429046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drivhus",Landbrug!E$52,1-Landbrug!E$52),1)</f>
        <v>2.9298945064072567E-2</v>
      </c>
    </row>
    <row r="381" spans="1:10" hidden="1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drivhus",Landbrug!C$52,1-Landbrug!C$52),1)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drivhus",Landbrug!D$52,1-Landbrug!D$52),1)</f>
        <v>4.6645452539135587E-2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drivhus",Landbrug!E$52,1-Landbrug!E$52),1)</f>
        <v>6.0466327365546121E-2</v>
      </c>
    </row>
    <row r="382" spans="1:10" hidden="1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drivhus",Landbrug!C$52,1-Landbrug!C$52),1)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drivhus",Landbrug!D$52,1-Landbrug!D$52),1)</f>
        <v>-0.15291552937936242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drivhus",Landbrug!E$52,1-Landbrug!E$52),1)</f>
        <v>-0.19822383438065497</v>
      </c>
    </row>
    <row r="383" spans="1:10" hidden="1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drivhus",Landbrug!C$52,1-Landbrug!C$52),1)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drivhus",Landbrug!D$52,1-Landbrug!D$52),1)</f>
        <v>6.3718591848140826E-2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drivhus",Landbrug!E$52,1-Landbrug!E$52),1)</f>
        <v>8.2598174617960318E-2</v>
      </c>
    </row>
    <row r="384" spans="1:10" hidden="1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drivhus",Landbrug!C$52,1-Landbrug!C$52),1)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drivhus",Landbrug!D$52,1-Landbrug!D$52),1)</f>
        <v>2695956.2023607558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drivhus",Landbrug!E$52,1-Landbrug!E$52),1)</f>
        <v>2194736.6011911971</v>
      </c>
    </row>
    <row r="385" spans="1:10" hidden="1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drivhus",Landbrug!C$52,1-Landbrug!C$52),1)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drivhus",Landbrug!D$52,1-Landbrug!D$52),1)</f>
        <v>-9118508.0388961937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drivhus",Landbrug!E$52,1-Landbrug!E$52),1)</f>
        <v>-7423237.5599044189</v>
      </c>
    </row>
    <row r="386" spans="1:10" hidden="1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drivhus",Landbrug!C$52,1-Landbrug!C$52),1)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drivhus",Landbrug!D$52,1-Landbrug!D$52),1)</f>
        <v>358483.99783858284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drivhus",Landbrug!E$52,1-Landbrug!E$52),1)</f>
        <v>291836.3252002126</v>
      </c>
    </row>
    <row r="387" spans="1:10" hidden="1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drivhus",Landbrug!C$52,1-Landbrug!C$52),1)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drivhus",Landbrug!D$52,1-Landbrug!D$52),1)</f>
        <v>268111.46640836471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drivhus",Landbrug!E$52,1-Landbrug!E$52),1)</f>
        <v>6.4957894708038477</v>
      </c>
    </row>
    <row r="388" spans="1:10" hidden="1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drivhus",Landbrug!C$52,1-Landbrug!C$52),1)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drivhus",Landbrug!D$52,1-Landbrug!D$52),1)</f>
        <v>-755692.46996177512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drivhus",Landbrug!E$52,1-Landbrug!E$52),1)</f>
        <v>-18.308874496500476</v>
      </c>
    </row>
    <row r="389" spans="1:10" hidden="1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drivhus",Landbrug!C$52,1-Landbrug!C$52),1)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drivhus",Landbrug!D$52,1-Landbrug!D$52),1)</f>
        <v>161139.24301085269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drivhus",Landbrug!E$52,1-Landbrug!E$52),1)</f>
        <v>3.9040724818867463</v>
      </c>
    </row>
    <row r="390" spans="1:10" hidden="1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drivhus",Landbrug!C$52,1-Landbrug!C$52),1)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drivhus",Landbrug!D$52,1-Landbrug!D$52),1)</f>
        <v>10.964621433671345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drivhus",Landbrug!E$52,1-Landbrug!E$52),1)</f>
        <v>10.457586916507353</v>
      </c>
    </row>
    <row r="391" spans="1:10" hidden="1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drivhus",Landbrug!C$52,1-Landbrug!C$52),1)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drivhus",Landbrug!D$52,1-Landbrug!D$52),1)</f>
        <v>-26.489670661678876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drivhus",Landbrug!E$52,1-Landbrug!E$52),1)</f>
        <v>-25.264714792930722</v>
      </c>
    </row>
    <row r="392" spans="1:10" hidden="1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drivhus",Landbrug!C$52,1-Landbrug!C$52),1)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drivhus",Landbrug!D$52,1-Landbrug!D$52),1)</f>
        <v>15.100009941890358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drivhus",Landbrug!E$52,1-Landbrug!E$52),1)</f>
        <v>14.401743586196005</v>
      </c>
    </row>
    <row r="393" spans="1:10" hidden="1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drivhus",Landbrug!C$52,1-Landbrug!C$52),1)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drivhus",Landbrug!D$52,1-Landbrug!D$52),1)</f>
        <v>420756.1703106382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drivhus",Landbrug!E$52,1-Landbrug!E$52),1)</f>
        <v>465550.18813146604</v>
      </c>
    </row>
    <row r="394" spans="1:10" hidden="1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drivhus",Landbrug!C$52,1-Landbrug!C$52),1)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drivhus",Landbrug!D$52,1-Landbrug!D$52),1)</f>
        <v>-1423119.7517352444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drivhus",Landbrug!E$52,1-Landbrug!E$52),1)</f>
        <v>-1574626.1490706343</v>
      </c>
    </row>
    <row r="395" spans="1:10" hidden="1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drivhus",Landbrug!C$52,1-Landbrug!C$52),1)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drivhus",Landbrug!D$52,1-Landbrug!D$52),1)</f>
        <v>55948.36960486554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drivhus",Landbrug!E$52,1-Landbrug!E$52),1)</f>
        <v>61904.675042469345</v>
      </c>
    </row>
    <row r="396" spans="1:10" hidden="1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drivhus",Landbrug!C$52,1-Landbrug!C$52),1)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drivhus",Landbrug!D$52,1-Landbrug!D$52),1)</f>
        <v>41843.986086854602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drivhus",Landbrug!E$52,1-Landbrug!E$52),1)</f>
        <v>1.3778947362311191</v>
      </c>
    </row>
    <row r="397" spans="1:10" hidden="1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drivhus",Landbrug!C$52,1-Landbrug!C$52),1)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drivhus",Landbrug!D$52,1-Landbrug!D$52),1)</f>
        <v>-117940.44328883197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drivhus",Landbrug!E$52,1-Landbrug!E$52),1)</f>
        <v>-3.8837006507728278</v>
      </c>
    </row>
    <row r="398" spans="1:10" hidden="1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drivhus",Landbrug!C$52,1-Landbrug!C$52),1)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drivhus",Landbrug!D$52,1-Landbrug!D$52),1)</f>
        <v>25148.899198225565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drivhus",Landbrug!E$52,1-Landbrug!E$52),1)</f>
        <v>0.82813658706688553</v>
      </c>
    </row>
    <row r="399" spans="1:10" hidden="1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drivhus",Landbrug!C$52,1-Landbrug!C$52),1)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drivhus",Landbrug!D$52,1-Landbrug!D$52),1)</f>
        <v>1.711241495428476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drivhus",Landbrug!E$52,1-Landbrug!E$52),1)</f>
        <v>2.2182760125924688</v>
      </c>
    </row>
    <row r="400" spans="1:10" hidden="1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drivhus",Landbrug!C$52,1-Landbrug!C$52),1)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drivhus",Landbrug!D$52,1-Landbrug!D$52),1)</f>
        <v>-4.1342260570250273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drivhus",Landbrug!E$52,1-Landbrug!E$52),1)</f>
        <v>-5.359181925773183</v>
      </c>
    </row>
    <row r="401" spans="1:10" hidden="1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drivhus",Landbrug!C$52,1-Landbrug!C$52),1)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drivhus",Landbrug!D$52,1-Landbrug!D$52),1)</f>
        <v>2.3566489504684371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drivhus",Landbrug!E$52,1-Landbrug!E$52),1)</f>
        <v>3.0549153061627887</v>
      </c>
    </row>
    <row r="402" spans="1:10" hidden="1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drivhus",Landbrug!C$52,1-Landbrug!C$52),1)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drivhus",Landbrug!D$52,1-Landbrug!D$52),1)</f>
        <v>612159.6716568307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drivhus",Landbrug!E$52,1-Landbrug!E$52),1)</f>
        <v>671197.32778518158</v>
      </c>
    </row>
    <row r="403" spans="1:10" hidden="1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drivhus",Landbrug!C$52,1-Landbrug!C$52),1)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drivhus",Landbrug!D$52,1-Landbrug!D$52),1)</f>
        <v>663172.97762823338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drivhus",Landbrug!E$52,1-Landbrug!E$52),1)</f>
        <v>727130.43843394681</v>
      </c>
    </row>
    <row r="404" spans="1:10" hidden="1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drivhus",Landbrug!C$52,1-Landbrug!C$52),1)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drivhus",Landbrug!D$52,1-Landbrug!D$52),1)</f>
        <v>2502141.5052936058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drivhus",Landbrug!E$52,1-Landbrug!E$52),1)</f>
        <v>1841747.6674105611</v>
      </c>
    </row>
    <row r="405" spans="1:10" hidden="1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drivhus",Landbrug!C$52,1-Landbrug!C$52),1)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drivhus",Landbrug!D$52,1-Landbrug!D$52),1)</f>
        <v>97408.630707357341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drivhus",Landbrug!E$52,1-Landbrug!E$52),1)</f>
        <v>71699.429473266646</v>
      </c>
    </row>
    <row r="406" spans="1:10" s="171" customFormat="1" hidden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drivhus",Landbrug!C$52,1-Landbrug!C$52),1)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drivhus",Landbrug!D$52,1-Landbrug!D$52),1)</f>
        <v>12799.494074946755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drivhus",Landbrug!E$52,1-Landbrug!E$52),1)</f>
        <v>9421.305032787237</v>
      </c>
    </row>
    <row r="407" spans="1:10" hidden="1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drivhus",Landbrug!C$52,1-Landbrug!C$52),1)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drivhus",Landbrug!D$52,1-Landbrug!D$52),1)</f>
        <v>1296795.0922933305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drivhus",Landbrug!E$52,1-Landbrug!E$52),1)</f>
        <v>954530.08204683824</v>
      </c>
    </row>
    <row r="408" spans="1:10" hidden="1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drivhus",Landbrug!C$52,1-Landbrug!C$52),1)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drivhus",Landbrug!D$52,1-Landbrug!D$52),1)</f>
        <v>1033509.7693363478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drivhus",Landbrug!E$52,1-Landbrug!E$52),1)</f>
        <v>670075.43744177814</v>
      </c>
    </row>
    <row r="409" spans="1:10" hidden="1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drivhus",Landbrug!C$52,1-Landbrug!C$52),1)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drivhus",Landbrug!D$52,1-Landbrug!D$52),1)</f>
        <v>19800.424386268802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drivhus",Landbrug!E$52,1-Landbrug!E$52),1)</f>
        <v>12837.593243730647</v>
      </c>
    </row>
    <row r="410" spans="1:10" hidden="1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drivhus",Landbrug!C$52,1-Landbrug!C$52),1)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drivhus",Landbrug!D$52,1-Landbrug!D$52),1)</f>
        <v>92172.376491504838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drivhus",Landbrug!E$52,1-Landbrug!E$52),1)</f>
        <v>59759.904869842845</v>
      </c>
    </row>
    <row r="411" spans="1:10" hidden="1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drivhus",Landbrug!C$52,1-Landbrug!C$52),1)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drivhus",Landbrug!D$52,1-Landbrug!D$52),1)</f>
        <v>90946.524745892661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drivhus",Landbrug!E$52,1-Landbrug!E$52),1)</f>
        <v>58965.124627748664</v>
      </c>
    </row>
    <row r="412" spans="1:10" hidden="1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drivhus",Landbrug!C$52,1-Landbrug!C$52),1)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drivhus",Landbrug!D$52,1-Landbrug!D$52),1)</f>
        <v>84934.510833187902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drivhus",Landbrug!E$52,1-Landbrug!E$52),1)</f>
        <v>61672.869442609102</v>
      </c>
    </row>
    <row r="413" spans="1:10" hidden="1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drivhus",Landbrug!C$52,1-Landbrug!C$52),1)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drivhus",Landbrug!D$52,1-Landbrug!D$52),1)</f>
        <v>41193.926040245511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drivhus",Landbrug!E$52,1-Landbrug!E$52),1)</f>
        <v>29911.841459806768</v>
      </c>
    </row>
    <row r="414" spans="1:10" hidden="1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drivhus",Landbrug!C$52,1-Landbrug!C$52),1)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drivhus",Landbrug!D$52,1-Landbrug!D$52),1)</f>
        <v>5437.460580082532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drivhus",Landbrug!E$52,1-Landbrug!E$52),1)</f>
        <v>3948.2631166662236</v>
      </c>
    </row>
    <row r="415" spans="1:10" hidden="1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drivhus",Landbrug!C$52,1-Landbrug!C$52),1)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drivhus",Landbrug!D$52,1-Landbrug!D$52),1)</f>
        <v>55888.835329455884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drivhus",Landbrug!E$52,1-Landbrug!E$52),1)</f>
        <v>40582.147477632563</v>
      </c>
    </row>
    <row r="416" spans="1:10" hidden="1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drivhus",Landbrug!C$52,1-Landbrug!C$52),1)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drivhus",Landbrug!D$52,1-Landbrug!D$52),1)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drivhus",Landbrug!E$52,1-Landbrug!E$52),1)</f>
        <v>173658.75124992887</v>
      </c>
    </row>
    <row r="417" spans="1:15" ht="15.75" hidden="1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drivhus",Landbrug!C$52,1-Landbrug!C$52),1)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drivhus",Landbrug!D$52,1-Landbrug!D$52),1)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drivhus",Landbrug!E$52,1-Landbrug!E$52),1)</f>
        <v>640.53744071337906</v>
      </c>
    </row>
    <row r="418" spans="1:15" hidden="1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4080761831.5310001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2870140400.0500002</v>
      </c>
      <c r="N418" s="171"/>
      <c r="O418" s="171"/>
    </row>
    <row r="419" spans="1:15" hidden="1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112220950.3671025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78928861.00137499</v>
      </c>
      <c r="M419" s="171"/>
      <c r="N419" s="171"/>
      <c r="O419" s="171"/>
    </row>
    <row r="420" spans="1:15" hidden="1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hidden="1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51009522.894137502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35876755.000624999</v>
      </c>
      <c r="M421" s="171"/>
      <c r="N421" s="171"/>
      <c r="O421" s="171"/>
    </row>
    <row r="422" spans="1:15" hidden="1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102019045.788275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71753510.001249999</v>
      </c>
      <c r="M422" s="171"/>
      <c r="N422" s="171"/>
      <c r="O422" s="171"/>
    </row>
    <row r="423" spans="1:15" hidden="1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1152815217.4075074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810814663.01412499</v>
      </c>
      <c r="M423" s="171"/>
      <c r="N423" s="171"/>
      <c r="O423" s="171"/>
    </row>
    <row r="424" spans="1:15" hidden="1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163230473.26124001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114805616.002</v>
      </c>
      <c r="M424" s="171"/>
      <c r="N424" s="171"/>
      <c r="O424" s="171"/>
    </row>
    <row r="425" spans="1:15" hidden="1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hidden="1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hidden="1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1571093305.1394348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1105004054.0192499</v>
      </c>
      <c r="M427" s="171"/>
      <c r="N427" s="171"/>
      <c r="O427" s="171"/>
    </row>
    <row r="428" spans="1:15" hidden="1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112220950.36710249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78928861.00137499</v>
      </c>
      <c r="M428" s="171"/>
      <c r="N428" s="171"/>
      <c r="O428" s="171"/>
    </row>
    <row r="429" spans="1:15" hidden="1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510095228.94137502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358767550.00625002</v>
      </c>
      <c r="M429" s="171"/>
      <c r="N429" s="171"/>
      <c r="O429" s="171"/>
    </row>
    <row r="430" spans="1:15" hidden="1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2264822816.4997048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1592927922.0277503</v>
      </c>
      <c r="M430" s="171"/>
      <c r="N430" s="171"/>
      <c r="O430" s="171"/>
    </row>
    <row r="431" spans="1:15" hidden="1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81615236.630620003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57402808.000999995</v>
      </c>
      <c r="M431" s="171"/>
      <c r="N431" s="171"/>
      <c r="O431" s="171"/>
    </row>
    <row r="432" spans="1:15" hidden="1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0</v>
      </c>
      <c r="M432" s="171"/>
      <c r="N432" s="171"/>
      <c r="O432" s="171"/>
    </row>
    <row r="433" spans="1:13" hidden="1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  <c r="L433" s="132"/>
      <c r="M433" s="125"/>
    </row>
    <row r="434" spans="1:13" hidden="1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273904.02620416775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265026.9750464696</v>
      </c>
      <c r="L434" s="127"/>
      <c r="M434" s="125"/>
    </row>
    <row r="435" spans="1:13" hidden="1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3384886.9123292142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3221958.5406249748</v>
      </c>
      <c r="L435" s="127"/>
      <c r="M435" s="125"/>
    </row>
    <row r="436" spans="1:13" hidden="1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101755123.93719724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77934375.544929624</v>
      </c>
      <c r="L436" s="127"/>
      <c r="M436" s="125"/>
    </row>
    <row r="437" spans="1:13" s="171" customFormat="1" hidden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-107924.87666800858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-82659.79680862125</v>
      </c>
      <c r="L437" s="127"/>
      <c r="M437" s="125"/>
    </row>
    <row r="438" spans="1:13" hidden="1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109840382.17790073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96967385.110414371</v>
      </c>
      <c r="L438" s="127"/>
      <c r="M438" s="125"/>
    </row>
    <row r="439" spans="1:13" s="171" customFormat="1" hidden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-229234.18803397313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-202368.558364645</v>
      </c>
      <c r="L439" s="127"/>
      <c r="M439" s="125"/>
    </row>
    <row r="440" spans="1:13" hidden="1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81967.284281734363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101577.11900806775</v>
      </c>
      <c r="L440" s="127"/>
      <c r="M440" s="125"/>
    </row>
    <row r="441" spans="1:13" hidden="1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91678387.47847791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79985213.009279519</v>
      </c>
      <c r="L441" s="127"/>
      <c r="M441" s="125"/>
    </row>
    <row r="442" spans="1:13" hidden="1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25254291.678668752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24216391.618130017</v>
      </c>
      <c r="L442" s="128"/>
      <c r="M442" s="125"/>
    </row>
    <row r="443" spans="1:13" hidden="1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1627113.6056024844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1589027.8111439412</v>
      </c>
      <c r="L443" s="127"/>
      <c r="M443" s="125"/>
    </row>
    <row r="444" spans="1:13" hidden="1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hidden="1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52001698.445427336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49501097.377932742</v>
      </c>
      <c r="L445" s="127"/>
      <c r="M445" s="125"/>
    </row>
    <row r="446" spans="1:13" hidden="1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hidden="1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hidden="1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hidden="1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28567651.435394004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24111136.274329126</v>
      </c>
      <c r="L449" s="128"/>
      <c r="M449" s="125"/>
    </row>
    <row r="450" spans="1:13" hidden="1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hidden="1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41174150.905205444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50966152.556468174</v>
      </c>
      <c r="L451" s="142"/>
      <c r="M451" s="125"/>
    </row>
    <row r="452" spans="1:13" hidden="1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21815696.085202374</v>
      </c>
      <c r="J452" s="288">
        <f ca="1">SUMIFS('Forbrug af biomasse'!$E$1:$E$425,'Forbrug af biomasse'!$A$1:$A$425,"Biogas",'Forbrug af biomasse'!$B$1:$B$425,$A$1,'Forbrug af biomasse'!$D$1:$D$425,J$2)*'[1]Processer - data'!J452</f>
        <v>19329215.833900649</v>
      </c>
    </row>
    <row r="453" spans="1:13" hidden="1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14980615.468531813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3824557.3184085824</v>
      </c>
    </row>
    <row r="454" spans="1:13" hidden="1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13762506.514015932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4049859.267810843</v>
      </c>
    </row>
    <row r="455" spans="1:13" hidden="1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11054.112129597765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4566.231812915682</v>
      </c>
    </row>
    <row r="456" spans="1:13" hidden="1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2699419.1868662941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785040.05360959517</v>
      </c>
    </row>
    <row r="457" spans="1:13" hidden="1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117213168.21887036</v>
      </c>
      <c r="J457" s="288">
        <f ca="1">J452*'[1]Processer - data'!J$457*Biogasanlæg!AC$3</f>
        <v>92668831.738791153</v>
      </c>
    </row>
    <row r="458" spans="1:13" hidden="1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93561084.659250528</v>
      </c>
      <c r="J458" s="288">
        <f ca="1">-SUMIFS('Resultater - Vestdanmark'!J$3:J$482,'Resultater - Vestdanmark'!$F$3:$F$482,"Gødning",'Resultater - Vestdanmark'!$A$3:$A$482,"&lt;&gt;Gødning")-SUM(J453:J457)</f>
        <v>96183219.867808983</v>
      </c>
    </row>
    <row r="459" spans="1:13" hidden="1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10.327294646211824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9.8566322027598599</v>
      </c>
    </row>
    <row r="460" spans="1:13" hidden="1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8.1607938726810048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6.7370432319413665</v>
      </c>
    </row>
    <row r="461" spans="1:13" hidden="1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4.0108629937356497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3.0792984757596873</v>
      </c>
    </row>
    <row r="462" spans="1:13" hidden="1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32.208254777245877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33.352440306562336</v>
      </c>
    </row>
    <row r="463" spans="1:13" hidden="1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hidden="1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hidden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hidden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hidden="1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18.745640331408016</v>
      </c>
      <c r="J467" s="288">
        <f ca="1">SUM(J433:J451)*'[1]Processer - data'!$H$467</f>
        <v>17.076285193667893</v>
      </c>
    </row>
    <row r="468" spans="1:10" hidden="1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823571.93327261996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579246.51710100006</v>
      </c>
    </row>
    <row r="469" spans="1:10" hidden="1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1695589.2743848059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1192566.3587373532</v>
      </c>
    </row>
    <row r="470" spans="1:10" hidden="1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2407351.1837272928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1693173.0335586986</v>
      </c>
    </row>
    <row r="471" spans="1:10" hidden="1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drivhus",Landbrug!C$52,1-Landbrug!C$52),1)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drivhus",Landbrug!D$52,1-Landbrug!D$52),1)</f>
        <v>364321.15503040201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drivhus",Landbrug!E$52,1-Landbrug!E$52),1)</f>
        <v>300760.85856881103</v>
      </c>
    </row>
    <row r="472" spans="1:10" hidden="1" x14ac:dyDescent="0.25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drivhus",Landbrug!C$52,1-Landbrug!C$52),1)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drivhus",Landbrug!D$52,1-Landbrug!D$52),1)</f>
        <v>233165.53921945728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drivhus",Landbrug!E$52,1-Landbrug!E$52),1)</f>
        <v>192486.94948403907</v>
      </c>
    </row>
    <row r="473" spans="1:10" hidden="1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hidden="1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hidden="1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>
    <filterColumn colId="5">
      <filters>
        <filter val="Kvæggylle"/>
      </filters>
    </filterColumn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drivhus",Landbrug!C$52,1-Landbrug!C$52),1)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drivhus",Landbrug!D$52,1-Landbrug!D$52),1)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drivhus",Landbrug!E$52,1-Landbrug!E$52),1)</f>
        <v>3491788.2152479719</v>
      </c>
      <c r="M3" s="171">
        <f>SUMIF($F$3:$F$472,"Roer",H3:H472)</f>
        <v>2252973.7408705982</v>
      </c>
      <c r="N3" s="171">
        <f>SUMIF($F$3:$F$472,"Roer",I3:I472)</f>
        <v>441450.20412922179</v>
      </c>
      <c r="O3" s="171">
        <f>SUMIF($F$3:$F$472,"Roer",J3:J472)</f>
        <v>404559.22723466193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drivhus",Landbrug!C$52,1-Landbrug!C$52),1)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drivhus",Landbrug!D$52,1-Landbrug!D$52),1)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drivhus",Landbrug!E$52,1-Landbrug!E$52),1)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drivhus",Landbrug!C$52,1-Landbrug!C$52),1)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drivhus",Landbrug!D$52,1-Landbrug!D$52),1)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drivhus",Landbrug!E$52,1-Landbrug!E$52),1)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drivhus",Landbrug!C$52,1-Landbrug!C$52),1)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drivhus",Landbrug!D$52,1-Landbrug!D$52),1)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drivhus",Landbrug!E$52,1-Landbrug!E$52),1)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drivhus",Landbrug!C$52,1-Landbrug!C$52),1)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drivhus",Landbrug!D$52,1-Landbrug!D$52),1)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drivhus",Landbrug!E$52,1-Landbrug!E$52),1)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drivhus",Landbrug!C$52,1-Landbrug!C$52),1)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drivhus",Landbrug!D$52,1-Landbrug!D$52),1)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drivhus",Landbrug!E$52,1-Landbrug!E$52),1)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drivhus",Landbrug!C$52,1-Landbrug!C$52),1)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drivhus",Landbrug!D$52,1-Landbrug!D$52),1)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drivhus",Landbrug!E$52,1-Landbrug!E$52),1)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drivhus",Landbrug!C$52,1-Landbrug!C$52),1)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drivhus",Landbrug!D$52,1-Landbrug!D$52),1)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drivhus",Landbrug!E$52,1-Landbrug!E$52),1)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drivhus",Landbrug!C$52,1-Landbrug!C$52),1)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drivhus",Landbrug!D$52,1-Landbrug!D$52),1)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drivhus",Landbrug!E$52,1-Landbrug!E$52),1)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drivhus",Landbrug!C$52,1-Landbrug!C$52),1)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drivhus",Landbrug!D$52,1-Landbrug!D$52),1)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drivhus",Landbrug!E$52,1-Landbrug!E$52),1)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drivhus",Landbrug!C$52,1-Landbrug!C$52),1)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drivhus",Landbrug!D$52,1-Landbrug!D$52),1)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drivhus",Landbrug!E$52,1-Landbrug!E$52),1)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drivhus",Landbrug!C$52,1-Landbrug!C$52),1)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drivhus",Landbrug!D$52,1-Landbrug!D$52),1)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drivhus",Landbrug!E$52,1-Landbrug!E$52),1)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drivhus",Landbrug!C$52,1-Landbrug!C$52),1)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drivhus",Landbrug!D$52,1-Landbrug!D$52),1)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drivhus",Landbrug!E$52,1-Landbrug!E$52),1)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drivhus",Landbrug!C$52,1-Landbrug!C$52),1)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drivhus",Landbrug!D$52,1-Landbrug!D$52),1)</f>
        <v>-14158.454475710343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drivhus",Landbrug!E$52,1-Landbrug!E$52),1)</f>
        <v>-9270.7948618423798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drivhus",Landbrug!C$52,1-Landbrug!C$52),1)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drivhus",Landbrug!D$52,1-Landbrug!D$52),1)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drivhus",Landbrug!E$52,1-Landbrug!E$52),1)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drivhus",Landbrug!C$52,1-Landbrug!C$52),1)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drivhus",Landbrug!D$52,1-Landbrug!D$52),1)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drivhus",Landbrug!E$52,1-Landbrug!E$52),1)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drivhus",Landbrug!C$52,1-Landbrug!C$52),1)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drivhus",Landbrug!D$52,1-Landbrug!D$52),1)</f>
        <v>-3114.8599846562756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drivhus",Landbrug!E$52,1-Landbrug!E$52),1)</f>
        <v>-20395.748696053237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drivhus",Landbrug!C$52,1-Landbrug!C$52),1)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drivhus",Landbrug!D$52,1-Landbrug!D$52),1)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drivhus",Landbrug!E$52,1-Landbrug!E$52),1)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drivhus",Landbrug!C$52,1-Landbrug!C$52),1)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drivhus",Landbrug!D$52,1-Landbrug!D$52),1)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drivhus",Landbrug!E$52,1-Landbrug!E$52),1)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drivhus",Landbrug!C$52,1-Landbrug!C$52),1)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drivhus",Landbrug!D$52,1-Landbrug!D$52),1)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drivhus",Landbrug!E$52,1-Landbrug!E$52),1)</f>
        <v>-79287.345063977918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drivhus",Landbrug!C$52,1-Landbrug!C$52),1)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drivhus",Landbrug!D$52,1-Landbrug!D$52),1)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drivhus",Landbrug!E$52,1-Landbrug!E$52),1)</f>
        <v>1081.2367988596534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drivhus",Landbrug!C$52,1-Landbrug!C$52),1)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drivhus",Landbrug!D$52,1-Landbrug!D$52),1)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drivhus",Landbrug!E$52,1-Landbrug!E$52),1)</f>
        <v>564.82519343414731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drivhus",Landbrug!C$52,1-Landbrug!C$52),1)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drivhus",Landbrug!D$52,1-Landbrug!D$52),1)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drivhus",Landbrug!E$52,1-Landbrug!E$52),1)</f>
        <v>-8211.9035959119992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drivhus",Landbrug!C$52,1-Landbrug!C$52),1)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drivhus",Landbrug!D$52,1-Landbrug!D$52),1)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drivhus",Landbrug!E$52,1-Landbrug!E$52),1)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drivhus",Landbrug!C$52,1-Landbrug!C$52),1)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drivhus",Landbrug!D$52,1-Landbrug!D$52),1)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drivhus",Landbrug!E$52,1-Landbrug!E$52),1)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drivhus",Landbrug!C$52,1-Landbrug!C$52),1)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drivhus",Landbrug!D$52,1-Landbrug!D$52),1)</f>
        <v>-70792.272378551716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drivhus",Landbrug!E$52,1-Landbrug!E$52),1)</f>
        <v>-46353.974309211902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drivhus",Landbrug!C$52,1-Landbrug!C$52),1)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drivhus",Landbrug!D$52,1-Landbrug!D$52),1)</f>
        <v>1294.3501133498871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drivhus",Landbrug!E$52,1-Landbrug!E$52),1)</f>
        <v>8475.2572400153877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drivhus",Landbrug!C$52,1-Landbrug!C$52),1)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drivhus",Landbrug!D$52,1-Landbrug!D$52),1)</f>
        <v>323.58752833747178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drivhus",Landbrug!E$52,1-Landbrug!E$52),1)</f>
        <v>2118.8143100038469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drivhus",Landbrug!C$52,1-Landbrug!C$52),1)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drivhus",Landbrug!D$52,1-Landbrug!D$52),1)</f>
        <v>-9061.4108644546195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drivhus",Landbrug!E$52,1-Landbrug!E$52),1)</f>
        <v>-59333.087115791233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drivhus",Landbrug!C$52,1-Landbrug!C$52),1)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drivhus",Landbrug!D$52,1-Landbrug!D$52),1)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drivhus",Landbrug!E$52,1-Landbrug!E$52),1)</f>
        <v>13688.266079672418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drivhus",Landbrug!C$52,1-Landbrug!C$52),1)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drivhus",Landbrug!D$52,1-Landbrug!D$52),1)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drivhus",Landbrug!E$52,1-Landbrug!E$52),1)</f>
        <v>4738.245950655838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drivhus",Landbrug!C$52,1-Landbrug!C$52),1)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drivhus",Landbrug!D$52,1-Landbrug!D$52),1)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drivhus",Landbrug!E$52,1-Landbrug!E$52),1)</f>
        <v>-2831.6908951420687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drivhus",Landbrug!C$52,1-Landbrug!C$52),1)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drivhus",Landbrug!D$52,1-Landbrug!D$52),1)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drivhus",Landbrug!E$52,1-Landbrug!E$52),1)</f>
        <v>629.19797176730617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drivhus",Landbrug!C$52,1-Landbrug!C$52),1)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drivhus",Landbrug!D$52,1-Landbrug!D$52),1)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drivhus",Landbrug!E$52,1-Landbrug!E$52),1)</f>
        <v>314.59898588365314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drivhus",Landbrug!C$52,1-Landbrug!C$52),1)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drivhus",Landbrug!D$52,1-Landbrug!D$52),1)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drivhus",Landbrug!E$52,1-Landbrug!E$52),1)</f>
        <v>-7079.2272378551716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drivhus",Landbrug!C$52,1-Landbrug!C$52),1)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drivhus",Landbrug!D$52,1-Landbrug!D$52),1)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drivhus",Landbrug!E$52,1-Landbrug!E$52),1)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drivhus",Landbrug!C$52,1-Landbrug!C$52),1)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drivhus",Landbrug!D$52,1-Landbrug!D$52),1)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drivhus",Landbrug!E$52,1-Landbrug!E$52),1)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drivhus",Landbrug!C$52,1-Landbrug!C$52),1)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drivhus",Landbrug!D$52,1-Landbrug!D$52),1)</f>
        <v>-14158.454475710343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drivhus",Landbrug!E$52,1-Landbrug!E$52),1)</f>
        <v>-9270.7948618423798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drivhus",Landbrug!C$52,1-Landbrug!C$52),1)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drivhus",Landbrug!D$52,1-Landbrug!D$52),1)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drivhus",Landbrug!E$52,1-Landbrug!E$52),1)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drivhus",Landbrug!C$52,1-Landbrug!C$52),1)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drivhus",Landbrug!D$52,1-Landbrug!D$52),1)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drivhus",Landbrug!E$52,1-Landbrug!E$52),1)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drivhus",Landbrug!C$52,1-Landbrug!C$52),1)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drivhus",Landbrug!D$52,1-Landbrug!D$52),1)</f>
        <v>-2406.9372608707581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drivhus",Landbrug!E$52,1-Landbrug!E$52),1)</f>
        <v>-15760.351265132047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drivhus",Landbrug!C$52,1-Landbrug!C$52),1)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drivhus",Landbrug!D$52,1-Landbrug!D$52),1)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drivhus",Landbrug!E$52,1-Landbrug!E$52),1)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drivhus",Landbrug!C$52,1-Landbrug!C$52),1)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drivhus",Landbrug!D$52,1-Landbrug!D$52),1)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drivhus",Landbrug!E$52,1-Landbrug!E$52),1)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drivhus",Landbrug!C$52,1-Landbrug!C$52),1)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drivhus",Landbrug!D$52,1-Landbrug!D$52),1)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drivhus",Landbrug!E$52,1-Landbrug!E$52),1)</f>
        <v>-77871.499616406887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drivhus",Landbrug!C$52,1-Landbrug!C$52),1)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drivhus",Landbrug!D$52,1-Landbrug!D$52),1)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drivhus",Landbrug!E$52,1-Landbrug!E$52),1)</f>
        <v>792.73346042536343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drivhus",Landbrug!C$52,1-Landbrug!C$52),1)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drivhus",Landbrug!D$52,1-Landbrug!D$52),1)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drivhus",Landbrug!E$52,1-Landbrug!E$52),1)</f>
        <v>432.40006932292556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drivhus",Landbrug!C$52,1-Landbrug!C$52),1)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drivhus",Landbrug!D$52,1-Landbrug!D$52),1)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drivhus",Landbrug!E$52,1-Landbrug!E$52),1)</f>
        <v>-7503.9808721264817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drivhus",Landbrug!C$52,1-Landbrug!C$52),1)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drivhus",Landbrug!D$52,1-Landbrug!D$52),1)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drivhus",Landbrug!E$52,1-Landbrug!E$52),1)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drivhus",Landbrug!C$52,1-Landbrug!C$52),1)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drivhus",Landbrug!D$52,1-Landbrug!D$52),1)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drivhus",Landbrug!E$52,1-Landbrug!E$52),1)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drivhus",Landbrug!C$52,1-Landbrug!C$52),1)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drivhus",Landbrug!D$52,1-Landbrug!D$52),1)</f>
        <v>-53802.127007699302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drivhus",Landbrug!E$52,1-Landbrug!E$52),1)</f>
        <v>-35229.020475001045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drivhus",Landbrug!C$52,1-Landbrug!C$52),1)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drivhus",Landbrug!D$52,1-Landbrug!D$52),1)</f>
        <v>328.69436163978503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drivhus",Landbrug!E$52,1-Landbrug!E$52),1)</f>
        <v>2152.2532732894183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drivhus",Landbrug!C$52,1-Landbrug!C$52),1)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drivhus",Landbrug!D$52,1-Landbrug!D$52),1)</f>
        <v>1150.430265739247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drivhus",Landbrug!E$52,1-Landbrug!E$52),1)</f>
        <v>7532.8864565129597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drivhus",Landbrug!C$52,1-Landbrug!C$52),1)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drivhus",Landbrug!D$52,1-Landbrug!D$52),1)</f>
        <v>-4530.7054322273098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drivhus",Landbrug!E$52,1-Landbrug!E$52),1)</f>
        <v>-29666.543557895617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drivhus",Landbrug!C$52,1-Landbrug!C$52),1)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drivhus",Landbrug!D$52,1-Landbrug!D$52),1)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drivhus",Landbrug!E$52,1-Landbrug!E$52),1)</f>
        <v>3538.0295870949062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drivhus",Landbrug!C$52,1-Landbrug!C$52),1)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drivhus",Landbrug!D$52,1-Landbrug!D$52),1)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drivhus",Landbrug!E$52,1-Landbrug!E$52),1)</f>
        <v>4679.3294538997152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drivhus",Landbrug!C$52,1-Landbrug!C$52),1)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drivhus",Landbrug!D$52,1-Landbrug!D$52),1)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drivhus",Landbrug!E$52,1-Landbrug!E$52),1)</f>
        <v>-25485.21805627862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drivhus",Landbrug!C$52,1-Landbrug!C$52),1)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drivhus",Landbrug!D$52,1-Landbrug!D$52),1)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drivhus",Landbrug!E$52,1-Landbrug!E$52),1)</f>
        <v>292.44130704716144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drivhus",Landbrug!C$52,1-Landbrug!C$52),1)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drivhus",Landbrug!D$52,1-Landbrug!D$52),1)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drivhus",Landbrug!E$52,1-Landbrug!E$52),1)</f>
        <v>159.51344020754263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drivhus",Landbrug!C$52,1-Landbrug!C$52),1)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drivhus",Landbrug!D$52,1-Landbrug!D$52),1)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drivhus",Landbrug!E$52,1-Landbrug!E$52),1)</f>
        <v>-7362.396327369378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drivhus",Landbrug!C$52,1-Landbrug!C$52),1)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drivhus",Landbrug!D$52,1-Landbrug!D$52),1)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drivhus",Landbrug!E$52,1-Landbrug!E$52),1)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drivhus",Landbrug!C$52,1-Landbrug!C$52),1)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drivhus",Landbrug!D$52,1-Landbrug!D$52),1)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drivhus",Landbrug!E$52,1-Landbrug!E$52),1)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drivhus",Landbrug!C$52,1-Landbrug!C$52),1)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drivhus",Landbrug!D$52,1-Landbrug!D$52),1)</f>
        <v>-15102.351440757699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drivhus",Landbrug!E$52,1-Landbrug!E$52),1)</f>
        <v>-9888.8478526318722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drivhus",Landbrug!C$52,1-Landbrug!C$52),1)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drivhus",Landbrug!D$52,1-Landbrug!D$52),1)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drivhus",Landbrug!E$52,1-Landbrug!E$52),1)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drivhus",Landbrug!C$52,1-Landbrug!C$52),1)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drivhus",Landbrug!D$52,1-Landbrug!D$52),1)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drivhus",Landbrug!E$52,1-Landbrug!E$52),1)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drivhus",Landbrug!C$52,1-Landbrug!C$52),1)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drivhus",Landbrug!D$52,1-Landbrug!D$52),1)</f>
        <v>-1510.2351440757698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drivhus",Landbrug!E$52,1-Landbrug!E$52),1)</f>
        <v>-9888.8478526318722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drivhus",Landbrug!C$52,1-Landbrug!C$52),1)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drivhus",Landbrug!D$52,1-Landbrug!D$52),1)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drivhus",Landbrug!E$52,1-Landbrug!E$52),1)</f>
        <v>967.06142047260789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drivhus",Landbrug!C$52,1-Landbrug!C$52),1)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drivhus",Landbrug!D$52,1-Landbrug!D$52),1)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drivhus",Landbrug!E$52,1-Landbrug!E$52),1)</f>
        <v>1279.0167173992554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drivhus",Landbrug!C$52,1-Landbrug!C$52),1)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drivhus",Landbrug!D$52,1-Landbrug!D$52),1)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drivhus",Landbrug!E$52,1-Landbrug!E$52),1)</f>
        <v>-18877.939300947124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drivhus",Landbrug!C$52,1-Landbrug!C$52),1)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drivhus",Landbrug!D$52,1-Landbrug!D$52),1)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drivhus",Landbrug!E$52,1-Landbrug!E$52),1)</f>
        <v>1162.6757419571995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drivhus",Landbrug!C$52,1-Landbrug!C$52),1)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drivhus",Landbrug!D$52,1-Landbrug!D$52),1)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drivhus",Landbrug!E$52,1-Landbrug!E$52),1)</f>
        <v>634.18676834029077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drivhus",Landbrug!C$52,1-Landbrug!C$52),1)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drivhus",Landbrug!D$52,1-Landbrug!D$52),1)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drivhus",Landbrug!E$52,1-Landbrug!E$52),1)</f>
        <v>-2454.1321091231262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drivhus",Landbrug!C$52,1-Landbrug!C$52),1)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drivhus",Landbrug!D$52,1-Landbrug!D$52),1)</f>
        <v>1518628.2461073445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drivhus",Landbrug!E$52,1-Landbrug!E$52),1)</f>
        <v>969266.04664412036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drivhus",Landbrug!C$52,1-Landbrug!C$52),1)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drivhus",Landbrug!D$52,1-Landbrug!D$52),1)</f>
        <v>1638224.8785321345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drivhus",Landbrug!E$52,1-Landbrug!E$52),1)</f>
        <v>1045598.7208186348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drivhus",Landbrug!C$52,1-Landbrug!C$52),1)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drivhus",Landbrug!D$52,1-Landbrug!D$52),1)</f>
        <v>210008.6091950777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drivhus",Landbrug!E$52,1-Landbrug!E$52),1)</f>
        <v>134038.21173319253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drivhus",Landbrug!C$52,1-Landbrug!C$52),1)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drivhus",Landbrug!D$52,1-Landbrug!D$52),1)</f>
        <v>17165.428003236691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drivhus",Landbrug!E$52,1-Landbrug!E$52),1)</f>
        <v>10955.852152953736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drivhus",Landbrug!C$52,1-Landbrug!C$52),1)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drivhus",Landbrug!D$52,1-Landbrug!D$52),1)</f>
        <v>-937217155.31142628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drivhus",Landbrug!E$52,1-Landbrug!E$52),1)</f>
        <v>-598179817.41368413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drivhus",Landbrug!C$52,1-Landbrug!C$52),1)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drivhus",Landbrug!D$52,1-Landbrug!D$52),1)</f>
        <v>-71978.172354332361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drivhus",Landbrug!E$52,1-Landbrug!E$52),1)</f>
        <v>-45940.142850221571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drivhus",Landbrug!C$52,1-Landbrug!C$52),1)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drivhus",Landbrug!D$52,1-Landbrug!D$52),1)</f>
        <v>122729.34771199414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drivhus",Landbrug!E$52,1-Landbrug!E$52),1)</f>
        <v>78332.132942302502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drivhus",Landbrug!C$52,1-Landbrug!C$52),1)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drivhus",Landbrug!D$52,1-Landbrug!D$52),1)</f>
        <v>33960.53236970181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drivhus",Landbrug!E$52,1-Landbrug!E$52),1)</f>
        <v>37353.954222681423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drivhus",Landbrug!C$52,1-Landbrug!C$52),1)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drivhus",Landbrug!D$52,1-Landbrug!D$52),1)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drivhus",Landbrug!E$52,1-Landbrug!E$52),1)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drivhus",Landbrug!C$52,1-Landbrug!C$52),1)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drivhus",Landbrug!D$52,1-Landbrug!D$52),1)</f>
        <v>36810.531017722024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drivhus",Landbrug!E$52,1-Landbrug!E$52),1)</f>
        <v>40488.73190737488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drivhus",Landbrug!C$52,1-Landbrug!C$52),1)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drivhus",Landbrug!D$52,1-Landbrug!D$52),1)</f>
        <v>1125.8163419154941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drivhus",Landbrug!E$52,1-Landbrug!E$52),1)</f>
        <v>1238.3107438143875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drivhus",Landbrug!C$52,1-Landbrug!C$52),1)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drivhus",Landbrug!D$52,1-Landbrug!D$52),1)</f>
        <v>-61468574.461073771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drivhus",Landbrug!E$52,1-Landbrug!E$52),1)</f>
        <v>-67610669.101315826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drivhus",Landbrug!C$52,1-Landbrug!C$52),1)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drivhus",Landbrug!D$52,1-Landbrug!D$52),1)</f>
        <v>-4149.5437304955294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drivhus",Landbrug!E$52,1-Landbrug!E$52),1)</f>
        <v>-4564.1765819970187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drivhus",Landbrug!C$52,1-Landbrug!C$52),1)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drivhus",Landbrug!D$52,1-Landbrug!D$52),1)</f>
        <v>8854.2957266671438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drivhus",Landbrug!E$52,1-Landbrug!E$52),1)</f>
        <v>9739.0392367077111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drivhus",Landbrug!C$52,1-Landbrug!C$52),1)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drivhus",Landbrug!D$52,1-Landbrug!D$52),1)</f>
        <v>22794.163449276428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drivhus",Landbrug!E$52,1-Landbrug!E$52),1)</f>
        <v>16269.689010967093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drivhus",Landbrug!C$52,1-Landbrug!C$52),1)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drivhus",Landbrug!D$52,1-Landbrug!D$52),1)</f>
        <v>661449.78842651786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drivhus",Landbrug!E$52,1-Landbrug!E$52),1)</f>
        <v>472120.08363531489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drivhus",Landbrug!C$52,1-Landbrug!C$52),1)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drivhus",Landbrug!D$52,1-Landbrug!D$52),1)</f>
        <v>12962.563762711534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drivhus",Landbrug!E$52,1-Landbrug!E$52),1)</f>
        <v>9252.2316808622672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drivhus",Landbrug!C$52,1-Landbrug!C$52),1)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drivhus",Landbrug!D$52,1-Landbrug!D$52),1)</f>
        <v>247600.69511628913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drivhus",Landbrug!E$52,1-Landbrug!E$52),1)</f>
        <v>176728.85067291989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drivhus",Landbrug!C$52,1-Landbrug!C$52),1)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drivhus",Landbrug!D$52,1-Landbrug!D$52),1)</f>
        <v>2820.6690661142875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drivhus",Landbrug!E$52,1-Landbrug!E$52),1)</f>
        <v>2013.2964568169402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drivhus",Landbrug!C$52,1-Landbrug!C$52),1)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drivhus",Landbrug!D$52,1-Landbrug!D$52),1)</f>
        <v>-171614592.91035649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drivhus",Landbrug!E$52,1-Landbrug!E$52),1)</f>
        <v>-122492587.30676734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drivhus",Landbrug!C$52,1-Landbrug!C$52),1)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drivhus",Landbrug!D$52,1-Landbrug!D$52),1)</f>
        <v>-717.79212848296538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drivhus",Landbrug!E$52,1-Landbrug!E$52),1)</f>
        <v>-512.33530596222397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drivhus",Landbrug!C$52,1-Landbrug!C$52),1)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drivhus",Landbrug!D$52,1-Landbrug!D$52),1)</f>
        <v>185624.18661968777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drivhus",Landbrug!E$52,1-Landbrug!E$52),1)</f>
        <v>132492.1529117098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drivhus",Landbrug!C$52,1-Landbrug!C$52),1)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drivhus",Landbrug!D$52,1-Landbrug!D$52),1)</f>
        <v>1420.8685354930128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drivhus",Landbrug!E$52,1-Landbrug!E$52),1)</f>
        <v>1313.3934309670233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drivhus",Landbrug!C$52,1-Landbrug!C$52),1)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drivhus",Landbrug!D$52,1-Landbrug!D$52),1)</f>
        <v>76781.549706449339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drivhus",Landbrug!E$52,1-Landbrug!E$52),1)</f>
        <v>70973.760404179528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drivhus",Landbrug!C$52,1-Landbrug!C$52),1)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drivhus",Landbrug!D$52,1-Landbrug!D$52),1)</f>
        <v>633.92596198919023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drivhus",Landbrug!E$52,1-Landbrug!E$52),1)</f>
        <v>585.97553073913343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drivhus",Landbrug!C$52,1-Landbrug!C$52),1)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drivhus",Landbrug!D$52,1-Landbrug!D$52),1)</f>
        <v>29328.183873637823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drivhus",Landbrug!E$52,1-Landbrug!E$52),1)</f>
        <v>27109.787485344961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drivhus",Landbrug!C$52,1-Landbrug!C$52),1)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drivhus",Landbrug!D$52,1-Landbrug!D$52),1)</f>
        <v>586.17569284488786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drivhus",Landbrug!E$52,1-Landbrug!E$52),1)</f>
        <v>541.83711240244099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drivhus",Landbrug!C$52,1-Landbrug!C$52),1)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drivhus",Landbrug!D$52,1-Landbrug!D$52),1)</f>
        <v>-35663986.289643541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drivhus",Landbrug!E$52,1-Landbrug!E$52),1)</f>
        <v>-32966347.093232643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drivhus",Landbrug!C$52,1-Landbrug!C$52),1)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drivhus",Landbrug!D$52,1-Landbrug!D$52),1)</f>
        <v>-179.81841826711027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drivhus",Landbrug!E$52,1-Landbrug!E$52),1)</f>
        <v>-166.21687610033266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drivhus",Landbrug!C$52,1-Landbrug!C$52),1)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drivhus",Landbrug!D$52,1-Landbrug!D$52),1)</f>
        <v>32258.609590036394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drivhus",Landbrug!E$52,1-Landbrug!E$52),1)</f>
        <v>29818.554545570743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drivhus",Landbrug!C$52,1-Landbrug!C$52),1)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drivhus",Landbrug!D$52,1-Landbrug!D$52),1)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drivhus",Landbrug!E$52,1-Landbrug!E$52),1)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drivhus",Landbrug!C$52,1-Landbrug!C$52),1)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drivhus",Landbrug!D$52,1-Landbrug!D$52),1)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drivhus",Landbrug!E$52,1-Landbrug!E$52),1)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drivhus",Landbrug!C$52,1-Landbrug!C$52),1)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drivhus",Landbrug!D$52,1-Landbrug!D$52),1)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drivhus",Landbrug!E$52,1-Landbrug!E$52),1)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drivhus",Landbrug!C$52,1-Landbrug!C$52),1)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drivhus",Landbrug!D$52,1-Landbrug!D$52),1)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drivhus",Landbrug!E$52,1-Landbrug!E$52),1)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drivhus",Landbrug!C$52,1-Landbrug!C$52),1)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drivhus",Landbrug!D$52,1-Landbrug!D$52),1)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drivhus",Landbrug!E$52,1-Landbrug!E$52),1)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drivhus",Landbrug!C$52,1-Landbrug!C$52),1)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drivhus",Landbrug!D$52,1-Landbrug!D$52),1)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drivhus",Landbrug!E$52,1-Landbrug!E$52),1)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drivhus",Landbrug!C$52,1-Landbrug!C$52),1)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drivhus",Landbrug!D$52,1-Landbrug!D$52),1)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drivhus",Landbrug!E$52,1-Landbrug!E$52),1)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drivhus",Landbrug!C$52,1-Landbrug!C$52),1)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drivhus",Landbrug!D$52,1-Landbrug!D$52),1)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drivhus",Landbrug!E$52,1-Landbrug!E$52),1)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drivhus",Landbrug!C$52,1-Landbrug!C$52),1)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drivhus",Landbrug!D$52,1-Landbrug!D$52),1)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drivhus",Landbrug!E$52,1-Landbrug!E$52),1)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drivhus",Landbrug!C$52,1-Landbrug!C$52),1)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drivhus",Landbrug!D$52,1-Landbrug!D$52),1)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drivhus",Landbrug!E$52,1-Landbrug!E$52),1)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drivhus",Landbrug!C$52,1-Landbrug!C$52),1)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drivhus",Landbrug!D$52,1-Landbrug!D$52),1)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drivhus",Landbrug!E$52,1-Landbrug!E$52),1)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drivhus",Landbrug!C$52,1-Landbrug!C$52),1)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drivhus",Landbrug!D$52,1-Landbrug!D$52),1)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drivhus",Landbrug!E$52,1-Landbrug!E$52),1)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drivhus",Landbrug!C$52,1-Landbrug!C$52),1)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drivhus",Landbrug!D$52,1-Landbrug!D$52),1)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drivhus",Landbrug!E$52,1-Landbrug!E$52),1)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drivhus",Landbrug!C$52,1-Landbrug!C$52),1)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drivhus",Landbrug!D$52,1-Landbrug!D$52),1)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drivhus",Landbrug!E$52,1-Landbrug!E$52),1)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drivhus",Landbrug!C$52,1-Landbrug!C$52),1)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drivhus",Landbrug!D$52,1-Landbrug!D$52),1)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drivhus",Landbrug!E$52,1-Landbrug!E$52),1)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drivhus",Landbrug!C$52,1-Landbrug!C$52),1)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drivhus",Landbrug!D$52,1-Landbrug!D$52),1)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drivhus",Landbrug!E$52,1-Landbrug!E$52),1)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drivhus",Landbrug!C$52,1-Landbrug!C$52),1)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drivhus",Landbrug!D$52,1-Landbrug!D$52),1)</f>
        <v>1372451.6368702271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drivhus",Landbrug!E$52,1-Landbrug!E$52),1)</f>
        <v>1245506.6830480653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drivhus",Landbrug!C$52,1-Landbrug!C$52),1)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drivhus",Landbrug!D$52,1-Landbrug!D$52),1)</f>
        <v>415448.28000409395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drivhus",Landbrug!E$52,1-Landbrug!E$52),1)</f>
        <v>377021.37933684437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drivhus",Landbrug!C$52,1-Landbrug!C$52),1)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drivhus",Landbrug!D$52,1-Landbrug!D$52),1)</f>
        <v>-29221615.961637475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drivhus",Landbrug!E$52,1-Landbrug!E$52),1)</f>
        <v>-26518761.748633407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drivhus",Landbrug!C$52,1-Landbrug!C$52),1)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drivhus",Landbrug!D$52,1-Landbrug!D$52),1)</f>
        <v>415256.39762998972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drivhus",Landbrug!E$52,1-Landbrug!E$52),1)</f>
        <v>376847.24512847915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drivhus",Landbrug!C$52,1-Landbrug!C$52),1)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drivhus",Landbrug!D$52,1-Landbrug!D$52),1)</f>
        <v>22936.668399113973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drivhus",Landbrug!E$52,1-Landbrug!E$52),1)</f>
        <v>0.55570830699390517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drivhus",Landbrug!C$52,1-Landbrug!C$52),1)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drivhus",Landbrug!D$52,1-Landbrug!D$52),1)</f>
        <v>6943.0493428288109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drivhus",Landbrug!E$52,1-Landbrug!E$52),1)</f>
        <v>0.16821580748089759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drivhus",Landbrug!C$52,1-Landbrug!C$52),1)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drivhus",Landbrug!D$52,1-Landbrug!D$52),1)</f>
        <v>-330658.46009396855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drivhus",Landbrug!E$52,1-Landbrug!E$52),1)</f>
        <v>-8.0111745025327714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drivhus",Landbrug!C$52,1-Landbrug!C$52),1)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drivhus",Landbrug!D$52,1-Landbrug!D$52),1)</f>
        <v>40675.300260354867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drivhus",Landbrug!E$52,1-Landbrug!E$52),1)</f>
        <v>0.98547887822381874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drivhus",Landbrug!C$52,1-Landbrug!C$52),1)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drivhus",Landbrug!D$52,1-Landbrug!D$52),1)</f>
        <v>0.48136972077585966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drivhus",Landbrug!E$52,1-Landbrug!E$52),1)</f>
        <v>0.45910984929489501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drivhus",Landbrug!C$52,1-Landbrug!C$52),1)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drivhus",Landbrug!D$52,1-Landbrug!D$52),1)</f>
        <v>0.14571312909679707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drivhus",Landbrug!E$52,1-Landbrug!E$52),1)</f>
        <v>0.13897494971659835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drivhus",Landbrug!C$52,1-Landbrug!C$52),1)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drivhus",Landbrug!D$52,1-Landbrug!D$52),1)</f>
        <v>-4.5754933628917618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drivhus",Landbrug!E$52,1-Landbrug!E$52),1)</f>
        <v>-4.3639098547811592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drivhus",Landbrug!C$52,1-Landbrug!C$52),1)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drivhus",Landbrug!D$52,1-Landbrug!D$52),1)</f>
        <v>1.8737420577760162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drivhus",Landbrug!E$52,1-Landbrug!E$52),1)</f>
        <v>1.7870950262025587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drivhus",Landbrug!C$52,1-Landbrug!C$52),1)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drivhus",Landbrug!D$52,1-Landbrug!D$52),1)</f>
        <v>143512.42838718157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drivhus",Landbrug!E$52,1-Landbrug!E$52),1)</f>
        <v>177012.91949986137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drivhus",Landbrug!C$52,1-Landbrug!C$52),1)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drivhus",Landbrug!D$52,1-Landbrug!D$52),1)</f>
        <v>43441.961764589942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drivhus",Landbrug!E$52,1-Landbrug!E$52),1)</f>
        <v>53582.735426963642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drivhus",Landbrug!C$52,1-Landbrug!C$52),1)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drivhus",Landbrug!D$52,1-Landbrug!D$52),1)</f>
        <v>-3055601.3453527275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drivhus",Landbrug!E$52,1-Landbrug!E$52),1)</f>
        <v>-3768878.5636694143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drivhus",Landbrug!C$52,1-Landbrug!C$52),1)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drivhus",Landbrug!D$52,1-Landbrug!D$52),1)</f>
        <v>64808.801942252729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drivhus",Landbrug!E$52,1-Landbrug!E$52),1)</f>
        <v>79937.294421192535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drivhus",Landbrug!C$52,1-Landbrug!C$52),1)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drivhus",Landbrug!D$52,1-Landbrug!D$52),1)</f>
        <v>2398.4065395374096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drivhus",Landbrug!E$52,1-Landbrug!E$52),1)</f>
        <v>7.8977938175800455E-2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drivhus",Landbrug!C$52,1-Landbrug!C$52),1)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drivhus",Landbrug!D$52,1-Landbrug!D$52),1)</f>
        <v>726.01018850735954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drivhus",Landbrug!E$52,1-Landbrug!E$52),1)</f>
        <v>2.3907034457133627E-2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drivhus",Landbrug!C$52,1-Landbrug!C$52),1)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drivhus",Landbrug!D$52,1-Landbrug!D$52),1)</f>
        <v>-34575.789266473366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drivhus",Landbrug!E$52,1-Landbrug!E$52),1)</f>
        <v>-1.1385578308145059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drivhus",Landbrug!C$52,1-Landbrug!C$52),1)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drivhus",Landbrug!D$52,1-Landbrug!D$52),1)</f>
        <v>6348.168248725905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drivhus",Landbrug!E$52,1-Landbrug!E$52),1)</f>
        <v>0.2090409741686888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drivhus",Landbrug!C$52,1-Landbrug!C$52),1)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drivhus",Landbrug!D$52,1-Landbrug!D$52),1)</f>
        <v>5.0335134386331228E-2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drivhus",Landbrug!E$52,1-Landbrug!E$52),1)</f>
        <v>6.5249248278577504E-2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drivhus",Landbrug!C$52,1-Landbrug!C$52),1)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drivhus",Landbrug!D$52,1-Landbrug!D$52),1)</f>
        <v>1.5236708123474331E-2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drivhus",Landbrug!E$52,1-Landbrug!E$52),1)</f>
        <v>1.9751288308207465E-2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drivhus",Landbrug!C$52,1-Landbrug!C$52),1)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drivhus",Landbrug!D$52,1-Landbrug!D$52),1)</f>
        <v>-0.47844320771509807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drivhus",Landbrug!E$52,1-Landbrug!E$52),1)</f>
        <v>-0.62020415814920116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drivhus",Landbrug!C$52,1-Landbrug!C$52),1)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drivhus",Landbrug!D$52,1-Landbrug!D$52),1)</f>
        <v>0.29243373156041874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drivhus",Landbrug!E$52,1-Landbrug!E$52),1)</f>
        <v>0.37908076313387606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drivhus",Landbrug!C$52,1-Landbrug!C$52),1)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drivhus",Landbrug!D$52,1-Landbrug!D$52),1)</f>
        <v>100905.70754641225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drivhus",Landbrug!E$52,1-Landbrug!E$52),1)</f>
        <v>91572.431210290903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drivhus",Landbrug!C$52,1-Landbrug!C$52),1)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drivhus",Landbrug!D$52,1-Landbrug!D$52),1)</f>
        <v>-913175.49880117096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drivhus",Landbrug!E$52,1-Landbrug!E$52),1)</f>
        <v>-828711.30464479397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drivhus",Landbrug!C$52,1-Landbrug!C$52),1)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drivhus",Landbrug!D$52,1-Landbrug!D$52),1)</f>
        <v>10381.409940749742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drivhus",Landbrug!E$52,1-Landbrug!E$52),1)</f>
        <v>9421.1811282119779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drivhus",Landbrug!C$52,1-Landbrug!C$52),1)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drivhus",Landbrug!D$52,1-Landbrug!D$52),1)</f>
        <v>410.29514859198309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drivhus",Landbrug!E$52,1-Landbrug!E$52),1)</f>
        <v>9.940607695260192E-3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drivhus",Landbrug!C$52,1-Landbrug!C$52),1)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drivhus",Landbrug!D$52,1-Landbrug!D$52),1)</f>
        <v>-3016.8816258393249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drivhus",Landbrug!E$52,1-Landbrug!E$52),1)</f>
        <v>-7.3092837700917068E-2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drivhus",Landbrug!C$52,1-Landbrug!C$52),1)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drivhus",Landbrug!D$52,1-Landbrug!D$52),1)</f>
        <v>247.41050719643644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drivhus",Landbrug!E$52,1-Landbrug!E$52),1)</f>
        <v>5.9942477998219711E-3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drivhus",Landbrug!C$52,1-Landbrug!C$52),1)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drivhus",Landbrug!D$52,1-Landbrug!D$52),1)</f>
        <v>4.3441705756537977E-3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drivhus",Landbrug!E$52,1-Landbrug!E$52),1)</f>
        <v>4.1432840750455285E-3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drivhus",Landbrug!C$52,1-Landbrug!C$52),1)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drivhus",Landbrug!D$52,1-Landbrug!D$52),1)</f>
        <v>-2.6677243801748664E-2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drivhus",Landbrug!E$52,1-Landbrug!E$52),1)</f>
        <v>-2.5443614030569529E-2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drivhus",Landbrug!C$52,1-Landbrug!C$52),1)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drivhus",Landbrug!D$52,1-Landbrug!D$52),1)</f>
        <v>5.7498859722952995E-3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drivhus",Landbrug!E$52,1-Landbrug!E$52),1)</f>
        <v>5.4839952914955163E-3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drivhus",Landbrug!C$52,1-Landbrug!C$52),1)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drivhus",Landbrug!D$52,1-Landbrug!D$52),1)</f>
        <v>8976.5250817299693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drivhus",Landbrug!E$52,1-Landbrug!E$52),1)</f>
        <v>11071.939409971535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drivhus",Landbrug!C$52,1-Landbrug!C$52),1)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drivhus",Landbrug!D$52,1-Landbrug!D$52),1)</f>
        <v>-81235.670095664856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drivhus",Landbrug!E$52,1-Landbrug!E$52),1)</f>
        <v>-100198.73047068871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drivhus",Landbrug!C$52,1-Landbrug!C$52),1)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drivhus",Landbrug!D$52,1-Landbrug!D$52),1)</f>
        <v>1620.2200485563183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drivhus",Landbrug!E$52,1-Landbrug!E$52),1)</f>
        <v>1998.4323605298134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drivhus",Landbrug!C$52,1-Landbrug!C$52),1)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drivhus",Landbrug!D$52,1-Landbrug!D$52),1)</f>
        <v>36.499666686882193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drivhus",Landbrug!E$52,1-Landbrug!E$52),1)</f>
        <v>1.2019098395178235E-3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drivhus",Landbrug!C$52,1-Landbrug!C$52),1)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drivhus",Landbrug!D$52,1-Landbrug!D$52),1)</f>
        <v>-268.38039434489713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drivhus",Landbrug!E$52,1-Landbrug!E$52),1)</f>
        <v>-8.8375885583836088E-3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drivhus",Landbrug!C$52,1-Landbrug!C$52),1)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drivhus",Landbrug!D$52,1-Landbrug!D$52),1)</f>
        <v>38.613200545108576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drivhus",Landbrug!E$52,1-Landbrug!E$52),1)</f>
        <v>1.2715071090531455E-3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drivhus",Landbrug!C$52,1-Landbrug!C$52),1)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drivhus",Landbrug!D$52,1-Landbrug!D$52),1)</f>
        <v>3.8645540554515568E-4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drivhus",Landbrug!E$52,1-Landbrug!E$52),1)</f>
        <v>5.0096071089186854E-4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drivhus",Landbrug!C$52,1-Landbrug!C$52),1)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drivhus",Landbrug!D$52,1-Landbrug!D$52),1)</f>
        <v>-2.3731952723058491E-3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drivhus",Landbrug!E$52,1-Landbrug!E$52),1)</f>
        <v>-3.0763642418779524E-3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drivhus",Landbrug!C$52,1-Landbrug!C$52),1)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drivhus",Landbrug!D$52,1-Landbrug!D$52),1)</f>
        <v>8.9738104769926635E-4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drivhus",Landbrug!E$52,1-Landbrug!E$52),1)</f>
        <v>1.1632717284990491E-3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drivhus",Landbrug!C$52,1-Landbrug!C$52),1)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drivhus",Landbrug!D$52,1-Landbrug!D$52),1)</f>
        <v>11244.140732765991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drivhus",Landbrug!E$52,1-Landbrug!E$52),1)</f>
        <v>10169.655315395194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drivhus",Landbrug!C$52,1-Landbrug!C$52),1)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drivhus",Landbrug!D$52,1-Landbrug!D$52),1)</f>
        <v>-9620832.5266981572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drivhus",Landbrug!E$52,1-Landbrug!E$52),1)</f>
        <v>-8701469.7671428658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drivhus",Landbrug!C$52,1-Landbrug!C$52),1)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drivhus",Landbrug!D$52,1-Landbrug!D$52),1)</f>
        <v>2083.3174025213825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drivhus",Landbrug!E$52,1-Landbrug!E$52),1)</f>
        <v>1884.2364569902625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drivhus",Landbrug!C$52,1-Landbrug!C$52),1)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drivhus",Landbrug!D$52,1-Landbrug!D$52),1)</f>
        <v>1000.2735599842115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drivhus",Landbrug!E$52,1-Landbrug!E$52),1)</f>
        <v>1229.603779043237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drivhus",Landbrug!C$52,1-Landbrug!C$52),1)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drivhus",Landbrug!D$52,1-Landbrug!D$52),1)</f>
        <v>-855864.81263517134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drivhus",Landbrug!E$52,1-Landbrug!E$52),1)</f>
        <v>-1052086.7991181829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drivhus",Landbrug!C$52,1-Landbrug!C$52),1)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drivhus",Landbrug!D$52,1-Landbrug!D$52),1)</f>
        <v>325.14202235882846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drivhus",Landbrug!E$52,1-Landbrug!E$52),1)</f>
        <v>399.68652117975262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drivhus",Landbrug!C$52,1-Landbrug!C$52),1)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drivhus",Landbrug!D$52,1-Landbrug!D$52),1)</f>
        <v>519697.35643889842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drivhus",Landbrug!E$52,1-Landbrug!E$52),1)</f>
        <v>471627.93443355768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drivhus",Landbrug!C$52,1-Landbrug!C$52),1)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drivhus",Landbrug!D$52,1-Landbrug!D$52),1)</f>
        <v>-1712204.0602521957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drivhus",Landbrug!E$52,1-Landbrug!E$52),1)</f>
        <v>-1553833.6962089888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drivhus",Landbrug!C$52,1-Landbrug!C$52),1)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drivhus",Landbrug!D$52,1-Landbrug!D$52),1)</f>
        <v>25953.524851874357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drivhus",Landbrug!E$52,1-Landbrug!E$52),1)</f>
        <v>23552.952820529947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drivhus",Landbrug!C$52,1-Landbrug!C$52),1)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drivhus",Landbrug!D$52,1-Landbrug!D$52),1)</f>
        <v>1437.0221110963284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drivhus",Landbrug!E$52,1-Landbrug!E$52),1)</f>
        <v>3.4816090574906519E-2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drivhus",Landbrug!C$52,1-Landbrug!C$52),1)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drivhus",Landbrug!D$52,1-Landbrug!D$52),1)</f>
        <v>-3156.2922315032624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drivhus",Landbrug!E$52,1-Landbrug!E$52),1)</f>
        <v>-7.6470469983968878E-2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drivhus",Landbrug!C$52,1-Landbrug!C$52),1)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drivhus",Landbrug!D$52,1-Landbrug!D$52),1)</f>
        <v>420.62050583890692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drivhus",Landbrug!E$52,1-Landbrug!E$52),1)</f>
        <v>1.0190769867680008E-2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drivhus",Landbrug!C$52,1-Landbrug!C$52),1)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drivhus",Landbrug!D$52,1-Landbrug!D$52),1)</f>
        <v>5.1011418828965656E-2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drivhus",Landbrug!E$52,1-Landbrug!E$52),1)</f>
        <v>4.8652509287741813E-2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drivhus",Landbrug!C$52,1-Landbrug!C$52),1)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drivhus",Landbrug!D$52,1-Landbrug!D$52),1)</f>
        <v>-7.2027050817754637E-2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drivhus",Landbrug!E$52,1-Landbrug!E$52),1)</f>
        <v>-6.8696320144101236E-2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drivhus",Landbrug!C$52,1-Landbrug!C$52),1)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drivhus",Landbrug!D$52,1-Landbrug!D$52),1)</f>
        <v>3.2773664125333675E-2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drivhus",Landbrug!E$52,1-Landbrug!E$52),1)</f>
        <v>3.1258118963468536E-2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drivhus",Landbrug!C$52,1-Landbrug!C$52),1)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drivhus",Landbrug!D$52,1-Landbrug!D$52),1)</f>
        <v>46232.036506327429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drivhus",Landbrug!E$52,1-Landbrug!E$52),1)</f>
        <v>57024.104799693778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drivhus",Landbrug!C$52,1-Landbrug!C$52),1)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drivhus",Landbrug!D$52,1-Landbrug!D$52),1)</f>
        <v>-152316.8814293716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drivhus",Landbrug!E$52,1-Landbrug!E$52),1)</f>
        <v>-187872.61963254132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drivhus",Landbrug!C$52,1-Landbrug!C$52),1)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drivhus",Landbrug!D$52,1-Landbrug!D$52),1)</f>
        <v>4050.5501213907955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drivhus",Landbrug!E$52,1-Landbrug!E$52),1)</f>
        <v>4996.0809013245334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drivhus",Landbrug!C$52,1-Landbrug!C$52),1)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drivhus",Landbrug!D$52,1-Landbrug!D$52),1)</f>
        <v>127.83682248423408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drivhus",Landbrug!E$52,1-Landbrug!E$52),1)</f>
        <v>4.2095818604205148E-3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drivhus",Landbrug!C$52,1-Landbrug!C$52),1)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drivhus",Landbrug!D$52,1-Landbrug!D$52),1)</f>
        <v>-280.78229735742894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drivhus",Landbrug!E$52,1-Landbrug!E$52),1)</f>
        <v>-9.2459750071525997E-3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drivhus",Landbrug!C$52,1-Landbrug!C$52),1)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drivhus",Landbrug!D$52,1-Landbrug!D$52),1)</f>
        <v>65.645974899713806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drivhus",Landbrug!E$52,1-Landbrug!E$52),1)</f>
        <v>2.1616784567806079E-3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drivhus",Landbrug!C$52,1-Landbrug!C$52),1)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drivhus",Landbrug!D$52,1-Landbrug!D$52),1)</f>
        <v>4.5379522299293729E-3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drivhus",Landbrug!E$52,1-Landbrug!E$52),1)</f>
        <v>5.8825306684269644E-3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drivhus",Landbrug!C$52,1-Landbrug!C$52),1)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drivhus",Landbrug!D$52,1-Landbrug!D$52),1)</f>
        <v>-6.407493133440717E-3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drivhus",Landbrug!E$52,1-Landbrug!E$52),1)</f>
        <v>-8.3060096174231504E-3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drivhus",Landbrug!C$52,1-Landbrug!C$52),1)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drivhus",Landbrug!D$52,1-Landbrug!D$52),1)</f>
        <v>5.1149649212948525E-3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drivhus",Landbrug!E$52,1-Landbrug!E$52),1)</f>
        <v>6.6305100831599928E-3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drivhus",Landbrug!C$52,1-Landbrug!C$52),1)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drivhus",Landbrug!D$52,1-Landbrug!D$52),1)</f>
        <v>2428710.778227556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drivhus",Landbrug!E$52,1-Landbrug!E$52),1)</f>
        <v>2204067.1045950428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drivhus",Landbrug!C$52,1-Landbrug!C$52),1)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drivhus",Landbrug!D$52,1-Landbrug!D$52),1)</f>
        <v>-7077110.1157090757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drivhus",Landbrug!E$52,1-Landbrug!E$52),1)</f>
        <v>-6422512.6109971534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drivhus",Landbrug!C$52,1-Landbrug!C$52),1)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drivhus",Landbrug!D$52,1-Landbrug!D$52),1)</f>
        <v>103814.09940749743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drivhus",Landbrug!E$52,1-Landbrug!E$52),1)</f>
        <v>94211.811282119786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drivhus",Landbrug!C$52,1-Landbrug!C$52),1)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drivhus",Landbrug!D$52,1-Landbrug!D$52),1)</f>
        <v>52143.635648788171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drivhus",Landbrug!E$52,1-Landbrug!E$52),1)</f>
        <v>1.2633330605247997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drivhus",Landbrug!C$52,1-Landbrug!C$52),1)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drivhus",Landbrug!D$52,1-Landbrug!D$52),1)</f>
        <v>-106196.90735319872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drivhus",Landbrug!E$52,1-Landbrug!E$52),1)</f>
        <v>-2.5729326755892035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drivhus",Landbrug!C$52,1-Landbrug!C$52),1)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drivhus",Landbrug!D$52,1-Landbrug!D$52),1)</f>
        <v>13063.603732034793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drivhus",Landbrug!E$52,1-Landbrug!E$52),1)</f>
        <v>0.31650425366260893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drivhus",Landbrug!C$52,1-Landbrug!C$52),1)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drivhus",Landbrug!D$52,1-Landbrug!D$52),1)</f>
        <v>2.2215686991047594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drivhus",Landbrug!E$52,1-Landbrug!E$52),1)</f>
        <v>2.1188371985681229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drivhus",Landbrug!C$52,1-Landbrug!C$52),1)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drivhus",Landbrug!D$52,1-Landbrug!D$52),1)</f>
        <v>-3.1323441068699909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drivhus",Landbrug!E$52,1-Landbrug!E$52),1)</f>
        <v>-2.9874958244713783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drivhus",Landbrug!C$52,1-Landbrug!C$52),1)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drivhus",Landbrug!D$52,1-Landbrug!D$52),1)</f>
        <v>1.2216647477936575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drivhus",Landbrug!E$52,1-Landbrug!E$52),1)</f>
        <v>1.1651715802656273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drivhus",Landbrug!C$52,1-Landbrug!C$52),1)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drivhus",Landbrug!D$52,1-Landbrug!D$52),1)</f>
        <v>295656.93057498458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drivhus",Landbrug!E$52,1-Landbrug!E$52),1)</f>
        <v>364672.92094208888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drivhus",Landbrug!C$52,1-Landbrug!C$52),1)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drivhus",Landbrug!D$52,1-Landbrug!D$52),1)</f>
        <v>-861525.65917244588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drivhus",Landbrug!E$52,1-Landbrug!E$52),1)</f>
        <v>-1062633.9047286198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drivhus",Landbrug!C$52,1-Landbrug!C$52),1)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drivhus",Landbrug!D$52,1-Landbrug!D$52),1)</f>
        <v>16202.200485563182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drivhus",Landbrug!E$52,1-Landbrug!E$52),1)</f>
        <v>19984.323605298134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drivhus",Landbrug!C$52,1-Landbrug!C$52),1)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drivhus",Landbrug!D$52,1-Landbrug!D$52),1)</f>
        <v>6347.6587674189541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drivhus",Landbrug!E$52,1-Landbrug!E$52),1)</f>
        <v>0.2090241972868305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drivhus",Landbrug!C$52,1-Landbrug!C$52),1)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drivhus",Landbrug!D$52,1-Landbrug!D$52),1)</f>
        <v>-12927.785369123498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drivhus",Landbrug!E$52,1-Landbrug!E$52),1)</f>
        <v>-0.42570340632475917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drivhus",Landbrug!C$52,1-Landbrug!C$52),1)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drivhus",Landbrug!D$52,1-Landbrug!D$52),1)</f>
        <v>2038.8283281210372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drivhus",Landbrug!E$52,1-Landbrug!E$52),1)</f>
        <v>6.7137265928432194E-2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drivhus",Landbrug!C$52,1-Landbrug!C$52),1)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drivhus",Landbrug!D$52,1-Landbrug!D$52),1)</f>
        <v>0.27044067516269493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drivhus",Landbrug!E$52,1-Landbrug!E$52),1)</f>
        <v>0.35057124558127117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drivhus",Landbrug!C$52,1-Landbrug!C$52),1)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drivhus",Landbrug!D$52,1-Landbrug!D$52),1)</f>
        <v>-0.38131310341434688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drivhus",Landbrug!E$52,1-Landbrug!E$52),1)</f>
        <v>-0.49429476368526443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drivhus",Landbrug!C$52,1-Landbrug!C$52),1)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drivhus",Landbrug!D$52,1-Landbrug!D$52),1)</f>
        <v>0.19066444040710265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drivhus",Landbrug!E$52,1-Landbrug!E$52),1)</f>
        <v>0.247157607935133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drivhus",Landbrug!C$52,1-Landbrug!C$52),1)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drivhus",Landbrug!D$52,1-Landbrug!D$52),1)</f>
        <v>170039.12219997038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drivhus",Landbrug!E$52,1-Landbrug!E$52),1)</f>
        <v>154311.34867721036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drivhus",Landbrug!C$52,1-Landbrug!C$52),1)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drivhus",Landbrug!D$52,1-Landbrug!D$52),1)</f>
        <v>46816.727131313368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drivhus",Landbrug!E$52,1-Landbrug!E$52),1)</f>
        <v>42486.412602094519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drivhus",Landbrug!C$52,1-Landbrug!C$52),1)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drivhus",Landbrug!D$52,1-Landbrug!D$52),1)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drivhus",Landbrug!E$52,1-Landbrug!E$52),1)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drivhus",Landbrug!C$52,1-Landbrug!C$52),1)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drivhus",Landbrug!D$52,1-Landbrug!D$52),1)</f>
        <v>93432.689466747688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drivhus",Landbrug!E$52,1-Landbrug!E$52),1)</f>
        <v>84790.630153907798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drivhus",Landbrug!C$52,1-Landbrug!C$52),1)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drivhus",Landbrug!D$52,1-Landbrug!D$52),1)</f>
        <v>341.53245714729019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drivhus",Landbrug!E$52,1-Landbrug!E$52),1)</f>
        <v>8.2746290892063736E-3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drivhus",Landbrug!C$52,1-Landbrug!C$52),1)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drivhus",Landbrug!D$52,1-Landbrug!D$52),1)</f>
        <v>94.03384142355003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drivhus",Landbrug!E$52,1-Landbrug!E$52),1)</f>
        <v>2.2782466009594014E-3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drivhus",Landbrug!C$52,1-Landbrug!C$52),1)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drivhus",Landbrug!D$52,1-Landbrug!D$52),1)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drivhus",Landbrug!E$52,1-Landbrug!E$52),1)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drivhus",Landbrug!C$52,1-Landbrug!C$52),1)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drivhus",Landbrug!D$52,1-Landbrug!D$52),1)</f>
        <v>1099.9251377656303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drivhus",Landbrug!E$52,1-Landbrug!E$52),1)</f>
        <v>2.664892413718585E-2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drivhus",Landbrug!C$52,1-Landbrug!C$52),1)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drivhus",Landbrug!D$52,1-Landbrug!D$52),1)</f>
        <v>4.8144064710030588E-3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drivhus",Landbrug!E$52,1-Landbrug!E$52),1)</f>
        <v>4.5917749578930911E-3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drivhus",Landbrug!C$52,1-Landbrug!C$52),1)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drivhus",Landbrug!D$52,1-Landbrug!D$52),1)</f>
        <v>1.3255464456415479E-3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drivhus",Landbrug!E$52,1-Landbrug!E$52),1)</f>
        <v>1.2642495001783552E-3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drivhus",Landbrug!C$52,1-Landbrug!C$52),1)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drivhus",Landbrug!D$52,1-Landbrug!D$52),1)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drivhus",Landbrug!E$52,1-Landbrug!E$52),1)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drivhus",Landbrug!C$52,1-Landbrug!C$52),1)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drivhus",Landbrug!D$52,1-Landbrug!D$52),1)</f>
        <v>3.4033334615555896E-2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drivhus",Landbrug!E$52,1-Landbrug!E$52),1)</f>
        <v>3.2459538795183367E-2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drivhus",Landbrug!C$52,1-Landbrug!C$52),1)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drivhus",Landbrug!D$52,1-Landbrug!D$52),1)</f>
        <v>15126.601680101414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drivhus",Landbrug!E$52,1-Landbrug!E$52),1)</f>
        <v>18657.644885517257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drivhus",Landbrug!C$52,1-Landbrug!C$52),1)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drivhus",Landbrug!D$52,1-Landbrug!D$52),1)</f>
        <v>4164.7943962480504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drivhus",Landbrug!E$52,1-Landbrug!E$52),1)</f>
        <v>5136.9935237077916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drivhus",Landbrug!C$52,1-Landbrug!C$52),1)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drivhus",Landbrug!D$52,1-Landbrug!D$52),1)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drivhus",Landbrug!E$52,1-Landbrug!E$52),1)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drivhus",Landbrug!C$52,1-Landbrug!C$52),1)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drivhus",Landbrug!D$52,1-Landbrug!D$52),1)</f>
        <v>14581.980437006865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drivhus",Landbrug!E$52,1-Landbrug!E$52),1)</f>
        <v>17985.891244768321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drivhus",Landbrug!C$52,1-Landbrug!C$52),1)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drivhus",Landbrug!D$52,1-Landbrug!D$52),1)</f>
        <v>30.3825694537387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drivhus",Landbrug!E$52,1-Landbrug!E$52),1)</f>
        <v>1.0004778807858614E-3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drivhus",Landbrug!C$52,1-Landbrug!C$52),1)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drivhus",Landbrug!D$52,1-Landbrug!D$52),1)</f>
        <v>8.3652070491817039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drivhus",Landbrug!E$52,1-Landbrug!E$52),1)</f>
        <v>2.754607253887276E-4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drivhus",Landbrug!C$52,1-Landbrug!C$52),1)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drivhus",Landbrug!D$52,1-Landbrug!D$52),1)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drivhus",Landbrug!E$52,1-Landbrug!E$52),1)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drivhus",Landbrug!C$52,1-Landbrug!C$52),1)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drivhus",Landbrug!D$52,1-Landbrug!D$52),1)</f>
        <v>171.66461687671688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drivhus",Landbrug!E$52,1-Landbrug!E$52),1)</f>
        <v>5.6528020897060891E-3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drivhus",Landbrug!C$52,1-Landbrug!C$52),1)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drivhus",Landbrug!D$52,1-Landbrug!D$52),1)</f>
        <v>4.2828737334530098E-4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drivhus",Landbrug!E$52,1-Landbrug!E$52),1)</f>
        <v>5.5518733581798264E-4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drivhus",Landbrug!C$52,1-Landbrug!C$52),1)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drivhus",Landbrug!D$52,1-Landbrug!D$52),1)</f>
        <v>1.1791999883481745E-4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drivhus",Landbrug!E$52,1-Landbrug!E$52),1)</f>
        <v>1.5285925774883739E-4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drivhus",Landbrug!C$52,1-Landbrug!C$52),1)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drivhus",Landbrug!D$52,1-Landbrug!D$52),1)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drivhus",Landbrug!E$52,1-Landbrug!E$52),1)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drivhus",Landbrug!C$52,1-Landbrug!C$52),1)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drivhus",Landbrug!D$52,1-Landbrug!D$52),1)</f>
        <v>5.3115608937572781E-3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drivhus",Landbrug!E$52,1-Landbrug!E$52),1)</f>
        <v>6.8853567141298044E-3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drivhus",Landbrug!C$52,1-Landbrug!C$52),1)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drivhus",Landbrug!D$52,1-Landbrug!D$52),1)</f>
        <v>397706.19323788601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drivhus",Landbrug!E$52,1-Landbrug!E$52),1)</f>
        <v>360920.34739890066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drivhus",Landbrug!C$52,1-Landbrug!C$52),1)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drivhus",Landbrug!D$52,1-Landbrug!D$52),1)</f>
        <v>-616393.46169079037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drivhus",Landbrug!E$52,1-Landbrug!E$52),1)</f>
        <v>-559380.13063523592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drivhus",Landbrug!C$52,1-Landbrug!C$52),1)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drivhus",Landbrug!D$52,1-Landbrug!D$52),1)</f>
        <v>10381.409940749742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drivhus",Landbrug!E$52,1-Landbrug!E$52),1)</f>
        <v>9421.1811282119779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drivhus",Landbrug!C$52,1-Landbrug!C$52),1)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drivhus",Landbrug!D$52,1-Landbrug!D$52),1)</f>
        <v>7680.8450433257158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drivhus",Landbrug!E$52,1-Landbrug!E$52),1)</f>
        <v>0.18609108005737846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drivhus",Landbrug!C$52,1-Landbrug!C$52),1)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drivhus",Landbrug!D$52,1-Landbrug!D$52),1)</f>
        <v>-7715.7643884437011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drivhus",Landbrug!E$52,1-Landbrug!E$52),1)</f>
        <v>-0.18693710397938804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drivhus",Landbrug!C$52,1-Landbrug!C$52),1)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drivhus",Landbrug!D$52,1-Landbrug!D$52),1)</f>
        <v>1175.1251991573336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drivhus",Landbrug!E$52,1-Landbrug!E$52),1)</f>
        <v>2.8470866978868796E-2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drivhus",Landbrug!C$52,1-Landbrug!C$52),1)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drivhus",Landbrug!D$52,1-Landbrug!D$52),1)</f>
        <v>0.11238684588607067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drivhus",Landbrug!E$52,1-Landbrug!E$52),1)</f>
        <v>0.10718976630752407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drivhus",Landbrug!C$52,1-Landbrug!C$52),1)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drivhus",Landbrug!D$52,1-Landbrug!D$52),1)</f>
        <v>-6.9121095320005821E-2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drivhus",Landbrug!E$52,1-Landbrug!E$52),1)</f>
        <v>-6.592474409133503E-2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drivhus",Landbrug!C$52,1-Landbrug!C$52),1)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drivhus",Landbrug!D$52,1-Landbrug!D$52),1)</f>
        <v>3.7741679598542764E-2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drivhus",Landbrug!E$52,1-Landbrug!E$52),1)</f>
        <v>3.5996399617107259E-2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drivhus",Landbrug!C$52,1-Landbrug!C$52),1)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drivhus",Landbrug!D$52,1-Landbrug!D$52),1)</f>
        <v>35379.75904006396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drivhus",Landbrug!E$52,1-Landbrug!E$52),1)</f>
        <v>43638.551094594346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drivhus",Landbrug!C$52,1-Landbrug!C$52),1)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drivhus",Landbrug!D$52,1-Landbrug!D$52),1)</f>
        <v>-54834.077314573777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drivhus",Landbrug!E$52,1-Landbrug!E$52),1)</f>
        <v>-67634.143067714875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drivhus",Landbrug!C$52,1-Landbrug!C$52),1)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drivhus",Landbrug!D$52,1-Landbrug!D$52),1)</f>
        <v>1620.2200485563183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drivhus",Landbrug!E$52,1-Landbrug!E$52),1)</f>
        <v>1998.4323605298134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drivhus",Landbrug!C$52,1-Landbrug!C$52),1)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drivhus",Landbrug!D$52,1-Landbrug!D$52),1)</f>
        <v>683.28442321839748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drivhus",Landbrug!E$52,1-Landbrug!E$52),1)</f>
        <v>2.2500103316028485E-2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drivhus",Landbrug!C$52,1-Landbrug!C$52),1)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drivhus",Landbrug!D$52,1-Landbrug!D$52),1)</f>
        <v>-686.39083201241942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drivhus",Landbrug!E$52,1-Landbrug!E$52),1)</f>
        <v>-2.2602395299326006E-2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drivhus",Landbrug!C$52,1-Landbrug!C$52),1)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drivhus",Landbrug!D$52,1-Landbrug!D$52),1)</f>
        <v>183.40104264305208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drivhus",Landbrug!E$52,1-Landbrug!E$52),1)</f>
        <v>6.0392748136994419E-3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drivhus",Landbrug!C$52,1-Landbrug!C$52),1)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drivhus",Landbrug!D$52,1-Landbrug!D$52),1)</f>
        <v>9.9978818392290631E-3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drivhus",Landbrug!E$52,1-Landbrug!E$52),1)</f>
        <v>1.2960217199000635E-2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drivhus",Landbrug!C$52,1-Landbrug!C$52),1)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drivhus",Landbrug!D$52,1-Landbrug!D$52),1)</f>
        <v>-6.1489806761554303E-3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drivhus",Landbrug!E$52,1-Landbrug!E$52),1)</f>
        <v>-7.9709008764977801E-3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drivhus",Landbrug!C$52,1-Landbrug!C$52),1)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drivhus",Landbrug!D$52,1-Landbrug!D$52),1)</f>
        <v>5.8903199373448248E-3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drivhus",Landbrug!E$52,1-Landbrug!E$52),1)</f>
        <v>7.6355999187803277E-3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drivhus",Landbrug!C$52,1-Landbrug!C$52),1)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drivhus",Landbrug!D$52,1-Landbrug!D$52),1)</f>
        <v>20777.664759322804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drivhus",Landbrug!E$52,1-Landbrug!E$52),1)</f>
        <v>18855.834056843927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drivhus",Landbrug!C$52,1-Landbrug!C$52),1)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drivhus",Landbrug!D$52,1-Landbrug!D$52),1)</f>
        <v>-319611.42458040983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drivhus",Landbrug!E$52,1-Landbrug!E$52),1)</f>
        <v>-290048.95662567788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drivhus",Landbrug!C$52,1-Landbrug!C$52),1)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drivhus",Landbrug!D$52,1-Landbrug!D$52),1)</f>
        <v>4487.559836297969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drivhus",Landbrug!E$52,1-Landbrug!E$52),1)</f>
        <v>4072.4828595294975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drivhus",Landbrug!C$52,1-Landbrug!C$52),1)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drivhus",Landbrug!D$52,1-Landbrug!D$52),1)</f>
        <v>184.58014456985373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drivhus",Landbrug!E$52,1-Landbrug!E$52),1)</f>
        <v>4.471997321440371E-3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drivhus",Landbrug!C$52,1-Landbrug!C$52),1)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drivhus",Landbrug!D$52,1-Landbrug!D$52),1)</f>
        <v>-2366.0792987158147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drivhus",Landbrug!E$52,1-Landbrug!E$52),1)</f>
        <v>-5.7325235662973768E-2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drivhus",Landbrug!C$52,1-Landbrug!C$52),1)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drivhus",Landbrug!D$52,1-Landbrug!D$52),1)</f>
        <v>180.18867380101679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drivhus",Landbrug!E$52,1-Landbrug!E$52),1)</f>
        <v>4.3656010155907442E-3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drivhus",Landbrug!C$52,1-Landbrug!C$52),1)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drivhus",Landbrug!D$52,1-Landbrug!D$52),1)</f>
        <v>4.3768517362668654E-3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drivhus",Landbrug!E$52,1-Landbrug!E$52),1)</f>
        <v>4.1744539681157974E-3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drivhus",Landbrug!C$52,1-Landbrug!C$52),1)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drivhus",Landbrug!D$52,1-Landbrug!D$52),1)</f>
        <v>-4.8090507448038805E-2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drivhus",Landbrug!E$52,1-Landbrug!E$52),1)</f>
        <v>-4.5866668953331809E-2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drivhus",Landbrug!C$52,1-Landbrug!C$52),1)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drivhus",Landbrug!D$52,1-Landbrug!D$52),1)</f>
        <v>9.7904353232948962E-3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drivhus",Landbrug!E$52,1-Landbrug!E$52),1)</f>
        <v>9.3376984297321268E-3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drivhus",Landbrug!C$52,1-Landbrug!C$52),1)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drivhus",Landbrug!D$52,1-Landbrug!D$52),1)</f>
        <v>1848.371448820682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drivhus",Landbrug!E$52,1-Landbrug!E$52),1)</f>
        <v>2279.8417541456747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drivhus",Landbrug!C$52,1-Landbrug!C$52),1)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drivhus",Landbrug!D$52,1-Landbrug!D$52),1)</f>
        <v>-28432.4845334827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drivhus",Landbrug!E$52,1-Landbrug!E$52),1)</f>
        <v>-35069.555664741049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drivhus",Landbrug!C$52,1-Landbrug!C$52),1)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drivhus",Landbrug!D$52,1-Landbrug!D$52),1)</f>
        <v>700.37061028927849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drivhus",Landbrug!E$52,1-Landbrug!E$52),1)</f>
        <v>863.86000050625705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drivhus",Landbrug!C$52,1-Landbrug!C$52),1)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drivhus",Landbrug!D$52,1-Landbrug!D$52),1)</f>
        <v>16.420164305954042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drivhus",Landbrug!E$52,1-Landbrug!E$52),1)</f>
        <v>5.4070513068324466E-4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drivhus",Landbrug!C$52,1-Landbrug!C$52),1)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drivhus",Landbrug!D$52,1-Landbrug!D$52),1)</f>
        <v>-210.48532027304273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drivhus",Landbrug!E$52,1-Landbrug!E$52),1)</f>
        <v>-6.9311421301595537E-3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drivhus",Landbrug!C$52,1-Landbrug!C$52),1)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drivhus",Landbrug!D$52,1-Landbrug!D$52),1)</f>
        <v>28.12193174929164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drivhus",Landbrug!E$52,1-Landbrug!E$52),1)</f>
        <v>9.2603657906470296E-4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drivhus",Landbrug!C$52,1-Landbrug!C$52),1)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drivhus",Landbrug!D$52,1-Landbrug!D$52),1)</f>
        <v>3.8936270648061883E-4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drivhus",Landbrug!E$52,1-Landbrug!E$52),1)</f>
        <v>5.04729434326728E-4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drivhus",Landbrug!C$52,1-Landbrug!C$52),1)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drivhus",Landbrug!D$52,1-Landbrug!D$52),1)</f>
        <v>-4.2781093041925847E-3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drivhus",Landbrug!E$52,1-Landbrug!E$52),1)</f>
        <v>-5.5456972461755717E-3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drivhus",Landbrug!C$52,1-Landbrug!C$52),1)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drivhus",Landbrug!D$52,1-Landbrug!D$52),1)</f>
        <v>1.5279870157743479E-3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drivhus",Landbrug!E$52,1-Landbrug!E$52),1)</f>
        <v>1.9807239093371175E-3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drivhus",Landbrug!C$52,1-Landbrug!C$52),1)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drivhus",Landbrug!D$52,1-Landbrug!D$52),1)</f>
        <v>364599.60270954989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drivhus",Landbrug!E$52,1-Landbrug!E$52),1)</f>
        <v>330875.95191840816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drivhus",Landbrug!C$52,1-Landbrug!C$52),1)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drivhus",Landbrug!D$52,1-Landbrug!D$52),1)</f>
        <v>-1621837.7348499966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drivhus",Landbrug!E$52,1-Landbrug!E$52),1)</f>
        <v>-1471825.8066868477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drivhus",Landbrug!C$52,1-Landbrug!C$52),1)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drivhus",Landbrug!D$52,1-Landbrug!D$52),1)</f>
        <v>25953.524851874357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drivhus",Landbrug!E$52,1-Landbrug!E$52),1)</f>
        <v>23552.952820529947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drivhus",Landbrug!C$52,1-Landbrug!C$52),1)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drivhus",Landbrug!D$52,1-Landbrug!D$52),1)</f>
        <v>4625.5368549862578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drivhus",Landbrug!E$52,1-Landbrug!E$52),1)</f>
        <v>0.11206724576973086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drivhus",Landbrug!C$52,1-Landbrug!C$52),1)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drivhus",Landbrug!D$52,1-Landbrug!D$52),1)</f>
        <v>-15084.780150869181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drivhus",Landbrug!E$52,1-Landbrug!E$52),1)</f>
        <v>-0.36547320182466403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drivhus",Landbrug!C$52,1-Landbrug!C$52),1)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drivhus",Landbrug!D$52,1-Landbrug!D$52),1)</f>
        <v>1929.8495501872892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drivhus",Landbrug!E$52,1-Landbrug!E$52),1)</f>
        <v>4.6756285944690848E-2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drivhus",Landbrug!C$52,1-Landbrug!C$52),1)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drivhus",Landbrug!D$52,1-Landbrug!D$52),1)</f>
        <v>0.10968291883231901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drivhus",Landbrug!E$52,1-Landbrug!E$52),1)</f>
        <v>0.10461087634296322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drivhus",Landbrug!C$52,1-Landbrug!C$52),1)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drivhus",Landbrug!D$52,1-Landbrug!D$52),1)</f>
        <v>-0.26469610963743945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drivhus",Landbrug!E$52,1-Landbrug!E$52),1)</f>
        <v>-0.25245582711085268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drivhus",Landbrug!C$52,1-Landbrug!C$52),1)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drivhus",Landbrug!D$52,1-Landbrug!D$52),1)</f>
        <v>0.10044559859893289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drivhus",Landbrug!E$52,1-Landbrug!E$52),1)</f>
        <v>9.5800715426727898E-2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drivhus",Landbrug!C$52,1-Landbrug!C$52),1)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drivhus",Landbrug!D$52,1-Landbrug!D$52),1)</f>
        <v>32434.612056069203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drivhus",Landbrug!E$52,1-Landbrug!E$52),1)</f>
        <v>40005.910550134795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drivhus",Landbrug!C$52,1-Landbrug!C$52),1)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drivhus",Landbrug!D$52,1-Landbrug!D$52),1)</f>
        <v>-144277.9349094881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drivhus",Landbrug!E$52,1-Landbrug!E$52),1)</f>
        <v>-177957.12026304609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drivhus",Landbrug!C$52,1-Landbrug!C$52),1)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drivhus",Landbrug!D$52,1-Landbrug!D$52),1)</f>
        <v>4050.5501213907955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drivhus",Landbrug!E$52,1-Landbrug!E$52),1)</f>
        <v>4996.0809013245334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drivhus",Landbrug!C$52,1-Landbrug!C$52),1)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drivhus",Landbrug!D$52,1-Landbrug!D$52),1)</f>
        <v>411.48561964299711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drivhus",Landbrug!E$52,1-Landbrug!E$52),1)</f>
        <v>1.3549948806703823E-2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drivhus",Landbrug!C$52,1-Landbrug!C$52),1)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drivhus",Landbrug!D$52,1-Landbrug!D$52),1)</f>
        <v>-1341.9350666004434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drivhus",Landbrug!E$52,1-Landbrug!E$52),1)</f>
        <v>-4.4189032584254835E-2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drivhus",Landbrug!C$52,1-Landbrug!C$52),1)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drivhus",Landbrug!D$52,1-Landbrug!D$52),1)</f>
        <v>301.19039222576191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drivhus",Landbrug!E$52,1-Landbrug!E$52),1)</f>
        <v>9.9180000488738179E-3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drivhus",Landbrug!C$52,1-Landbrug!C$52),1)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drivhus",Landbrug!D$52,1-Landbrug!D$52),1)</f>
        <v>9.757341738898204E-3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drivhus",Landbrug!E$52,1-Landbrug!E$52),1)</f>
        <v>1.2648405957831005E-2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drivhus",Landbrug!C$52,1-Landbrug!C$52),1)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drivhus",Landbrug!D$52,1-Landbrug!D$52),1)</f>
        <v>-2.3547243510521346E-2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drivhus",Landbrug!E$52,1-Landbrug!E$52),1)</f>
        <v>-3.052420455067582E-2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drivhus",Landbrug!C$52,1-Landbrug!C$52),1)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drivhus",Landbrug!D$52,1-Landbrug!D$52),1)</f>
        <v>1.5676480706191841E-2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drivhus",Landbrug!E$52,1-Landbrug!E$52),1)</f>
        <v>2.0321363878396826E-2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drivhus",Landbrug!C$52,1-Landbrug!C$52),1)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drivhus",Landbrug!D$52,1-Landbrug!D$52),1)</f>
        <v>1089297.8309039555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drivhus",Landbrug!E$52,1-Landbrug!E$52),1)</f>
        <v>988543.1965490263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drivhus",Landbrug!C$52,1-Landbrug!C$52),1)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drivhus",Landbrug!D$52,1-Landbrug!D$52),1)</f>
        <v>-3652701.9952046843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drivhus",Landbrug!E$52,1-Landbrug!E$52),1)</f>
        <v>-3314845.2185791759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drivhus",Landbrug!C$52,1-Landbrug!C$52),1)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drivhus",Landbrug!D$52,1-Landbrug!D$52),1)</f>
        <v>51907.049703748715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drivhus",Landbrug!E$52,1-Landbrug!E$52),1)</f>
        <v>47105.905641059893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drivhus",Landbrug!C$52,1-Landbrug!C$52),1)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drivhus",Landbrug!D$52,1-Landbrug!D$52),1)</f>
        <v>4485.8356059695452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drivhus",Landbrug!E$52,1-Landbrug!E$52),1)</f>
        <v>0.10868257179593749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drivhus",Landbrug!C$52,1-Landbrug!C$52),1)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drivhus",Landbrug!D$52,1-Landbrug!D$52),1)</f>
        <v>-10184.813491099476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drivhus",Landbrug!E$52,1-Landbrug!E$52),1)</f>
        <v>-0.24675708623865392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drivhus",Landbrug!C$52,1-Landbrug!C$52),1)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drivhus",Landbrug!D$52,1-Landbrug!D$52),1)</f>
        <v>1252.8648041500417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drivhus",Landbrug!E$52,1-Landbrug!E$52),1)</f>
        <v>3.0354337739536965E-2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drivhus",Landbrug!C$52,1-Landbrug!C$52),1)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drivhus",Landbrug!D$52,1-Landbrug!D$52),1)</f>
        <v>6.3234505293070509E-2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drivhus",Landbrug!E$52,1-Landbrug!E$52),1)</f>
        <v>6.0310366319980546E-2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drivhus",Landbrug!C$52,1-Landbrug!C$52),1)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drivhus",Landbrug!D$52,1-Landbrug!D$52),1)</f>
        <v>-9.4661571483107609E-2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drivhus",Landbrug!E$52,1-Landbrug!E$52),1)</f>
        <v>-9.0284157772906118E-2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drivhus",Landbrug!C$52,1-Landbrug!C$52),1)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drivhus",Landbrug!D$52,1-Landbrug!D$52),1)</f>
        <v>3.8765517437220995E-2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drivhus",Landbrug!E$52,1-Landbrug!E$52),1)</f>
        <v>3.6972892353418871E-2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drivhus",Landbrug!C$52,1-Landbrug!C$52),1)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drivhus",Landbrug!D$52,1-Landbrug!D$52),1)</f>
        <v>141104.99647721177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drivhus",Landbrug!E$52,1-Landbrug!E$52),1)</f>
        <v>174043.51430151035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drivhus",Landbrug!C$52,1-Landbrug!C$52),1)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drivhus",Landbrug!D$52,1-Landbrug!D$52),1)</f>
        <v>-473162.14862738125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drivhus",Landbrug!E$52,1-Landbrug!E$52),1)</f>
        <v>-583613.65818015172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drivhus",Landbrug!C$52,1-Landbrug!C$52),1)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drivhus",Landbrug!D$52,1-Landbrug!D$52),1)</f>
        <v>8101.1002427815911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drivhus",Landbrug!E$52,1-Landbrug!E$52),1)</f>
        <v>9992.1618026490669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drivhus",Landbrug!C$52,1-Landbrug!C$52),1)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drivhus",Landbrug!D$52,1-Landbrug!D$52),1)</f>
        <v>581.08425392934976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drivhus",Landbrug!E$52,1-Landbrug!E$52),1)</f>
        <v>1.9134719458618075E-2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drivhus",Landbrug!C$52,1-Landbrug!C$52),1)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drivhus",Landbrug!D$52,1-Landbrug!D$52),1)</f>
        <v>-1319.316013500227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drivhus",Landbrug!E$52,1-Landbrug!E$52),1)</f>
        <v>-4.3444202152926631E-2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drivhus",Landbrug!C$52,1-Landbrug!C$52),1)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drivhus",Landbrug!D$52,1-Landbrug!D$52),1)</f>
        <v>195.53381336445742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drivhus",Landbrug!E$52,1-Landbrug!E$52),1)</f>
        <v>6.4387989144472331E-3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drivhus",Landbrug!C$52,1-Landbrug!C$52),1)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drivhus",Landbrug!D$52,1-Landbrug!D$52),1)</f>
        <v>8.1912442983682662E-3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drivhus",Landbrug!E$52,1-Landbrug!E$52),1)</f>
        <v>1.0618279646032937E-2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drivhus",Landbrug!C$52,1-Landbrug!C$52),1)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drivhus",Landbrug!D$52,1-Landbrug!D$52),1)</f>
        <v>-1.2262230155701976E-2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drivhus",Landbrug!E$52,1-Landbrug!E$52),1)</f>
        <v>-1.5895483535169227E-2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drivhus",Landbrug!C$52,1-Landbrug!C$52),1)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drivhus",Landbrug!D$52,1-Landbrug!D$52),1)</f>
        <v>6.050109657832179E-3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drivhus",Landbrug!E$52,1-Landbrug!E$52),1)</f>
        <v>7.8427347416343048E-3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drivhus",Landbrug!C$52,1-Landbrug!C$52),1)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drivhus",Landbrug!D$52,1-Landbrug!D$52),1)</f>
        <v>215363.30963726819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drivhus",Landbrug!E$52,1-Landbrug!E$52),1)</f>
        <v>195443.27408742826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drivhus",Landbrug!C$52,1-Landbrug!C$52),1)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drivhus",Landbrug!D$52,1-Landbrug!D$52),1)</f>
        <v>106677.1617699528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drivhus",Landbrug!E$52,1-Landbrug!E$52),1)</f>
        <v>96810.054608604827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drivhus",Landbrug!C$52,1-Landbrug!C$52),1)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drivhus",Landbrug!D$52,1-Landbrug!D$52),1)</f>
        <v>-7990285.6145102466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drivhus",Landbrug!E$52,1-Landbrug!E$52),1)</f>
        <v>-7251223.9156419476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drivhus",Landbrug!C$52,1-Landbrug!C$52),1)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drivhus",Landbrug!D$52,1-Landbrug!D$52),1)</f>
        <v>103814.09940749743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drivhus",Landbrug!E$52,1-Landbrug!E$52),1)</f>
        <v>94211.811282119786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drivhus",Landbrug!C$52,1-Landbrug!C$52),1)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drivhus",Landbrug!D$52,1-Landbrug!D$52),1)</f>
        <v>1572.4904051581343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drivhus",Landbrug!E$52,1-Landbrug!E$52),1)</f>
        <v>3.8098208755040587E-2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drivhus",Landbrug!C$52,1-Landbrug!C$52),1)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drivhus",Landbrug!D$52,1-Landbrug!D$52),1)</f>
        <v>778.91082568933678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drivhus",Landbrug!E$52,1-Landbrug!E$52),1)</f>
        <v>1.8871407508327002E-2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drivhus",Landbrug!C$52,1-Landbrug!C$52),1)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drivhus",Landbrug!D$52,1-Landbrug!D$52),1)</f>
        <v>-40283.50943222973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drivhus",Landbrug!E$52,1-Landbrug!E$52),1)</f>
        <v>-0.97598659216009509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drivhus",Landbrug!C$52,1-Landbrug!C$52),1)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drivhus",Landbrug!D$52,1-Landbrug!D$52),1)</f>
        <v>4442.7694544133492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drivhus",Landbrug!E$52,1-Landbrug!E$52),1)</f>
        <v>0.10763916750750291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drivhus",Landbrug!C$52,1-Landbrug!C$52),1)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drivhus",Landbrug!D$52,1-Landbrug!D$52),1)</f>
        <v>2.680722693241289E-2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drivhus",Landbrug!E$52,1-Landbrug!E$52),1)</f>
        <v>2.556758638062501E-2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drivhus",Landbrug!C$52,1-Landbrug!C$52),1)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drivhus",Landbrug!D$52,1-Landbrug!D$52),1)</f>
        <v>1.3278579758499292E-2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drivhus",Landbrug!E$52,1-Landbrug!E$52),1)</f>
        <v>1.2664541388164065E-2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drivhus",Landbrug!C$52,1-Landbrug!C$52),1)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drivhus",Landbrug!D$52,1-Landbrug!D$52),1)</f>
        <v>-0.46684663591955233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drivhus",Landbrug!E$52,1-Landbrug!E$52),1)</f>
        <v>-0.44525835217760767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drivhus",Landbrug!C$52,1-Landbrug!C$52),1)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drivhus",Landbrug!D$52,1-Landbrug!D$52),1)</f>
        <v>0.1662448760927501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drivhus",Landbrug!E$52,1-Landbrug!E$52),1)</f>
        <v>0.15855725176476165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drivhus",Landbrug!C$52,1-Landbrug!C$52),1)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drivhus",Landbrug!D$52,1-Landbrug!D$52),1)</f>
        <v>18486.388139384006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drivhus",Landbrug!E$52,1-Landbrug!E$52),1)</f>
        <v>22801.715310199961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drivhus",Landbrug!C$52,1-Landbrug!C$52),1)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drivhus",Landbrug!D$52,1-Landbrug!D$52),1)</f>
        <v>9156.9702444150225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drivhus",Landbrug!E$52,1-Landbrug!E$52),1)</f>
        <v>11294.506371003894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drivhus",Landbrug!C$52,1-Landbrug!C$52),1)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drivhus",Landbrug!D$52,1-Landbrug!D$52),1)</f>
        <v>-685871.33743050392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drivhus",Landbrug!E$52,1-Landbrug!E$52),1)</f>
        <v>-845976.12349156057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drivhus",Landbrug!C$52,1-Landbrug!C$52),1)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drivhus",Landbrug!D$52,1-Landbrug!D$52),1)</f>
        <v>16202.200485563182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drivhus",Landbrug!E$52,1-Landbrug!E$52),1)</f>
        <v>19984.323605298134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drivhus",Landbrug!C$52,1-Landbrug!C$52),1)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drivhus",Landbrug!D$52,1-Landbrug!D$52),1)</f>
        <v>134.97966772600174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drivhus",Landbrug!E$52,1-Landbrug!E$52),1)</f>
        <v>4.444791021421402E-3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drivhus",Landbrug!C$52,1-Landbrug!C$52),1)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drivhus",Landbrug!D$52,1-Landbrug!D$52),1)</f>
        <v>66.8602645172639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drivhus",Landbrug!E$52,1-Landbrug!E$52),1)</f>
        <v>2.2016642093048168E-3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drivhus",Landbrug!C$52,1-Landbrug!C$52),1)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drivhus",Landbrug!D$52,1-Landbrug!D$52),1)</f>
        <v>-3457.8619368127843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drivhus",Landbrug!E$52,1-Landbrug!E$52),1)</f>
        <v>-0.11386510241867775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drivhus",Landbrug!C$52,1-Landbrug!C$52),1)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drivhus",Landbrug!D$52,1-Landbrug!D$52),1)</f>
        <v>693.3802038679795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drivhus",Landbrug!E$52,1-Landbrug!E$52),1)</f>
        <v>2.2832550683409707E-2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drivhus",Landbrug!C$52,1-Landbrug!C$52),1)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drivhus",Landbrug!D$52,1-Landbrug!D$52),1)</f>
        <v>2.3010827742562514E-3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drivhus",Landbrug!E$52,1-Landbrug!E$52),1)</f>
        <v>2.982885077739585E-3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drivhus",Landbrug!C$52,1-Landbrug!C$52),1)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drivhus",Landbrug!D$52,1-Landbrug!D$52),1)</f>
        <v>1.139808724934766E-3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drivhus",Landbrug!E$52,1-Landbrug!E$52),1)</f>
        <v>1.4775298286191412E-3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drivhus",Landbrug!C$52,1-Landbrug!C$52),1)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drivhus",Landbrug!D$52,1-Landbrug!D$52),1)</f>
        <v>-4.0073251695984698E-2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drivhus",Landbrug!E$52,1-Landbrug!E$52),1)</f>
        <v>-5.194680775405424E-2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drivhus",Landbrug!C$52,1-Landbrug!C$52),1)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drivhus",Landbrug!D$52,1-Landbrug!D$52),1)</f>
        <v>2.5945732106961002E-2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drivhus",Landbrug!E$52,1-Landbrug!E$52),1)</f>
        <v>3.3633356434949448E-2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drivhus",Landbrug!C$52,1-Landbrug!C$52),1)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drivhus",Landbrug!D$52,1-Landbrug!D$52),1)</f>
        <v>282518.93524447014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drivhus",Landbrug!E$52,1-Landbrug!E$52),1)</f>
        <v>256387.33816300097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drivhus",Landbrug!C$52,1-Landbrug!C$52),1)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drivhus",Landbrug!D$52,1-Landbrug!D$52),1)</f>
        <v>43527.845785550046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drivhus",Landbrug!E$52,1-Landbrug!E$52),1)</f>
        <v>39501.736431470621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drivhus",Landbrug!C$52,1-Landbrug!C$52),1)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drivhus",Landbrug!D$52,1-Landbrug!D$52),1)</f>
        <v>-2766600.3677256387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drivhus",Landbrug!E$52,1-Landbrug!E$52),1)</f>
        <v>-2510703.5867460142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drivhus",Landbrug!C$52,1-Landbrug!C$52),1)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drivhus",Landbrug!D$52,1-Landbrug!D$52),1)</f>
        <v>41936.024487873256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drivhus",Landbrug!E$52,1-Landbrug!E$52),1)</f>
        <v>38057.15069073304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drivhus",Landbrug!C$52,1-Landbrug!C$52),1)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drivhus",Landbrug!D$52,1-Landbrug!D$52),1)</f>
        <v>16104.09751040333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drivhus",Landbrug!E$52,1-Landbrug!E$52),1)</f>
        <v>0.39016916526188677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drivhus",Landbrug!C$52,1-Landbrug!C$52),1)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drivhus",Landbrug!D$52,1-Landbrug!D$52),1)</f>
        <v>2481.1670493580377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drivhus",Landbrug!E$52,1-Landbrug!E$52),1)</f>
        <v>6.0113575187801929E-2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drivhus",Landbrug!C$52,1-Landbrug!C$52),1)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drivhus",Landbrug!D$52,1-Landbrug!D$52),1)</f>
        <v>-118275.97163253359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drivhus",Landbrug!E$52,1-Landbrug!E$52),1)</f>
        <v>-2.8655835629778461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drivhus",Landbrug!C$52,1-Landbrug!C$52),1)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drivhus",Landbrug!D$52,1-Landbrug!D$52),1)</f>
        <v>14010.616217517463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drivhus",Landbrug!E$52,1-Landbrug!E$52),1)</f>
        <v>0.33944841869356845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drivhus",Landbrug!C$52,1-Landbrug!C$52),1)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drivhus",Landbrug!D$52,1-Landbrug!D$52),1)</f>
        <v>0.49223301631824173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drivhus",Landbrug!E$52,1-Landbrug!E$52),1)</f>
        <v>0.46947079591046187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drivhus",Landbrug!C$52,1-Landbrug!C$52),1)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drivhus",Landbrug!D$52,1-Landbrug!D$52),1)</f>
        <v>7.5838608149631781E-2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drivhus",Landbrug!E$52,1-Landbrug!E$52),1)</f>
        <v>7.2331620489533205E-2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drivhus",Landbrug!C$52,1-Landbrug!C$52),1)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drivhus",Landbrug!D$52,1-Landbrug!D$52),1)</f>
        <v>-2.754428867420041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drivhus",Landbrug!E$52,1-Landbrug!E$52),1)</f>
        <v>-2.6270564342445479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drivhus",Landbrug!C$52,1-Landbrug!C$52),1)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drivhus",Landbrug!D$52,1-Landbrug!D$52),1)</f>
        <v>0.93998774279637187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drivhus",Landbrug!E$52,1-Landbrug!E$52),1)</f>
        <v>0.8965201015109906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drivhus",Landbrug!C$52,1-Landbrug!C$52),1)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drivhus",Landbrug!D$52,1-Landbrug!D$52),1)</f>
        <v>25132.753834753727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drivhus",Landbrug!E$52,1-Landbrug!E$52),1)</f>
        <v>30999.55997789012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drivhus",Landbrug!C$52,1-Landbrug!C$52),1)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drivhus",Landbrug!D$52,1-Landbrug!D$52),1)</f>
        <v>3872.2170325989314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drivhus",Landbrug!E$52,1-Landbrug!E$52),1)</f>
        <v>4776.1190412596297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drivhus",Landbrug!C$52,1-Landbrug!C$52),1)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drivhus",Landbrug!D$52,1-Landbrug!D$52),1)</f>
        <v>-246115.48936010155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drivhus",Landbrug!E$52,1-Landbrug!E$52),1)</f>
        <v>-303566.88821565441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drivhus",Landbrug!C$52,1-Landbrug!C$52),1)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drivhus",Landbrug!D$52,1-Landbrug!D$52),1)</f>
        <v>6544.9286772981377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drivhus",Landbrug!E$52,1-Landbrug!E$52),1)</f>
        <v>8072.7289343979182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drivhus",Landbrug!C$52,1-Landbrug!C$52),1)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drivhus",Landbrug!D$52,1-Landbrug!D$52),1)</f>
        <v>1432.6130675439724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drivhus",Landbrug!E$52,1-Landbrug!E$52),1)</f>
        <v>4.7174999072573581E-2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drivhus",Landbrug!C$52,1-Landbrug!C$52),1)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drivhus",Landbrug!D$52,1-Landbrug!D$52),1)</f>
        <v>220.72347335040578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drivhus",Landbrug!E$52,1-Landbrug!E$52),1)</f>
        <v>7.2682777272524129E-3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drivhus",Landbrug!C$52,1-Landbrug!C$52),1)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drivhus",Landbrug!D$52,1-Landbrug!D$52),1)</f>
        <v>-10521.775742339258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drivhus",Landbrug!E$52,1-Landbrug!E$52),1)</f>
        <v>-0.34647510352368494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drivhus",Landbrug!C$52,1-Landbrug!C$52),1)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drivhus",Landbrug!D$52,1-Landbrug!D$52),1)</f>
        <v>2186.6279645836503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drivhus",Landbrug!E$52,1-Landbrug!E$52),1)</f>
        <v>7.2004210025908441E-2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drivhus",Landbrug!C$52,1-Landbrug!C$52),1)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drivhus",Landbrug!D$52,1-Landbrug!D$52),1)</f>
        <v>4.378882150946671E-2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drivhus",Landbrug!E$52,1-Landbrug!E$52),1)</f>
        <v>5.6763287141901292E-2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drivhus",Landbrug!C$52,1-Landbrug!C$52),1)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drivhus",Landbrug!D$52,1-Landbrug!D$52),1)</f>
        <v>6.746567511114643E-3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drivhus",Landbrug!E$52,1-Landbrug!E$52),1)</f>
        <v>8.7455504773708333E-3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drivhus",Landbrug!C$52,1-Landbrug!C$52),1)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drivhus",Landbrug!D$52,1-Landbrug!D$52),1)</f>
        <v>-0.24503271832135506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drivhus",Landbrug!E$52,1-Landbrug!E$52),1)</f>
        <v>-0.31763500523138621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drivhus",Landbrug!C$52,1-Landbrug!C$52),1)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drivhus",Landbrug!D$52,1-Landbrug!D$52),1)</f>
        <v>0.1467032893381621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drivhus",Landbrug!E$52,1-Landbrug!E$52),1)</f>
        <v>0.19017093062354345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drivhus",Landbrug!C$52,1-Landbrug!C$52),1)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drivhus",Landbrug!D$52,1-Landbrug!D$52),1)</f>
        <v>244731.03367871384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drivhus",Landbrug!E$52,1-Landbrug!E$52),1)</f>
        <v>222094.62964480481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drivhus",Landbrug!C$52,1-Landbrug!C$52),1)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drivhus",Landbrug!D$52,1-Landbrug!D$52),1)</f>
        <v>-502246.52434064401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drivhus",Landbrug!E$52,1-Landbrug!E$52),1)</f>
        <v>-455791.21755463665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drivhus",Landbrug!C$52,1-Landbrug!C$52),1)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drivhus",Landbrug!D$52,1-Landbrug!D$52),1)</f>
        <v>8975.119672595938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drivhus",Landbrug!E$52,1-Landbrug!E$52),1)</f>
        <v>8144.9657190589951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drivhus",Landbrug!C$52,1-Landbrug!C$52),1)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drivhus",Landbrug!D$52,1-Landbrug!D$52),1)</f>
        <v>1703.3924391194751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drivhus",Landbrug!E$52,1-Landbrug!E$52),1)</f>
        <v>4.1269695843266757E-2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drivhus",Landbrug!C$52,1-Landbrug!C$52),1)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drivhus",Landbrug!D$52,1-Landbrug!D$52),1)</f>
        <v>-2648.3091404220695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drivhus",Landbrug!E$52,1-Landbrug!E$52),1)</f>
        <v>-6.416308433343712E-2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drivhus",Landbrug!C$52,1-Landbrug!C$52),1)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drivhus",Landbrug!D$52,1-Landbrug!D$52),1)</f>
        <v>282.35462645798242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drivhus",Landbrug!E$52,1-Landbrug!E$52),1)</f>
        <v>6.840871948383012E-3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drivhus",Landbrug!C$52,1-Landbrug!C$52),1)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drivhus",Landbrug!D$52,1-Landbrug!D$52),1)</f>
        <v>4.0391647606941902E-2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drivhus",Landbrug!E$52,1-Landbrug!E$52),1)</f>
        <v>3.8523825752285634E-2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drivhus",Landbrug!C$52,1-Landbrug!C$52),1)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drivhus",Landbrug!D$52,1-Landbrug!D$52),1)</f>
        <v>-4.8444140253528403E-2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drivhus",Landbrug!E$52,1-Landbrug!E$52),1)</f>
        <v>-4.6203948796717839E-2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drivhus",Landbrug!C$52,1-Landbrug!C$52),1)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drivhus",Landbrug!D$52,1-Landbrug!D$52),1)</f>
        <v>1.5341556437796293E-2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drivhus",Landbrug!E$52,1-Landbrug!E$52),1)</f>
        <v>1.4632120301944442E-2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drivhus",Landbrug!C$52,1-Landbrug!C$52),1)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drivhus",Landbrug!D$52,1-Landbrug!D$52),1)</f>
        <v>21771.159585638183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drivhus",Landbrug!E$52,1-Landbrug!E$52),1)</f>
        <v>26853.259766144576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drivhus",Landbrug!C$52,1-Landbrug!C$52),1)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drivhus",Landbrug!D$52,1-Landbrug!D$52),1)</f>
        <v>-44679.61855261567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drivhus",Landbrug!E$52,1-Landbrug!E$52),1)</f>
        <v>-55109.301758878792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drivhus",Landbrug!C$52,1-Landbrug!C$52),1)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drivhus",Landbrug!D$52,1-Landbrug!D$52),1)</f>
        <v>1400.741220578557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drivhus",Landbrug!E$52,1-Landbrug!E$52),1)</f>
        <v>1727.7200010125141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drivhus",Landbrug!C$52,1-Landbrug!C$52),1)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drivhus",Landbrug!D$52,1-Landbrug!D$52),1)</f>
        <v>151.53300368814288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drivhus",Landbrug!E$52,1-Landbrug!E$52),1)</f>
        <v>4.9898814065040716E-3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drivhus",Landbrug!C$52,1-Landbrug!C$52),1)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drivhus",Landbrug!D$52,1-Landbrug!D$52),1)</f>
        <v>-235.59235648032163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drivhus",Landbrug!E$52,1-Landbrug!E$52),1)</f>
        <v>-7.7579001966792144E-3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drivhus",Landbrug!C$52,1-Landbrug!C$52),1)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drivhus",Landbrug!D$52,1-Landbrug!D$52),1)</f>
        <v>44.0669070194539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drivhus",Landbrug!E$52,1-Landbrug!E$52),1)</f>
        <v>1.4510940496570027E-3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drivhus",Landbrug!C$52,1-Landbrug!C$52),1)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drivhus",Landbrug!D$52,1-Landbrug!D$52),1)</f>
        <v>3.5932222928950048E-3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drivhus",Landbrug!E$52,1-Landbrug!E$52),1)</f>
        <v>4.6578807500490807E-3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drivhus",Landbrug!C$52,1-Landbrug!C$52),1)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drivhus",Landbrug!D$52,1-Landbrug!D$52),1)</f>
        <v>-4.3095683150393181E-3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drivhus",Landbrug!E$52,1-Landbrug!E$52),1)</f>
        <v>-5.5864774454213381E-3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drivhus",Landbrug!C$52,1-Landbrug!C$52),1)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drivhus",Landbrug!D$52,1-Landbrug!D$52),1)</f>
        <v>2.3943469584999997E-3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drivhus",Landbrug!E$52,1-Landbrug!E$52),1)</f>
        <v>3.1037830943518511E-3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drivhus",Landbrug!C$52,1-Landbrug!C$52),1)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drivhus",Landbrug!D$52,1-Landbrug!D$52),1)</f>
        <v>59690.496019198494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drivhus",Landbrug!E$52,1-Landbrug!E$52),1)</f>
        <v>54169.421864586533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drivhus",Landbrug!C$52,1-Landbrug!C$52),1)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drivhus",Landbrug!D$52,1-Landbrug!D$52),1)</f>
        <v>-273952.6496403513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drivhus",Landbrug!E$52,1-Landbrug!E$52),1)</f>
        <v>-248613.39139343819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drivhus",Landbrug!C$52,1-Landbrug!C$52),1)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drivhus",Landbrug!D$52,1-Landbrug!D$52),1)</f>
        <v>4487.559836297969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drivhus",Landbrug!E$52,1-Landbrug!E$52),1)</f>
        <v>4072.4828595294975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drivhus",Landbrug!C$52,1-Landbrug!C$52),1)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drivhus",Landbrug!D$52,1-Landbrug!D$52),1)</f>
        <v>1763.5292466758597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drivhus",Landbrug!E$52,1-Landbrug!E$52),1)</f>
        <v>4.2726687021482843E-2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drivhus",Landbrug!C$52,1-Landbrug!C$52),1)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drivhus",Landbrug!D$52,1-Landbrug!D$52),1)</f>
        <v>-6744.8413352341649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drivhus",Landbrug!E$52,1-Landbrug!E$52),1)</f>
        <v>-0.16341363506350715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drivhus",Landbrug!C$52,1-Landbrug!C$52),1)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drivhus",Landbrug!D$52,1-Landbrug!D$52),1)</f>
        <v>599.26197394541009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drivhus",Landbrug!E$52,1-Landbrug!E$52),1)</f>
        <v>1.4518885271057656E-2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drivhus",Landbrug!C$52,1-Landbrug!C$52),1)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drivhus",Landbrug!D$52,1-Landbrug!D$52),1)</f>
        <v>6.0103151002541863E-2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drivhus",Landbrug!E$52,1-Landbrug!E$52),1)</f>
        <v>5.7323814539996569E-2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drivhus",Landbrug!C$52,1-Landbrug!C$52),1)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drivhus",Landbrug!D$52,1-Landbrug!D$52),1)</f>
        <v>-0.19703325088786378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drivhus",Landbrug!E$52,1-Landbrug!E$52),1)</f>
        <v>-0.1879218866849568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drivhus",Landbrug!C$52,1-Landbrug!C$52),1)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drivhus",Landbrug!D$52,1-Landbrug!D$52),1)</f>
        <v>4.679817914198315E-2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drivhus",Landbrug!E$52,1-Landbrug!E$52),1)</f>
        <v>4.4634101493798962E-2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drivhus",Landbrug!C$52,1-Landbrug!C$52),1)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drivhus",Landbrug!D$52,1-Landbrug!D$52),1)</f>
        <v>5310.0389233263859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drivhus",Landbrug!E$52,1-Landbrug!E$52),1)</f>
        <v>6549.5755527181882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drivhus",Landbrug!C$52,1-Landbrug!C$52),1)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drivhus",Landbrug!D$52,1-Landbrug!D$52),1)</f>
        <v>-24370.701028699455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drivhus",Landbrug!E$52,1-Landbrug!E$52),1)</f>
        <v>-30059.619141206611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drivhus",Landbrug!C$52,1-Landbrug!C$52),1)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drivhus",Landbrug!D$52,1-Landbrug!D$52),1)</f>
        <v>700.37061028927849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drivhus",Landbrug!E$52,1-Landbrug!E$52),1)</f>
        <v>863.86000050625705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drivhus",Landbrug!C$52,1-Landbrug!C$52),1)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drivhus",Landbrug!D$52,1-Landbrug!D$52),1)</f>
        <v>156.88274627943051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drivhus",Landbrug!E$52,1-Landbrug!E$52),1)</f>
        <v>5.166044885324743E-3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drivhus",Landbrug!C$52,1-Landbrug!C$52),1)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drivhus",Landbrug!D$52,1-Landbrug!D$52),1)</f>
        <v>-600.01796618065771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drivhus",Landbrug!E$52,1-Landbrug!E$52),1)</f>
        <v>-1.9758194057678587E-2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drivhus",Landbrug!C$52,1-Landbrug!C$52),1)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drivhus",Landbrug!D$52,1-Landbrug!D$52),1)</f>
        <v>93.526435240035099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drivhus",Landbrug!E$52,1-Landbrug!E$52),1)</f>
        <v>3.0797635423455635E-3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drivhus",Landbrug!C$52,1-Landbrug!C$52),1)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drivhus",Landbrug!D$52,1-Landbrug!D$52),1)</f>
        <v>5.3467485198214985E-3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drivhus",Landbrug!E$52,1-Landbrug!E$52),1)</f>
        <v>6.9309703034723122E-3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drivhus",Landbrug!C$52,1-Landbrug!C$52),1)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drivhus",Landbrug!D$52,1-Landbrug!D$52),1)</f>
        <v>-1.7527986885342333E-2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drivhus",Landbrug!E$52,1-Landbrug!E$52),1)</f>
        <v>-2.272146448099932E-2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drivhus",Landbrug!C$52,1-Landbrug!C$52),1)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drivhus",Landbrug!D$52,1-Landbrug!D$52),1)</f>
        <v>7.3037620626216484E-3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drivhus",Landbrug!E$52,1-Landbrug!E$52),1)</f>
        <v>9.46783971080584E-3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drivhus",Landbrug!C$52,1-Landbrug!C$52),1)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drivhus",Landbrug!D$52,1-Landbrug!D$52),1)</f>
        <v>877458.64815166069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drivhus",Landbrug!E$52,1-Landbrug!E$52),1)</f>
        <v>796298.08512848313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drivhus",Landbrug!C$52,1-Landbrug!C$52),1)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drivhus",Landbrug!D$52,1-Landbrug!D$52),1)</f>
        <v>-2967820.371103806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drivhus",Landbrug!E$52,1-Landbrug!E$52),1)</f>
        <v>-2693311.7400955805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drivhus",Landbrug!C$52,1-Landbrug!C$52),1)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drivhus",Landbrug!D$52,1-Landbrug!D$52),1)</f>
        <v>116676.55574374722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drivhus",Landbrug!E$52,1-Landbrug!E$52),1)</f>
        <v>105884.55434776694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drivhus",Landbrug!C$52,1-Landbrug!C$52),1)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drivhus",Landbrug!D$52,1-Landbrug!D$52),1)</f>
        <v>28896.884625625411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drivhus",Landbrug!E$52,1-Landbrug!E$52),1)</f>
        <v>0.70011208922237467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drivhus",Landbrug!C$52,1-Landbrug!C$52),1)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drivhus",Landbrug!D$52,1-Landbrug!D$52),1)</f>
        <v>-81448.057442193851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drivhus",Landbrug!E$52,1-Landbrug!E$52),1)</f>
        <v>-1.9733189372390409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drivhus",Landbrug!C$52,1-Landbrug!C$52),1)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drivhus",Landbrug!D$52,1-Landbrug!D$52),1)</f>
        <v>17367.485905481411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drivhus",Landbrug!E$52,1-Landbrug!E$52),1)</f>
        <v>0.42077846796827756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drivhus",Landbrug!C$52,1-Landbrug!C$52),1)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drivhus",Landbrug!D$52,1-Landbrug!D$52),1)</f>
        <v>1.1817599775865641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drivhus",Landbrug!E$52,1-Landbrug!E$52),1)</f>
        <v>1.1271121173513474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drivhus",Landbrug!C$52,1-Landbrug!C$52),1)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drivhus",Landbrug!D$52,1-Landbrug!D$52),1)</f>
        <v>-2.855039984443791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drivhus",Landbrug!E$52,1-Landbrug!E$52),1)</f>
        <v>-2.7230150140648877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drivhus",Landbrug!C$52,1-Landbrug!C$52),1)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drivhus",Landbrug!D$52,1-Landbrug!D$52),1)</f>
        <v>1.6274695408713478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drivhus",Landbrug!E$52,1-Landbrug!E$52),1)</f>
        <v>1.5522108337790312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drivhus",Landbrug!C$52,1-Landbrug!C$52),1)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drivhus",Landbrug!D$52,1-Landbrug!D$52),1)</f>
        <v>136944.4132953459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drivhus",Landbrug!E$52,1-Landbrug!E$52),1)</f>
        <v>168911.71502725402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drivhus",Landbrug!C$52,1-Landbrug!C$52),1)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drivhus",Landbrug!D$52,1-Landbrug!D$52),1)</f>
        <v>-463185.8382647559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drivhus",Landbrug!E$52,1-Landbrug!E$52),1)</f>
        <v>-571308.55092936556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drivhus",Landbrug!C$52,1-Landbrug!C$52),1)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drivhus",Landbrug!D$52,1-Landbrug!D$52),1)</f>
        <v>18209.635867521243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drivhus",Landbrug!E$52,1-Landbrug!E$52),1)</f>
        <v>22460.360013162684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drivhus",Landbrug!C$52,1-Landbrug!C$52),1)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drivhus",Landbrug!D$52,1-Landbrug!D$52),1)</f>
        <v>4509.9184097796888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drivhus",Landbrug!E$52,1-Landbrug!E$52),1)</f>
        <v>0.14850862498656431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drivhus",Landbrug!C$52,1-Landbrug!C$52),1)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drivhus",Landbrug!D$52,1-Landbrug!D$52),1)</f>
        <v>-12711.546537221007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drivhus",Landbrug!E$52,1-Landbrug!E$52),1)</f>
        <v>-0.41858280486888738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drivhus",Landbrug!C$52,1-Landbrug!C$52),1)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drivhus",Landbrug!D$52,1-Landbrug!D$52),1)</f>
        <v>2710.5324823583705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drivhus",Landbrug!E$52,1-Landbrug!E$52),1)</f>
        <v>8.9256038659937656E-2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drivhus",Landbrug!C$52,1-Landbrug!C$52),1)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drivhus",Landbrug!D$52,1-Landbrug!D$52),1)</f>
        <v>0.18443652829385687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drivhus",Landbrug!E$52,1-Landbrug!E$52),1)</f>
        <v>0.23908438852907368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drivhus",Landbrug!C$52,1-Landbrug!C$52),1)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drivhus",Landbrug!D$52,1-Landbrug!D$52),1)</f>
        <v>-0.44558427502879983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drivhus",Landbrug!E$52,1-Landbrug!E$52),1)</f>
        <v>-0.57760924540770342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drivhus",Landbrug!C$52,1-Landbrug!C$52),1)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drivhus",Landbrug!D$52,1-Landbrug!D$52),1)</f>
        <v>0.25399813643656877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drivhus",Landbrug!E$52,1-Landbrug!E$52),1)</f>
        <v>0.3292568435288854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drivhus",Landbrug!C$52,1-Landbrug!C$52),1)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drivhus",Landbrug!D$52,1-Landbrug!D$52),1)</f>
        <v>178138.28255074998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drivhus",Landbrug!E$52,1-Landbrug!E$52),1)</f>
        <v>176175.00365604501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drivhus",Landbrug!C$52,1-Landbrug!C$52),1)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drivhus",Landbrug!D$52,1-Landbrug!D$52),1)</f>
        <v>192983.13942997917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drivhus",Landbrug!E$52,1-Landbrug!E$52),1)</f>
        <v>190856.25396071543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drivhus",Landbrug!C$52,1-Landbrug!C$52),1)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drivhus",Landbrug!D$52,1-Landbrug!D$52),1)</f>
        <v>177837.22990030446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drivhus",Landbrug!E$52,1-Landbrug!E$52),1)</f>
        <v>130900.39178627841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drivhus",Landbrug!C$52,1-Landbrug!C$52),1)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drivhus",Landbrug!D$52,1-Landbrug!D$52),1)</f>
        <v>6923.221974748174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drivhus",Landbrug!E$52,1-Landbrug!E$52),1)</f>
        <v>5095.9659539566219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drivhus",Landbrug!C$52,1-Landbrug!C$52),1)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drivhus",Landbrug!D$52,1-Landbrug!D$52),1)</f>
        <v>909.71136748191009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drivhus",Landbrug!E$52,1-Landbrug!E$52),1)</f>
        <v>669.60992634990009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drivhus",Landbrug!C$52,1-Landbrug!C$52),1)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drivhus",Landbrug!D$52,1-Landbrug!D$52),1)</f>
        <v>92168.427114874314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drivhus",Landbrug!E$52,1-Landbrug!E$52),1)</f>
        <v>67842.280418029826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drivhus",Landbrug!C$52,1-Landbrug!C$52),1)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drivhus",Landbrug!D$52,1-Landbrug!D$52),1)</f>
        <v>149752.58402122525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drivhus",Landbrug!E$52,1-Landbrug!E$52),1)</f>
        <v>97091.997795525866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drivhus",Landbrug!C$52,1-Landbrug!C$52),1)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drivhus",Landbrug!D$52,1-Landbrug!D$52),1)</f>
        <v>2869.0243716464051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drivhus",Landbrug!E$52,1-Landbrug!E$52),1)</f>
        <v>1860.1302260515317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drivhus",Landbrug!C$52,1-Landbrug!C$52),1)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drivhus",Landbrug!D$52,1-Landbrug!D$52),1)</f>
        <v>13355.511447021445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drivhus",Landbrug!E$52,1-Landbrug!E$52),1)</f>
        <v>8659.0378152575722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drivhus",Landbrug!C$52,1-Landbrug!C$52),1)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drivhus",Landbrug!D$52,1-Landbrug!D$52),1)</f>
        <v>13177.889065522108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drivhus",Landbrug!E$52,1-Landbrug!E$52),1)</f>
        <v>8543.8764510267865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drivhus",Landbrug!C$52,1-Landbrug!C$52),1)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drivhus",Landbrug!D$52,1-Landbrug!D$52),1)</f>
        <v>6036.6362564051497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drivhus",Landbrug!E$52,1-Landbrug!E$52),1)</f>
        <v>4383.3381279488276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drivhus",Landbrug!C$52,1-Landbrug!C$52),1)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drivhus",Landbrug!D$52,1-Landbrug!D$52),1)</f>
        <v>2927.8175036130328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drivhus",Landbrug!E$52,1-Landbrug!E$52),1)</f>
        <v>2125.9545134338523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drivhus",Landbrug!C$52,1-Landbrug!C$52),1)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drivhus",Landbrug!D$52,1-Landbrug!D$52),1)</f>
        <v>386.46212662561334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drivhus",Landbrug!E$52,1-Landbrug!E$52),1)</f>
        <v>280.61889149753438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drivhus",Landbrug!C$52,1-Landbrug!C$52),1)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drivhus",Landbrug!D$52,1-Landbrug!D$52),1)</f>
        <v>3972.2436306328855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drivhus",Landbrug!E$52,1-Landbrug!E$52),1)</f>
        <v>2884.335948050606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drivhus",Landbrug!C$52,1-Landbrug!C$52),1)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drivhus",Landbrug!D$52,1-Landbrug!D$52),1)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drivhus",Landbrug!E$52,1-Landbrug!E$52),1)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drivhus",Landbrug!C$52,1-Landbrug!C$52),1)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drivhus",Landbrug!D$52,1-Landbrug!D$52),1)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drivhus",Landbrug!E$52,1-Landbrug!E$52),1)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495584487.01300013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341698531.79000002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13628573.392857501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9396709.6242249999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6194806.0876625013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4271231.6473750006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12389612.175325003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8542463.2947500013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140002617.58117253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96529835.230675012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19823379.480520006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13667941.271600001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190800027.50000504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131553934.73915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13628573.392857499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9396709.6242249999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61948060.876625016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42712316.473750003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275049390.29221505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189642685.14345002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9911689.7402600031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6833970.6358000003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0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87280.373795832216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96157.424953530368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1006059.3376707862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1168987.709375025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14744023.906789212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11292466.184841257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-15638.00327846395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-11977.166093658825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7806796.4007561281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6891860.8808611836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-16292.592929760665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-14383.144903015216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6879.4839146267968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8525.3301049752408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12257232.319053285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10582507.362655701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7748308.3213312468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8786208.3818699848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538448.39439751487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576534.1888560584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22478988.514572684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24678370.662067268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3469372.9911858942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2870500.6433076756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34843720.248945452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43746021.106836133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4812460.2718073083</v>
      </c>
      <c r="J452" s="288">
        <f ca="1">SUMIFS('Forbrug af biomasse'!$E$1:$E$425,'Forbrug af biomasse'!$A$1:$A$425,"Biogas",'Forbrug af biomasse'!$B$1:$B$425,$A$1,'Forbrug af biomasse'!$D$1:$D$425,J$2)*'[1]Processer - data'!J452</f>
        <v>5052646.7653582999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2170647.9640550781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554167.32203387632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978156.52302618162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287839.73734093196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927.76755082753232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383.24215060533305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360907.39606101345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103865.35004087999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25856782.803671326</v>
      </c>
      <c r="J457" s="288">
        <f ca="1">J452*'[1]Processer - data'!J$457*Biogasanlæg!AC$3</f>
        <v>24223583.45822496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47867374.450007416</v>
      </c>
      <c r="J458" s="288">
        <f ca="1">-SUMIFS('Resultater - Østdanmark'!J$3:J$482,'Resultater - Østdanmark'!$F$3:$F$482,"Gødning",'Resultater - Østdanmark'!$A$3:$A$482,"&lt;&gt;Gødning")-SUM(J453:J457)</f>
        <v>46493195.889555156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5.527471130018256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5.4682350295642461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2.6382406059278756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2.4443446775003141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1.2313466278909861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1.1172316159927149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9.3824985420606239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9.0295962650620645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4.7773193793130586</v>
      </c>
      <c r="J467" s="288">
        <f ca="1">SUM(J433:J451)*'[1]Processer - data'!$H$467</f>
        <v>4.9940609458425929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100017.96010626001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68960.976415800003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205919.32963053533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141978.48085605886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292358.62093917595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201577.15616398031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drivhus",Landbrug!C$52,1-Landbrug!C$52),1)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drivhus",Landbrug!D$52,1-Landbrug!D$52),1)</f>
        <v>117778.59847892303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drivhus",Landbrug!E$52,1-Landbrug!E$52),1)</f>
        <v>109122.53024554974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drivhus",Landbrug!C$52,1-Landbrug!C$52),1)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drivhus",Landbrug!D$52,1-Landbrug!D$52),1)</f>
        <v>75378.303026510737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drivhus",Landbrug!E$52,1-Landbrug!E$52),1)</f>
        <v>69838.419357151841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zoomScale="80" zoomScaleNormal="80" workbookViewId="0">
      <selection activeCell="H89" sqref="H89:H9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7667567.5638481416</v>
      </c>
      <c r="O3" s="98">
        <f>SUMIF($F$3:$F$487,$L$3,J$3:J$487)</f>
        <v>2333635.8702758886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1039701.4022577816</v>
      </c>
      <c r="O4" s="98">
        <f t="shared" si="0"/>
        <v>695889.84481713665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2445996.5144736366</v>
      </c>
    </row>
    <row r="6" spans="1:21" s="171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9820.8309679813265</v>
      </c>
      <c r="O7" s="98">
        <f>SUMIFS(J$3:J$487,$F$3:$F$487,$L$3,$C$3:$C$487,$L7)+SUMIFS(J$3:J$487,$F$3:$F$487,$L$3,$C$3:$C$487,"",$A$3:$A$487,"Grøntsager I drivhus")</f>
        <v>8578.8140985043919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1159397.564302607</v>
      </c>
      <c r="O8" s="98">
        <f>SUMIFS(J$3:J$487,$F$3:$F$487,$L$3,$C$3:$C$487,$L8)</f>
        <v>29.202274382245825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9893.9398981797294</v>
      </c>
      <c r="O9" s="98">
        <f>SUMIFS(J$3:J$487,$F$3:$F$487,$L$3,$C$3:$C$487,$L9)</f>
        <v>73.108930198402646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-127337.89163764837</v>
      </c>
      <c r="J16" s="282">
        <f>'Resultater - Vestdanmark'!J16+'Resultater - Østdanmark'!J16</f>
        <v>-78456.002586872521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-28014.336160282641</v>
      </c>
      <c r="J19" s="282">
        <f>'Resultater - Vestdanmark'!J19+'Resultater - Østdanmark'!J19</f>
        <v>-172603.20569111954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-713092.19317083084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9724.3957357090476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5079.9082201465171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-73855.97714983605</v>
      </c>
    </row>
    <row r="26" spans="1:10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-636689.45818824181</v>
      </c>
      <c r="J28" s="282">
        <f>'Resultater - Vestdanmark'!J28+'Resultater - Østdanmark'!J28</f>
        <v>-392280.01293436257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11641.087998530053</v>
      </c>
      <c r="J29" s="282">
        <f>'Resultater - Vestdanmark'!J29+'Resultater - Østdanmark'!J29</f>
        <v>71723.602329273752</v>
      </c>
    </row>
    <row r="30" spans="1:10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2910.2719996325131</v>
      </c>
      <c r="J30" s="282">
        <f>'Resultater - Vestdanmark'!J30+'Resultater - Østdanmark'!J30</f>
        <v>17930.900582318438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-81496.250648094952</v>
      </c>
      <c r="J31" s="282">
        <f>'Resultater - Vestdanmark'!J31+'Resultater - Østdanmark'!J31</f>
        <v>-502118.41655598412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123109.12506381983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42614.697137476098</v>
      </c>
    </row>
    <row r="34" spans="1:10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-25467.578327529674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5658.8622215076648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2829.4311107538333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-63668.945818824177</v>
      </c>
    </row>
    <row r="38" spans="1:10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-127337.89163764837</v>
      </c>
      <c r="J40" s="282">
        <f>'Resultater - Vestdanmark'!J40+'Resultater - Østdanmark'!J40</f>
        <v>-78456.002586872521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-21647.441578400219</v>
      </c>
      <c r="J43" s="282">
        <f>'Resultater - Vestdanmark'!J43+'Resultater - Østdanmark'!J43</f>
        <v>-133375.20439768329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-700358.40400706592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7129.6628918332863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3888.9070319090656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-67489.082567953636</v>
      </c>
    </row>
    <row r="50" spans="1:10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-483883.98822306376</v>
      </c>
      <c r="J52" s="282">
        <f>'Resultater - Vestdanmark'!J52+'Resultater - Østdanmark'!J52</f>
        <v>-298132.80983011553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2956.2016868577057</v>
      </c>
      <c r="J53" s="282">
        <f>'Resultater - Vestdanmark'!J53+'Resultater - Østdanmark'!J53</f>
        <v>18213.884666114009</v>
      </c>
    </row>
    <row r="54" spans="1:10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10346.705904001965</v>
      </c>
      <c r="J54" s="282">
        <f>'Resultater - Vestdanmark'!J54+'Resultater - Østdanmark'!J54</f>
        <v>63748.596331398992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-40748.125324047476</v>
      </c>
      <c r="J55" s="282">
        <f>'Resultater - Vestdanmark'!J55+'Resultater - Østdanmark'!J55</f>
        <v>-251059.20827799206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31820.226490482226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42084.815680960368</v>
      </c>
    </row>
    <row r="58" spans="1:10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-229208.20494776705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2630.1500302189861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1434.6272892103561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-66215.703651577147</v>
      </c>
    </row>
    <row r="62" spans="1:10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-135827.08441349157</v>
      </c>
      <c r="J64" s="282">
        <f>'Resultater - Vestdanmark'!J64+'Resultater - Østdanmark'!J64</f>
        <v>-83686.402759330696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-13582.708441349158</v>
      </c>
      <c r="J67" s="282">
        <f>'Resultater - Vestdanmark'!J67+'Resultater - Østdanmark'!J67</f>
        <v>-83686.402759330696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8697.5285740651434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11503.182952795834</v>
      </c>
    </row>
    <row r="70" spans="1:10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-169783.85551686448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10456.83890802215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5703.730313466629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-22071.901217192382</v>
      </c>
    </row>
    <row r="74" spans="1:10" hidden="1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11999363.110218991</v>
      </c>
      <c r="J74" s="282">
        <f>'Resultater - Vestdanmark'!J74+'Resultater - Østdanmark'!J74</f>
        <v>7658605.8990418315</v>
      </c>
    </row>
    <row r="75" spans="1:10" hidden="1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12944349.760442937</v>
      </c>
      <c r="J75" s="282">
        <f>'Resultater - Vestdanmark'!J75+'Resultater - Østdanmark'!J75</f>
        <v>8261744.6046084156</v>
      </c>
    </row>
    <row r="76" spans="1:10" hidden="1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1659372.2423267029</v>
      </c>
      <c r="J76" s="282">
        <f>'Resultater - Vestdanmark'!J76+'Resultater - Østdanmark'!J76</f>
        <v>1059096.0476032819</v>
      </c>
    </row>
    <row r="77" spans="1:10" hidden="1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135631.74798119688</v>
      </c>
      <c r="J77" s="282">
        <f>'Resultater - Vestdanmark'!J77+'Resultater - Østdanmark'!J77</f>
        <v>86567.103240797936</v>
      </c>
    </row>
    <row r="78" spans="1:10" hidden="1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-7405373229.7781744</v>
      </c>
      <c r="J78" s="282">
        <f>'Resultater - Vestdanmark'!J78+'Resultater - Østdanmark'!J78</f>
        <v>-4726487112.7939835</v>
      </c>
    </row>
    <row r="79" spans="1:10" hidden="1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-568731.83302328084</v>
      </c>
      <c r="J79" s="282">
        <f>'Resultater - Vestdanmark'!J79+'Resultater - Østdanmark'!J79</f>
        <v>-362993.67986085394</v>
      </c>
    </row>
    <row r="80" spans="1:10" hidden="1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969739.63921150845</v>
      </c>
      <c r="J80" s="282">
        <f>'Resultater - Vestdanmark'!J80+'Resultater - Østdanmark'!J80</f>
        <v>618937.32635484973</v>
      </c>
    </row>
    <row r="81" spans="1:10" hidden="1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268337.40276130312</v>
      </c>
      <c r="J81" s="282">
        <f>'Resultater - Vestdanmark'!J81+'Resultater - Østdanmark'!J81</f>
        <v>295150.35129194462</v>
      </c>
    </row>
    <row r="82" spans="1:10" hidden="1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hidden="1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290856.52074089216</v>
      </c>
      <c r="J83" s="282">
        <f>'Resultater - Vestdanmark'!J83+'Resultater - Østdanmark'!J83</f>
        <v>319919.63620737183</v>
      </c>
    </row>
    <row r="84" spans="1:10" hidden="1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8895.580018803088</v>
      </c>
      <c r="J84" s="282">
        <f>'Resultater - Vestdanmark'!J84+'Resultater - Østdanmark'!J84</f>
        <v>9784.448759202056</v>
      </c>
    </row>
    <row r="85" spans="1:10" hidden="1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-485690784.90182483</v>
      </c>
      <c r="J85" s="282">
        <f>'Resultater - Vestdanmark'!J85+'Resultater - Østdanmark'!J85</f>
        <v>-534222230.32601655</v>
      </c>
    </row>
    <row r="86" spans="1:10" hidden="1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-32787.406721545332</v>
      </c>
      <c r="J86" s="282">
        <f>'Resultater - Vestdanmark'!J86+'Resultater - Østdanmark'!J86</f>
        <v>-36063.606907696885</v>
      </c>
    </row>
    <row r="87" spans="1:10" hidden="1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69961.763046273118</v>
      </c>
      <c r="J87" s="282">
        <f>'Resultater - Vestdanmark'!J87+'Resultater - Østdanmark'!J87</f>
        <v>76952.518462286942</v>
      </c>
    </row>
    <row r="88" spans="1:10" hidden="1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343504.41336069477</v>
      </c>
      <c r="J88" s="282">
        <f>'Resultater - Vestdanmark'!J88+'Resultater - Østdanmark'!J88</f>
        <v>245181.62255481243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9967942.9800798073</v>
      </c>
      <c r="J89" s="282">
        <f>'Resultater - Vestdanmark'!J89+'Resultater - Østdanmark'!J89</f>
        <v>7114774.4783807406</v>
      </c>
    </row>
    <row r="90" spans="1:10" hidden="1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195343.77170144278</v>
      </c>
      <c r="J90" s="282">
        <f>'Resultater - Vestdanmark'!J90+'Resultater - Østdanmark'!J90</f>
        <v>139429.65807383976</v>
      </c>
    </row>
    <row r="91" spans="1:10" hidden="1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3731303.0466279737</v>
      </c>
      <c r="J91" s="282">
        <f>'Resultater - Vestdanmark'!J91+'Resultater - Østdanmark'!J91</f>
        <v>2663275.6367392922</v>
      </c>
    </row>
    <row r="92" spans="1:10" hidden="1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42507.033653433064</v>
      </c>
      <c r="J92" s="282">
        <f>'Resultater - Vestdanmark'!J92+'Resultater - Østdanmark'!J92</f>
        <v>30340.057000074805</v>
      </c>
    </row>
    <row r="93" spans="1:10" hidden="1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-2586204586.6692138</v>
      </c>
      <c r="J93" s="282">
        <f>'Resultater - Vestdanmark'!J93+'Resultater - Østdanmark'!J93</f>
        <v>-1845943784.5779104</v>
      </c>
    </row>
    <row r="94" spans="1:10" hidden="1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-10817.013072585138</v>
      </c>
      <c r="J94" s="282">
        <f>'Resultater - Vestdanmark'!J94+'Resultater - Østdanmark'!J94</f>
        <v>-7720.8114748388543</v>
      </c>
    </row>
    <row r="95" spans="1:10" hidden="1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2797326.9329336165</v>
      </c>
      <c r="J95" s="282">
        <f>'Resultater - Vestdanmark'!J95+'Resultater - Østdanmark'!J95</f>
        <v>1996635.6458796498</v>
      </c>
    </row>
    <row r="96" spans="1:10" hidden="1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21412.262565954799</v>
      </c>
      <c r="J96" s="282">
        <f>'Resultater - Vestdanmark'!J96+'Resultater - Østdanmark'!J96</f>
        <v>19792.629855448322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1157085.7271217881</v>
      </c>
      <c r="J97" s="282">
        <f>'Resultater - Vestdanmark'!J97+'Resultater - Østdanmark'!J97</f>
        <v>1069563.2671886496</v>
      </c>
    </row>
    <row r="98" spans="1:10" hidden="1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9553.1632986567565</v>
      </c>
      <c r="J98" s="282">
        <f>'Resultater - Vestdanmark'!J98+'Resultater - Østdanmark'!J98</f>
        <v>8830.5579355077134</v>
      </c>
    </row>
    <row r="99" spans="1:10" hidden="1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441971.06065624644</v>
      </c>
      <c r="J99" s="282">
        <f>'Resultater - Vestdanmark'!J99+'Resultater - Østdanmark'!J99</f>
        <v>408540.18034963845</v>
      </c>
    </row>
    <row r="100" spans="1:10" hidden="1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8833.5743465669384</v>
      </c>
      <c r="J100" s="282">
        <f>'Resultater - Vestdanmark'!J100+'Resultater - Østdanmark'!J100</f>
        <v>8165.3989999252026</v>
      </c>
    </row>
    <row r="101" spans="1:10" hidden="1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-537450594.13078606</v>
      </c>
      <c r="J101" s="282">
        <f>'Resultater - Vestdanmark'!J101+'Resultater - Østdanmark'!J101</f>
        <v>-496797601.02208948</v>
      </c>
    </row>
    <row r="102" spans="1:10" hidden="1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-2709.8349283905177</v>
      </c>
      <c r="J102" s="282">
        <f>'Resultater - Vestdanmark'!J102+'Resultater - Østdanmark'!J102</f>
        <v>-2504.8618538928881</v>
      </c>
    </row>
    <row r="103" spans="1:10" hidden="1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486132.10955144238</v>
      </c>
      <c r="J103" s="282">
        <f>'Resultater - Vestdanmark'!J103+'Resultater - Østdanmark'!J103</f>
        <v>449360.86859398667</v>
      </c>
    </row>
    <row r="104" spans="1:10" hidden="1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hidden="1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hidden="1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hidden="1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hidden="1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hidden="1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hidden="1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hidden="1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hidden="1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hidden="1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hidden="1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hidden="1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hidden="1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hidden="1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hidden="1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hidden="1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hidden="1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5589253.7741043204</v>
      </c>
      <c r="J120" s="282">
        <f>'Resultater - Vestdanmark'!J120+'Resultater - Østdanmark'!J120</f>
        <v>4678340.6372736003</v>
      </c>
    </row>
    <row r="121" spans="1:10" hidden="1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1691896.31501572</v>
      </c>
      <c r="J121" s="282">
        <f>'Resultater - Vestdanmark'!J121+'Resultater - Østdanmark'!J121</f>
        <v>1416158.1499955999</v>
      </c>
    </row>
    <row r="122" spans="1:10" hidden="1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-119003848.96000001</v>
      </c>
      <c r="J122" s="282">
        <f>'Resultater - Vestdanmark'!J122+'Resultater - Østdanmark'!J122</f>
        <v>-99609100.799999982</v>
      </c>
    </row>
    <row r="123" spans="1:10" hidden="1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1691114.8818090158</v>
      </c>
      <c r="J123" s="282">
        <f>'Resultater - Vestdanmark'!J123+'Resultater - Østdanmark'!J123</f>
        <v>1415504.0714953218</v>
      </c>
    </row>
    <row r="124" spans="1:10" hidden="1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185152.60445012414</v>
      </c>
      <c r="J124" s="282">
        <f>'Resultater - Vestdanmark'!J124+'Resultater - Østdanmark'!J124</f>
        <v>4.4858668470684426</v>
      </c>
    </row>
    <row r="125" spans="1:10" hidden="1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56046.660582150449</v>
      </c>
      <c r="J125" s="282">
        <f>'Resultater - Vestdanmark'!J125+'Resultater - Østdanmark'!J125</f>
        <v>1.3578953282404007</v>
      </c>
    </row>
    <row r="126" spans="1:10" hidden="1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-2669187.7828355702</v>
      </c>
      <c r="J126" s="282">
        <f>'Resultater - Vestdanmark'!J126+'Resultater - Østdanmark'!J126</f>
        <v>-64.668930902603776</v>
      </c>
    </row>
    <row r="127" spans="1:10" hidden="1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328344.88640409685</v>
      </c>
      <c r="J127" s="282">
        <f>'Resultater - Vestdanmark'!J127+'Resultater - Østdanmark'!J127</f>
        <v>7.955121369742117</v>
      </c>
    </row>
    <row r="128" spans="1:10" hidden="1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3.6033265463698143</v>
      </c>
      <c r="J128" s="282">
        <f>'Resultater - Vestdanmark'!J128+'Resultater - Østdanmark'!J128</f>
        <v>3.4366987291966442</v>
      </c>
    </row>
    <row r="129" spans="1:10" hidden="1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1.090745768933773</v>
      </c>
      <c r="J129" s="282">
        <f>'Resultater - Vestdanmark'!J129+'Resultater - Østdanmark'!J129</f>
        <v>1.0403066582316334</v>
      </c>
    </row>
    <row r="130" spans="1:10" hidden="1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-34.250174004865642</v>
      </c>
      <c r="J130" s="282">
        <f>'Resultater - Vestdanmark'!J130+'Resultater - Østdanmark'!J130</f>
        <v>-32.666350929496133</v>
      </c>
    </row>
    <row r="131" spans="1:10" hidden="1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14.02602657880453</v>
      </c>
      <c r="J131" s="282">
        <f>'Resultater - Vestdanmark'!J131+'Resultater - Østdanmark'!J131</f>
        <v>13.3774241936575</v>
      </c>
    </row>
    <row r="132" spans="1:10" hidden="1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584448.55938466557</v>
      </c>
      <c r="J132" s="282">
        <f>'Resultater - Vestdanmark'!J132+'Resultater - Østdanmark'!J132</f>
        <v>664891.44208524795</v>
      </c>
    </row>
    <row r="133" spans="1:10" hidden="1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176915.63201522763</v>
      </c>
      <c r="J133" s="282">
        <f>'Resultater - Vestdanmark'!J133+'Resultater - Østdanmark'!J133</f>
        <v>201266.11283270799</v>
      </c>
    </row>
    <row r="134" spans="1:10" hidden="1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-12443812.876800001</v>
      </c>
      <c r="J134" s="282">
        <f>'Resultater - Vestdanmark'!J134+'Resultater - Østdanmark'!J134</f>
        <v>-14156566.143999998</v>
      </c>
    </row>
    <row r="135" spans="1:10" hidden="1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263931.22432857472</v>
      </c>
      <c r="J135" s="282">
        <f>'Resultater - Vestdanmark'!J135+'Resultater - Østdanmark'!J135</f>
        <v>300258.43940809852</v>
      </c>
    </row>
    <row r="136" spans="1:10" hidden="1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19360.754997125699</v>
      </c>
      <c r="J136" s="282">
        <f>'Resultater - Vestdanmark'!J136+'Resultater - Østdanmark'!J136</f>
        <v>0.63753683371972725</v>
      </c>
    </row>
    <row r="137" spans="1:10" hidden="1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5860.6016759023223</v>
      </c>
      <c r="J137" s="282">
        <f>'Resultater - Vestdanmark'!J137+'Resultater - Østdanmark'!J137</f>
        <v>0.19298572998325697</v>
      </c>
    </row>
    <row r="138" spans="1:10" hidden="1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-279107.55486413569</v>
      </c>
      <c r="J138" s="282">
        <f>'Resultater - Vestdanmark'!J138+'Resultater - Østdanmark'!J138</f>
        <v>-9.190826846460963</v>
      </c>
    </row>
    <row r="139" spans="1:10" hidden="1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51244.577646882164</v>
      </c>
      <c r="J139" s="282">
        <f>'Resultater - Vestdanmark'!J139+'Resultater - Østdanmark'!J139</f>
        <v>1.6874499875210551</v>
      </c>
    </row>
    <row r="140" spans="1:10" hidden="1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0.37678715158283216</v>
      </c>
      <c r="J140" s="282">
        <f>'Resultater - Vestdanmark'!J140+'Resultater - Østdanmark'!J140</f>
        <v>0.48842778908885631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0.11405543907521365</v>
      </c>
      <c r="J141" s="282">
        <f>'Resultater - Vestdanmark'!J141+'Resultater - Østdanmark'!J141</f>
        <v>0.14784964324564728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-3.5814199291793036</v>
      </c>
      <c r="J142" s="282">
        <f>'Resultater - Vestdanmark'!J142+'Resultater - Østdanmark'!J142</f>
        <v>-4.6425813896768746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2.1890330498712274</v>
      </c>
      <c r="J143" s="282">
        <f>'Resultater - Vestdanmark'!J143+'Resultater - Østdanmark'!J143</f>
        <v>2.8376354350182571</v>
      </c>
    </row>
    <row r="144" spans="1:10" hidden="1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410934.41224536177</v>
      </c>
      <c r="J144" s="282">
        <f>'Resultater - Vestdanmark'!J144+'Resultater - Østdanmark'!J144</f>
        <v>343962.04533935263</v>
      </c>
    </row>
    <row r="145" spans="1:10" hidden="1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-3718870.28</v>
      </c>
      <c r="J145" s="282">
        <f>'Resultater - Vestdanmark'!J145+'Resultater - Østdanmark'!J145</f>
        <v>-3112784.3999999994</v>
      </c>
    </row>
    <row r="146" spans="1:10" hidden="1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42277.872045225391</v>
      </c>
      <c r="J146" s="282">
        <f>'Resultater - Vestdanmark'!J146+'Resultater - Østdanmark'!J146</f>
        <v>35387.601787383042</v>
      </c>
    </row>
    <row r="147" spans="1:10" hidden="1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2300.3402779883349</v>
      </c>
      <c r="J147" s="282">
        <f>'Resultater - Vestdanmark'!J147+'Resultater - Østdanmark'!J147</f>
        <v>5.573251437998631E-2</v>
      </c>
    </row>
    <row r="148" spans="1:10" hidden="1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-16914.297772363989</v>
      </c>
      <c r="J148" s="282">
        <f>'Resultater - Vestdanmark'!J148+'Resultater - Østdanmark'!J148</f>
        <v>-0.40979865146300187</v>
      </c>
    </row>
    <row r="149" spans="1:10" hidden="1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1387.1193867501797</v>
      </c>
      <c r="J149" s="282">
        <f>'Resultater - Vestdanmark'!J149+'Resultater - Østdanmark'!J149</f>
        <v>3.3607050186687304E-2</v>
      </c>
    </row>
    <row r="150" spans="1:10" hidden="1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2.2695503115964317E-2</v>
      </c>
      <c r="J150" s="282">
        <f>'Resultater - Vestdanmark'!J150+'Resultater - Østdanmark'!J150</f>
        <v>2.1646000081700072E-2</v>
      </c>
    </row>
    <row r="151" spans="1:10" hidden="1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-0.13937147708266634</v>
      </c>
      <c r="J151" s="282">
        <f>'Resultater - Vestdanmark'!J151+'Resultater - Østdanmark'!J151</f>
        <v>-0.13292655328693606</v>
      </c>
    </row>
    <row r="152" spans="1:10" hidden="1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3.003946385807555E-2</v>
      </c>
      <c r="J152" s="282">
        <f>'Resultater - Vestdanmark'!J152+'Resultater - Østdanmark'!J152</f>
        <v>2.8650355702788816E-2</v>
      </c>
    </row>
    <row r="153" spans="1:10" hidden="1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36556.535285873513</v>
      </c>
      <c r="J153" s="282">
        <f>'Resultater - Vestdanmark'!J153+'Resultater - Østdanmark'!J153</f>
        <v>41588.13820921263</v>
      </c>
    </row>
    <row r="154" spans="1:10" hidden="1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-330828.9804</v>
      </c>
      <c r="J154" s="282">
        <f>'Resultater - Vestdanmark'!J154+'Resultater - Østdanmark'!J154</f>
        <v>-376363.93199999991</v>
      </c>
    </row>
    <row r="155" spans="1:10" hidden="1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6598.280608214367</v>
      </c>
      <c r="J155" s="282">
        <f>'Resultater - Vestdanmark'!J155+'Resultater - Østdanmark'!J155</f>
        <v>7506.4609852024632</v>
      </c>
    </row>
    <row r="156" spans="1:10" hidden="1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204.63720738867326</v>
      </c>
      <c r="J156" s="282">
        <f>'Resultater - Vestdanmark'!J156+'Resultater - Østdanmark'!J156</f>
        <v>6.7385676477619821E-3</v>
      </c>
    </row>
    <row r="157" spans="1:10" hidden="1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-1504.6881081889119</v>
      </c>
      <c r="J157" s="282">
        <f>'Resultater - Vestdanmark'!J157+'Resultater - Østdanmark'!J157</f>
        <v>-4.9548382404162948E-2</v>
      </c>
    </row>
    <row r="158" spans="1:10" hidden="1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216.48684070667548</v>
      </c>
      <c r="J158" s="282">
        <f>'Resultater - Vestdanmark'!J158+'Resultater - Østdanmark'!J158</f>
        <v>7.1287682214185187E-3</v>
      </c>
    </row>
    <row r="159" spans="1:10" hidden="1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2.0189814621658433E-3</v>
      </c>
      <c r="J159" s="282">
        <f>'Resultater - Vestdanmark'!J159+'Resultater - Østdanmark'!J159</f>
        <v>2.6171981916964628E-3</v>
      </c>
    </row>
    <row r="160" spans="1:10" hidden="1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-1.2398422152036039E-2</v>
      </c>
      <c r="J160" s="282">
        <f>'Resultater - Vestdanmark'!J160+'Resultater - Østdanmark'!J160</f>
        <v>-1.6072028715602271E-2</v>
      </c>
    </row>
    <row r="161" spans="1:10" hidden="1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4.6882400240927154E-3</v>
      </c>
      <c r="J161" s="282">
        <f>'Resultater - Vestdanmark'!J161+'Resultater - Østdanmark'!J161</f>
        <v>6.0773481793794451E-3</v>
      </c>
    </row>
    <row r="162" spans="1:10" hidden="1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45849.560252475814</v>
      </c>
      <c r="J162" s="282">
        <f>'Resultater - Vestdanmark'!J162+'Resultater - Østdanmark'!J162</f>
        <v>38199.003745102651</v>
      </c>
    </row>
    <row r="163" spans="1:10" hidden="1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-39230293.456431657</v>
      </c>
      <c r="J163" s="282">
        <f>'Resultater - Vestdanmark'!J163+'Resultater - Østdanmark'!J163</f>
        <v>-32684242.082404464</v>
      </c>
    </row>
    <row r="164" spans="1:10" hidden="1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8495.0187873038467</v>
      </c>
      <c r="J164" s="282">
        <f>'Resultater - Vestdanmark'!J164+'Resultater - Østdanmark'!J164</f>
        <v>7077.5216312661232</v>
      </c>
    </row>
    <row r="165" spans="1:10" hidden="1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4078.7556779514616</v>
      </c>
      <c r="J165" s="282">
        <f>'Resultater - Vestdanmark'!J165+'Resultater - Østdanmark'!J165</f>
        <v>4618.6068164533208</v>
      </c>
    </row>
    <row r="166" spans="1:10" hidden="1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-3489908.764707996</v>
      </c>
      <c r="J166" s="282">
        <f>'Resultater - Vestdanmark'!J166+'Resultater - Østdanmark'!J166</f>
        <v>-3951821.9972361764</v>
      </c>
    </row>
    <row r="167" spans="1:10" hidden="1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1325.8121806774791</v>
      </c>
      <c r="J167" s="282">
        <f>'Resultater - Vestdanmark'!J167+'Resultater - Østdanmark'!J167</f>
        <v>1501.2924672382685</v>
      </c>
    </row>
    <row r="168" spans="1:10" hidden="1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2116446.4618164236</v>
      </c>
      <c r="J168" s="282">
        <f>'Resultater - Vestdanmark'!J168+'Resultater - Østdanmark'!J168</f>
        <v>1771516.8945815871</v>
      </c>
    </row>
    <row r="169" spans="1:10" hidden="1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-6972881.7750000004</v>
      </c>
      <c r="J169" s="282">
        <f>'Resultater - Vestdanmark'!J169+'Resultater - Østdanmark'!J169</f>
        <v>-5836470.75</v>
      </c>
    </row>
    <row r="170" spans="1:10" hidden="1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105694.68011306348</v>
      </c>
      <c r="J170" s="282">
        <f>'Resultater - Vestdanmark'!J170+'Resultater - Østdanmark'!J170</f>
        <v>88469.004468457613</v>
      </c>
    </row>
    <row r="171" spans="1:10" hidden="1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62909.083443499112</v>
      </c>
      <c r="J171" s="282">
        <f>'Resultater - Vestdanmark'!J171+'Resultater - Østdanmark'!J171</f>
        <v>1.5241577218777458</v>
      </c>
    </row>
    <row r="172" spans="1:10" hidden="1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-138174.24925509488</v>
      </c>
      <c r="J172" s="282">
        <f>'Resultater - Vestdanmark'!J172+'Resultater - Østdanmark'!J172</f>
        <v>-3.3476779097562277</v>
      </c>
    </row>
    <row r="173" spans="1:10" hidden="1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18413.669696201938</v>
      </c>
      <c r="J173" s="282">
        <f>'Resultater - Vestdanmark'!J173+'Resultater - Østdanmark'!J173</f>
        <v>0.44612534978003476</v>
      </c>
    </row>
    <row r="174" spans="1:10" hidden="1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2.0521016512724364</v>
      </c>
      <c r="J174" s="282">
        <f>'Resultater - Vestdanmark'!J174+'Resultater - Østdanmark'!J174</f>
        <v>1.9572067772251565</v>
      </c>
    </row>
    <row r="175" spans="1:10" hidden="1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-2.8975243840006524</v>
      </c>
      <c r="J175" s="282">
        <f>'Resultater - Vestdanmark'!J175+'Resultater - Østdanmark'!J175</f>
        <v>-2.7635348171104486</v>
      </c>
    </row>
    <row r="176" spans="1:10" hidden="1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1.3184281443992363</v>
      </c>
      <c r="J176" s="282">
        <f>'Resultater - Vestdanmark'!J176+'Resultater - Østdanmark'!J176</f>
        <v>1.2574603689356878</v>
      </c>
    </row>
    <row r="177" spans="1:10" hidden="1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188278.09853962282</v>
      </c>
      <c r="J177" s="282">
        <f>'Resultater - Vestdanmark'!J177+'Resultater - Østdanmark'!J177</f>
        <v>214192.49725395549</v>
      </c>
    </row>
    <row r="178" spans="1:10" hidden="1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-620304.33824999991</v>
      </c>
      <c r="J178" s="282">
        <f>'Resultater - Vestdanmark'!J178+'Resultater - Østdanmark'!J178</f>
        <v>-705682.37249999982</v>
      </c>
    </row>
    <row r="179" spans="1:10" hidden="1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16495.70152053592</v>
      </c>
      <c r="J179" s="282">
        <f>'Resultater - Vestdanmark'!J179+'Resultater - Østdanmark'!J179</f>
        <v>18766.152463006158</v>
      </c>
    </row>
    <row r="180" spans="1:10" hidden="1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5596.3629722280421</v>
      </c>
      <c r="J180" s="282">
        <f>'Resultater - Vestdanmark'!J180+'Resultater - Østdanmark'!J180</f>
        <v>0.18428452455430924</v>
      </c>
    </row>
    <row r="181" spans="1:10" hidden="1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-12291.917318126647</v>
      </c>
      <c r="J181" s="282">
        <f>'Resultater - Vestdanmark'!J181+'Resultater - Østdanmark'!J181</f>
        <v>-0.40476469272507115</v>
      </c>
    </row>
    <row r="182" spans="1:10" hidden="1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2873.8097213725573</v>
      </c>
      <c r="J182" s="282">
        <f>'Resultater - Vestdanmark'!J182+'Resultater - Østdanmark'!J182</f>
        <v>9.4632649953340711E-2</v>
      </c>
    </row>
    <row r="183" spans="1:10" hidden="1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0.1825540139484555</v>
      </c>
      <c r="J183" s="282">
        <f>'Resultater - Vestdanmark'!J183+'Resultater - Østdanmark'!J183</f>
        <v>0.23664409215540524</v>
      </c>
    </row>
    <row r="184" spans="1:10" hidden="1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-0.25776242930502913</v>
      </c>
      <c r="J184" s="282">
        <f>'Resultater - Vestdanmark'!J184+'Resultater - Østdanmark'!J184</f>
        <v>-0.33413648243244515</v>
      </c>
    </row>
    <row r="185" spans="1:10" hidden="1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0.2057662421894762</v>
      </c>
      <c r="J185" s="282">
        <f>'Resultater - Vestdanmark'!J185+'Resultater - Østdanmark'!J185</f>
        <v>0.26673401765302468</v>
      </c>
    </row>
    <row r="186" spans="1:10" hidden="1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9890826.4005369619</v>
      </c>
      <c r="J186" s="282">
        <f>'Resultater - Vestdanmark'!J186+'Resultater - Østdanmark'!J186</f>
        <v>8278860.9993407996</v>
      </c>
    </row>
    <row r="187" spans="1:10" hidden="1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-28821244.670000002</v>
      </c>
      <c r="J187" s="282">
        <f>'Resultater - Vestdanmark'!J187+'Resultater - Østdanmark'!J187</f>
        <v>-24124079.100000001</v>
      </c>
    </row>
    <row r="188" spans="1:10" hidden="1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422778.72045225394</v>
      </c>
      <c r="J188" s="282">
        <f>'Resultater - Vestdanmark'!J188+'Resultater - Østdanmark'!J188</f>
        <v>353876.01787383045</v>
      </c>
    </row>
    <row r="189" spans="1:10" hidden="1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1024804.3601013478</v>
      </c>
      <c r="J189" s="282">
        <f>'Resultater - Vestdanmark'!J189+'Resultater - Østdanmark'!J189</f>
        <v>24.828902176990834</v>
      </c>
    </row>
    <row r="190" spans="1:10" hidden="1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-2087139.7310664158</v>
      </c>
      <c r="J190" s="282">
        <f>'Resultater - Vestdanmark'!J190+'Resultater - Østdanmark'!J190</f>
        <v>-50.567103566220311</v>
      </c>
    </row>
    <row r="191" spans="1:10" hidden="1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256745.38985730708</v>
      </c>
      <c r="J191" s="282">
        <f>'Resultater - Vestdanmark'!J191+'Resultater - Østdanmark'!J191</f>
        <v>6.2204128098459952</v>
      </c>
    </row>
    <row r="192" spans="1:10" hidden="1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40.223420673759442</v>
      </c>
      <c r="J192" s="282">
        <f>'Resultater - Vestdanmark'!J192+'Resultater - Østdanmark'!J192</f>
        <v>38.363378099250326</v>
      </c>
    </row>
    <row r="193" spans="1:10" hidden="1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-56.713796317158888</v>
      </c>
      <c r="J193" s="282">
        <f>'Resultater - Vestdanmark'!J193+'Resultater - Østdanmark'!J193</f>
        <v>-54.091193019255577</v>
      </c>
    </row>
    <row r="194" spans="1:10" hidden="1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22.119295744762979</v>
      </c>
      <c r="J194" s="282">
        <f>'Resultater - Vestdanmark'!J194+'Resultater - Østdanmark'!J194</f>
        <v>21.096438138068734</v>
      </c>
    </row>
    <row r="195" spans="1:10" hidden="1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1204050.8901462913</v>
      </c>
      <c r="J195" s="282">
        <f>'Resultater - Vestdanmark'!J195+'Resultater - Østdanmark'!J195</f>
        <v>1369775.1835272959</v>
      </c>
    </row>
    <row r="196" spans="1:10" hidden="1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-3508528.3974000001</v>
      </c>
      <c r="J196" s="282">
        <f>'Resultater - Vestdanmark'!J196+'Resultater - Østdanmark'!J196</f>
        <v>-3991438.5419999994</v>
      </c>
    </row>
    <row r="197" spans="1:10" hidden="1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65982.806082143681</v>
      </c>
      <c r="J197" s="282">
        <f>'Resultater - Vestdanmark'!J197+'Resultater - Østdanmark'!J197</f>
        <v>75064.609852024631</v>
      </c>
    </row>
    <row r="198" spans="1:10" hidden="1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124753.64059962072</v>
      </c>
      <c r="J198" s="282">
        <f>'Resultater - Vestdanmark'!J198+'Resultater - Østdanmark'!J198</f>
        <v>4.108054723829393</v>
      </c>
    </row>
    <row r="199" spans="1:10" hidden="1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-254076.08518068626</v>
      </c>
      <c r="J199" s="282">
        <f>'Resultater - Vestdanmark'!J199+'Resultater - Østdanmark'!J199</f>
        <v>-8.3665571355019086</v>
      </c>
    </row>
    <row r="200" spans="1:10" hidden="1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40070.089746516132</v>
      </c>
      <c r="J200" s="282">
        <f>'Resultater - Vestdanmark'!J200+'Resultater - Østdanmark'!J200</f>
        <v>1.3194815051188475</v>
      </c>
    </row>
    <row r="201" spans="1:10" hidden="1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4.8965620773952256</v>
      </c>
      <c r="J201" s="282">
        <f>'Resultater - Vestdanmark'!J201+'Resultater - Østdanmark'!J201</f>
        <v>6.3473952855123272</v>
      </c>
    </row>
    <row r="202" spans="1:10" hidden="1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-6.9040031817304408</v>
      </c>
      <c r="J202" s="282">
        <f>'Resultater - Vestdanmark'!J202+'Resultater - Østdanmark'!J202</f>
        <v>-8.9496337540950144</v>
      </c>
    </row>
    <row r="203" spans="1:10" hidden="1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3.452144422593066</v>
      </c>
      <c r="J203" s="282">
        <f>'Resultater - Vestdanmark'!J203+'Resultater - Østdanmark'!J203</f>
        <v>4.4750020292873067</v>
      </c>
    </row>
    <row r="204" spans="1:10" hidden="1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692477.44690579211</v>
      </c>
      <c r="J204" s="282">
        <f>'Resultater - Vestdanmark'!J204+'Resultater - Østdanmark'!J204</f>
        <v>579620.37710016</v>
      </c>
    </row>
    <row r="205" spans="1:10" hidden="1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190659.22745855397</v>
      </c>
      <c r="J205" s="282">
        <f>'Resultater - Vestdanmark'!J205+'Resultater - Østdanmark'!J205</f>
        <v>159586.38625841995</v>
      </c>
    </row>
    <row r="206" spans="1:10" hidden="1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hidden="1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380500.84840702848</v>
      </c>
      <c r="J207" s="282">
        <f>'Resultater - Vestdanmark'!J207+'Resultater - Østdanmark'!J207</f>
        <v>318488.41608644737</v>
      </c>
    </row>
    <row r="208" spans="1:10" hidden="1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7998.6666753199652</v>
      </c>
      <c r="J208" s="282">
        <f>'Resultater - Vestdanmark'!J208+'Resultater - Østdanmark'!J208</f>
        <v>0.19379124461201833</v>
      </c>
    </row>
    <row r="209" spans="1:10" hidden="1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2202.2661038698861</v>
      </c>
      <c r="J209" s="282">
        <f>'Resultater - Vestdanmark'!J209+'Resultater - Østdanmark'!J209</f>
        <v>5.3356378826566561E-2</v>
      </c>
    </row>
    <row r="210" spans="1:10" hidden="1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hidden="1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25760.171136526707</v>
      </c>
      <c r="J211" s="282">
        <f>'Resultater - Vestdanmark'!J211+'Resultater - Østdanmark'!J211</f>
        <v>0.62411597189932999</v>
      </c>
    </row>
    <row r="212" spans="1:10" hidden="1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0.10379771686059218</v>
      </c>
      <c r="J212" s="282">
        <f>'Resultater - Vestdanmark'!J212+'Resultater - Østdanmark'!J212</f>
        <v>9.8997822439293101E-2</v>
      </c>
    </row>
    <row r="213" spans="1:10" hidden="1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2.8578537246274467E-2</v>
      </c>
      <c r="J213" s="282">
        <f>'Resultater - Vestdanmark'!J213+'Resultater - Østdanmark'!J213</f>
        <v>2.7256986390955411E-2</v>
      </c>
    </row>
    <row r="214" spans="1:10" hidden="1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hidden="1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0.73375242649822725</v>
      </c>
      <c r="J215" s="282">
        <f>'Resultater - Vestdanmark'!J215+'Resultater - Østdanmark'!J215</f>
        <v>0.69982167845206633</v>
      </c>
    </row>
    <row r="216" spans="1:10" hidden="1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61602.473455954576</v>
      </c>
      <c r="J216" s="282">
        <f>'Resultater - Vestdanmark'!J216+'Resultater - Østdanmark'!J216</f>
        <v>70081.372867564816</v>
      </c>
    </row>
    <row r="217" spans="1:10" hidden="1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16960.956708596219</v>
      </c>
      <c r="J217" s="282">
        <f>'Resultater - Vestdanmark'!J217+'Resultater - Østdanmark'!J217</f>
        <v>19295.444883972592</v>
      </c>
    </row>
    <row r="218" spans="1:10" hidden="1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hidden="1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59384.525473929316</v>
      </c>
      <c r="J219" s="282">
        <f>'Resultater - Vestdanmark'!J219+'Resultater - Østdanmark'!J219</f>
        <v>67558.148866822172</v>
      </c>
    </row>
    <row r="220" spans="1:10" hidden="1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711.55768863106505</v>
      </c>
      <c r="J220" s="282">
        <f>'Resultater - Vestdanmark'!J220+'Resultater - Østdanmark'!J220</f>
        <v>2.34311232121804E-2</v>
      </c>
    </row>
    <row r="221" spans="1:10" hidden="1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195.91257421131527</v>
      </c>
      <c r="J221" s="282">
        <f>'Resultater - Vestdanmark'!J221+'Resultater - Østdanmark'!J221</f>
        <v>6.451271258121229E-3</v>
      </c>
    </row>
    <row r="222" spans="1:10" hidden="1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hidden="1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4020.3735299781574</v>
      </c>
      <c r="J223" s="282">
        <f>'Resultater - Vestdanmark'!J223+'Resultater - Østdanmark'!J223</f>
        <v>0.13238823646349424</v>
      </c>
    </row>
    <row r="224" spans="1:10" hidden="1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9.2337968929740652E-3</v>
      </c>
      <c r="J224" s="282">
        <f>'Resultater - Vestdanmark'!J224+'Resultater - Østdanmark'!J224</f>
        <v>1.1969736713114529E-2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2.542333457920023E-3</v>
      </c>
      <c r="J225" s="282">
        <f>'Resultater - Vestdanmark'!J225+'Resultater - Østdanmark'!J225</f>
        <v>3.2956174454518818E-3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0.11451627465579269</v>
      </c>
      <c r="J227" s="282">
        <f>'Resultater - Vestdanmark'!J227+'Resultater - Østdanmark'!J227</f>
        <v>0.14844702270195345</v>
      </c>
    </row>
    <row r="228" spans="1:10" hidden="1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1619642.3843455999</v>
      </c>
      <c r="J228" s="282">
        <f>'Resultater - Vestdanmark'!J228+'Resultater - Østdanmark'!J228</f>
        <v>1355679.8618879998</v>
      </c>
    </row>
    <row r="229" spans="1:10" hidden="1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-2510237.4389999998</v>
      </c>
      <c r="J229" s="282">
        <f>'Resultater - Vestdanmark'!J229+'Resultater - Østdanmark'!J229</f>
        <v>-2101129.4699999997</v>
      </c>
    </row>
    <row r="230" spans="1:10" hidden="1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42277.872045225391</v>
      </c>
      <c r="J230" s="282">
        <f>'Resultater - Vestdanmark'!J230+'Resultater - Østdanmark'!J230</f>
        <v>35387.601787383042</v>
      </c>
    </row>
    <row r="231" spans="1:10" hidden="1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10766.277102214191</v>
      </c>
      <c r="J231" s="282">
        <f>'Resultater - Vestdanmark'!J231+'Resultater - Østdanmark'!J231</f>
        <v>0.26084475377934313</v>
      </c>
    </row>
    <row r="232" spans="1:10" hidden="1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-10815.223714682928</v>
      </c>
      <c r="J232" s="282">
        <f>'Resultater - Vestdanmark'!J232+'Resultater - Østdanmark'!J232</f>
        <v>-0.26203062954275957</v>
      </c>
    </row>
    <row r="233" spans="1:10" hidden="1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1647.1785920113348</v>
      </c>
      <c r="J233" s="282">
        <f>'Resultater - Vestdanmark'!J233+'Resultater - Østdanmark'!J233</f>
        <v>3.9907749929215405E-2</v>
      </c>
    </row>
    <row r="234" spans="1:10" hidden="1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0.15378751976686955</v>
      </c>
      <c r="J234" s="282">
        <f>'Resultater - Vestdanmark'!J234+'Resultater - Østdanmark'!J234</f>
        <v>0.14667595815915305</v>
      </c>
    </row>
    <row r="235" spans="1:10" hidden="1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-9.4583683072740787E-2</v>
      </c>
      <c r="J235" s="282">
        <f>'Resultater - Vestdanmark'!J235+'Resultater - Østdanmark'!J235</f>
        <v>-9.020987113874121E-2</v>
      </c>
    </row>
    <row r="236" spans="1:10" hidden="1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5.1644827751279834E-2</v>
      </c>
      <c r="J236" s="282">
        <f>'Resultater - Vestdanmark'!J236+'Resultater - Østdanmark'!J236</f>
        <v>4.9256627624053022E-2</v>
      </c>
    </row>
    <row r="237" spans="1:10" hidden="1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144082.63754380797</v>
      </c>
      <c r="J237" s="282">
        <f>'Resultater - Vestdanmark'!J237+'Resultater - Østdanmark'!J237</f>
        <v>163914.01966463996</v>
      </c>
    </row>
    <row r="238" spans="1:10" hidden="1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-223309.56176999997</v>
      </c>
      <c r="J238" s="282">
        <f>'Resultater - Vestdanmark'!J238+'Resultater - Østdanmark'!J238</f>
        <v>-254045.65409999993</v>
      </c>
    </row>
    <row r="239" spans="1:10" hidden="1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6598.280608214367</v>
      </c>
      <c r="J239" s="282">
        <f>'Resultater - Vestdanmark'!J239+'Resultater - Østdanmark'!J239</f>
        <v>7506.4609852024632</v>
      </c>
    </row>
    <row r="240" spans="1:10" hidden="1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957.76303238772471</v>
      </c>
      <c r="J240" s="282">
        <f>'Resultater - Vestdanmark'!J240+'Resultater - Østdanmark'!J240</f>
        <v>3.1538502047866034E-2</v>
      </c>
    </row>
    <row r="241" spans="1:10" hidden="1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-962.117300398672</v>
      </c>
      <c r="J241" s="282">
        <f>'Resultater - Vestdanmark'!J241+'Resultater - Østdanmark'!J241</f>
        <v>-3.1681885208351836E-2</v>
      </c>
    </row>
    <row r="242" spans="1:10" hidden="1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257.07411551621988</v>
      </c>
      <c r="J242" s="282">
        <f>'Resultater - Vestdanmark'!J242+'Resultater - Østdanmark'!J242</f>
        <v>8.465280288015388E-3</v>
      </c>
    </row>
    <row r="243" spans="1:10" hidden="1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1.368086664284464E-2</v>
      </c>
      <c r="J243" s="282">
        <f>'Resultater - Vestdanmark'!J243+'Resultater - Østdanmark'!J243</f>
        <v>1.773445675924305E-2</v>
      </c>
    </row>
    <row r="244" spans="1:10" hidden="1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-8.4141207080316791E-3</v>
      </c>
      <c r="J244" s="282">
        <f>'Resultater - Vestdanmark'!J244+'Resultater - Østdanmark'!J244</f>
        <v>-1.0907193510411434E-2</v>
      </c>
    </row>
    <row r="245" spans="1:10" hidden="1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8.0601754293904947E-3</v>
      </c>
      <c r="J245" s="282">
        <f>'Resultater - Vestdanmark'!J245+'Resultater - Østdanmark'!J245</f>
        <v>1.0448375556617307E-2</v>
      </c>
    </row>
    <row r="246" spans="1:10" hidden="1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84616.199254895997</v>
      </c>
      <c r="J246" s="282">
        <f>'Resultater - Vestdanmark'!J246+'Resultater - Østdanmark'!J246</f>
        <v>70825.806010080007</v>
      </c>
    </row>
    <row r="247" spans="1:10" hidden="1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-1301604.598</v>
      </c>
      <c r="J247" s="282">
        <f>'Resultater - Vestdanmark'!J247+'Resultater - Østdanmark'!J247</f>
        <v>-1089474.54</v>
      </c>
    </row>
    <row r="248" spans="1:10" hidden="1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18275.405907012693</v>
      </c>
      <c r="J248" s="282">
        <f>'Resultater - Vestdanmark'!J248+'Resultater - Østdanmark'!J248</f>
        <v>15296.956905691521</v>
      </c>
    </row>
    <row r="249" spans="1:10" hidden="1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893.53748626041113</v>
      </c>
      <c r="J249" s="282">
        <f>'Resultater - Vestdanmark'!J249+'Resultater - Østdanmark'!J249</f>
        <v>2.1648575768810095E-2</v>
      </c>
    </row>
    <row r="250" spans="1:10" hidden="1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-11453.99768644791</v>
      </c>
      <c r="J250" s="282">
        <f>'Resultater - Vestdanmark'!J250+'Resultater - Østdanmark'!J250</f>
        <v>-0.27750680926505333</v>
      </c>
    </row>
    <row r="251" spans="1:10" hidden="1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872.27873299137991</v>
      </c>
      <c r="J251" s="282">
        <f>'Resultater - Vestdanmark'!J251+'Resultater - Østdanmark'!J251</f>
        <v>2.1133519894857723E-2</v>
      </c>
    </row>
    <row r="252" spans="1:10" hidden="1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1.9793213778413025E-2</v>
      </c>
      <c r="J252" s="282">
        <f>'Resultater - Vestdanmark'!J252+'Resultater - Østdanmark'!J252</f>
        <v>1.8877920655711849E-2</v>
      </c>
    </row>
    <row r="253" spans="1:10" hidden="1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-0.21747725351173711</v>
      </c>
      <c r="J253" s="282">
        <f>'Resultater - Vestdanmark'!J253+'Resultater - Østdanmark'!J253</f>
        <v>-0.20742050190425795</v>
      </c>
    </row>
    <row r="254" spans="1:10" hidden="1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4.427478722479776E-2</v>
      </c>
      <c r="J254" s="282">
        <f>'Resultater - Vestdanmark'!J254+'Resultater - Østdanmark'!J254</f>
        <v>4.2227398220182844E-2</v>
      </c>
    </row>
    <row r="255" spans="1:10" hidden="1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7527.4179568372801</v>
      </c>
      <c r="J255" s="282">
        <f>'Resultater - Vestdanmark'!J255+'Resultater - Østdanmark'!J255</f>
        <v>8563.4838175823988</v>
      </c>
    </row>
    <row r="256" spans="1:10" hidden="1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-115790.14314</v>
      </c>
      <c r="J256" s="282">
        <f>'Resultater - Vestdanmark'!J256+'Resultater - Østdanmark'!J256</f>
        <v>-131727.37619999997</v>
      </c>
    </row>
    <row r="257" spans="1:10" hidden="1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2852.2309797071835</v>
      </c>
      <c r="J257" s="282">
        <f>'Resultater - Vestdanmark'!J257+'Resultater - Østdanmark'!J257</f>
        <v>3244.8090406012316</v>
      </c>
    </row>
    <row r="258" spans="1:10" hidden="1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79.488681581200737</v>
      </c>
      <c r="J258" s="282">
        <f>'Resultater - Vestdanmark'!J258+'Resultater - Østdanmark'!J258</f>
        <v>2.6175096156834015E-3</v>
      </c>
    </row>
    <row r="259" spans="1:10" hidden="1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-1018.942337540077</v>
      </c>
      <c r="J259" s="282">
        <f>'Resultater - Vestdanmark'!J259+'Resultater - Østdanmark'!J259</f>
        <v>-3.3553096029320072E-2</v>
      </c>
    </row>
    <row r="260" spans="1:10" hidden="1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136.13598722986853</v>
      </c>
      <c r="J260" s="282">
        <f>'Resultater - Vestdanmark'!J260+'Resultater - Østdanmark'!J260</f>
        <v>4.4828678564849704E-3</v>
      </c>
    </row>
    <row r="261" spans="1:10" hidden="1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1.7607951447963957E-3</v>
      </c>
      <c r="J261" s="282">
        <f>'Resultater - Vestdanmark'!J261+'Resultater - Østdanmark'!J261</f>
        <v>2.2825122247360679E-3</v>
      </c>
    </row>
    <row r="262" spans="1:10" hidden="1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-1.9346675904888058E-2</v>
      </c>
      <c r="J262" s="282">
        <f>'Resultater - Vestdanmark'!J262+'Resultater - Østdanmark'!J262</f>
        <v>-2.5079024321151184E-2</v>
      </c>
    </row>
    <row r="263" spans="1:10" hidden="1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6.9099378905753727E-3</v>
      </c>
      <c r="J263" s="282">
        <f>'Resultater - Vestdanmark'!J263+'Resultater - Østdanmark'!J263</f>
        <v>8.9573268951902985E-3</v>
      </c>
    </row>
    <row r="264" spans="1:10" hidden="1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1484817.1336138502</v>
      </c>
      <c r="J264" s="282">
        <f>'Resultater - Vestdanmark'!J264+'Resultater - Østdanmark'!J264</f>
        <v>1242827.8650165522</v>
      </c>
    </row>
    <row r="265" spans="1:10" hidden="1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-6604868.5702083344</v>
      </c>
      <c r="J265" s="282">
        <f>'Resultater - Vestdanmark'!J265+'Resultater - Østdanmark'!J265</f>
        <v>-5528434.7937500002</v>
      </c>
    </row>
    <row r="266" spans="1:10" hidden="1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105694.68011306348</v>
      </c>
      <c r="J266" s="282">
        <f>'Resultater - Vestdanmark'!J266+'Resultater - Østdanmark'!J266</f>
        <v>88469.004468457613</v>
      </c>
    </row>
    <row r="267" spans="1:10" hidden="1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48630.002893936369</v>
      </c>
      <c r="J267" s="282">
        <f>'Resultater - Vestdanmark'!J267+'Resultater - Østdanmark'!J267</f>
        <v>1.1782049645078942</v>
      </c>
    </row>
    <row r="268" spans="1:10" hidden="1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-158591.94843521391</v>
      </c>
      <c r="J268" s="282">
        <f>'Resultater - Vestdanmark'!J268+'Resultater - Østdanmark'!J268</f>
        <v>-3.8423567727290351</v>
      </c>
    </row>
    <row r="269" spans="1:10" hidden="1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20289.231748159636</v>
      </c>
      <c r="J269" s="282">
        <f>'Resultater - Vestdanmark'!J269+'Resultater - Østdanmark'!J269</f>
        <v>0.49156636128256415</v>
      </c>
    </row>
    <row r="270" spans="1:10" hidden="1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1.0665652868322271</v>
      </c>
      <c r="J270" s="282">
        <f>'Resultater - Vestdanmark'!J270+'Resultater - Østdanmark'!J270</f>
        <v>1.0172443487128175</v>
      </c>
    </row>
    <row r="271" spans="1:10" hidden="1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-2.5739256860079429</v>
      </c>
      <c r="J271" s="282">
        <f>'Resultater - Vestdanmark'!J271+'Resultater - Østdanmark'!J271</f>
        <v>-2.4549002207590203</v>
      </c>
    </row>
    <row r="272" spans="1:10" hidden="1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0.97674086194302023</v>
      </c>
      <c r="J272" s="282">
        <f>'Resultater - Vestdanmark'!J272+'Resultater - Østdanmark'!J272</f>
        <v>0.93157365445432549</v>
      </c>
    </row>
    <row r="273" spans="1:10" hidden="1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132088.64558564828</v>
      </c>
      <c r="J273" s="282">
        <f>'Resultater - Vestdanmark'!J273+'Resultater - Østdanmark'!J273</f>
        <v>150269.18731563765</v>
      </c>
    </row>
    <row r="274" spans="1:10" hidden="1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-587566.05373124999</v>
      </c>
      <c r="J274" s="282">
        <f>'Resultater - Vestdanmark'!J274+'Resultater - Østdanmark'!J274</f>
        <v>-668438.02506249992</v>
      </c>
    </row>
    <row r="275" spans="1:10" hidden="1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16495.70152053592</v>
      </c>
      <c r="J275" s="282">
        <f>'Resultater - Vestdanmark'!J275+'Resultater - Østdanmark'!J275</f>
        <v>18766.152463006158</v>
      </c>
    </row>
    <row r="276" spans="1:10" hidden="1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4326.102569581969</v>
      </c>
      <c r="J276" s="282">
        <f>'Resultater - Vestdanmark'!J276+'Resultater - Østdanmark'!J276</f>
        <v>0.14245569116322718</v>
      </c>
    </row>
    <row r="277" spans="1:10" hidden="1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-14108.266395479435</v>
      </c>
      <c r="J277" s="282">
        <f>'Resultater - Vestdanmark'!J277+'Resultater - Østdanmark'!J277</f>
        <v>-0.46457586433905607</v>
      </c>
    </row>
    <row r="278" spans="1:10" hidden="1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3166.5274982676897</v>
      </c>
      <c r="J278" s="282">
        <f>'Resultater - Vestdanmark'!J278+'Resultater - Østdanmark'!J278</f>
        <v>0.10427165239327119</v>
      </c>
    </row>
    <row r="279" spans="1:10" hidden="1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9.4881154707213713E-2</v>
      </c>
      <c r="J279" s="282">
        <f>'Resultater - Vestdanmark'!J279+'Resultater - Østdanmark'!J279</f>
        <v>0.12299408943527704</v>
      </c>
    </row>
    <row r="280" spans="1:10" hidden="1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-0.22897523877261411</v>
      </c>
      <c r="J280" s="282">
        <f>'Resultater - Vestdanmark'!J280+'Resultater - Østdanmark'!J280</f>
        <v>-0.29681975396449972</v>
      </c>
    </row>
    <row r="281" spans="1:10" hidden="1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0.15243932527434423</v>
      </c>
      <c r="J281" s="282">
        <f>'Resultater - Vestdanmark'!J281+'Resultater - Østdanmark'!J281</f>
        <v>0.19760653276303877</v>
      </c>
    </row>
    <row r="282" spans="1:10" hidden="1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4436121.3531630412</v>
      </c>
      <c r="J282" s="282">
        <f>'Resultater - Vestdanmark'!J282+'Resultater - Østdanmark'!J282</f>
        <v>3713140.9016592009</v>
      </c>
    </row>
    <row r="283" spans="1:10" hidden="1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-14875481.120000001</v>
      </c>
      <c r="J283" s="282">
        <f>'Resultater - Vestdanmark'!J283+'Resultater - Østdanmark'!J283</f>
        <v>-12451137.599999998</v>
      </c>
    </row>
    <row r="284" spans="1:10" hidden="1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211389.36022612697</v>
      </c>
      <c r="J284" s="282">
        <f>'Resultater - Vestdanmark'!J284+'Resultater - Østdanmark'!J284</f>
        <v>176938.00893691523</v>
      </c>
    </row>
    <row r="285" spans="1:10" hidden="1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222661.32292786438</v>
      </c>
      <c r="J285" s="282">
        <f>'Resultater - Vestdanmark'!J285+'Resultater - Østdanmark'!J285</f>
        <v>5.3946259606343334</v>
      </c>
    </row>
    <row r="286" spans="1:10" hidden="1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-505538.8215038316</v>
      </c>
      <c r="J286" s="282">
        <f>'Resultater - Vestdanmark'!J286+'Resultater - Østdanmark'!J286</f>
        <v>-12.248166025118719</v>
      </c>
    </row>
    <row r="287" spans="1:10" hidden="1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62187.864033754318</v>
      </c>
      <c r="J287" s="282">
        <f>'Resultater - Vestdanmark'!J287+'Resultater - Østdanmark'!J287</f>
        <v>1.5066840587378292</v>
      </c>
    </row>
    <row r="288" spans="1:10" hidden="1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2.8835758191138265</v>
      </c>
      <c r="J288" s="282">
        <f>'Resultater - Vestdanmark'!J288+'Resultater - Østdanmark'!J288</f>
        <v>2.7502312725652098</v>
      </c>
    </row>
    <row r="289" spans="1:10" hidden="1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-4.3166909784920309</v>
      </c>
      <c r="J289" s="282">
        <f>'Resultater - Vestdanmark'!J289+'Resultater - Østdanmark'!J289</f>
        <v>-4.1170752107004924</v>
      </c>
    </row>
    <row r="290" spans="1:10" hidden="1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1.7677580963008739</v>
      </c>
      <c r="J290" s="282">
        <f>'Resultater - Vestdanmark'!J290+'Resultater - Østdanmark'!J290</f>
        <v>1.6860120571655735</v>
      </c>
    </row>
    <row r="291" spans="1:10" hidden="1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574644.39031435689</v>
      </c>
      <c r="J291" s="282">
        <f>'Resultater - Vestdanmark'!J291+'Resultater - Østdanmark'!J291</f>
        <v>653737.83753454406</v>
      </c>
    </row>
    <row r="292" spans="1:10" hidden="1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-1926933.7103999997</v>
      </c>
      <c r="J292" s="282">
        <f>'Resultater - Vestdanmark'!J292+'Resultater - Østdanmark'!J292</f>
        <v>-2192154.8319999995</v>
      </c>
    </row>
    <row r="293" spans="1:10" hidden="1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32991.403041071841</v>
      </c>
      <c r="J293" s="282">
        <f>'Resultater - Vestdanmark'!J293+'Resultater - Østdanmark'!J293</f>
        <v>37532.304926012315</v>
      </c>
    </row>
    <row r="294" spans="1:10" hidden="1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28843.007207014107</v>
      </c>
      <c r="J294" s="282">
        <f>'Resultater - Vestdanmark'!J294+'Resultater - Østdanmark'!J294</f>
        <v>0.94978111609955984</v>
      </c>
    </row>
    <row r="295" spans="1:10" hidden="1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-65486.271617924089</v>
      </c>
      <c r="J295" s="282">
        <f>'Resultater - Vestdanmark'!J295+'Resultater - Østdanmark'!J295</f>
        <v>-2.1564195335133256</v>
      </c>
    </row>
    <row r="296" spans="1:10" hidden="1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9705.6203983316009</v>
      </c>
      <c r="J296" s="282">
        <f>'Resultater - Vestdanmark'!J296+'Resultater - Østdanmark'!J296</f>
        <v>0.31959964882317582</v>
      </c>
    </row>
    <row r="297" spans="1:10" hidden="1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0.37353141101931125</v>
      </c>
      <c r="J297" s="282">
        <f>'Resultater - Vestdanmark'!J297+'Resultater - Østdanmark'!J297</f>
        <v>0.48420738465466268</v>
      </c>
    </row>
    <row r="298" spans="1:10" hidden="1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-0.55917366952604863</v>
      </c>
      <c r="J298" s="282">
        <f>'Resultater - Vestdanmark'!J298+'Resultater - Østdanmark'!J298</f>
        <v>-0.72485475679302602</v>
      </c>
    </row>
    <row r="299" spans="1:10" hidden="1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0.27589288208163931</v>
      </c>
      <c r="J299" s="282">
        <f>'Resultater - Vestdanmark'!J299+'Resultater - Østdanmark'!J299</f>
        <v>0.3576389212169398</v>
      </c>
    </row>
    <row r="300" spans="1:10" hidden="1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877058.36683520011</v>
      </c>
      <c r="J300" s="282">
        <f>'Resultater - Vestdanmark'!J300+'Resultater - Østdanmark'!J300</f>
        <v>734119.07289600011</v>
      </c>
    </row>
    <row r="301" spans="1:10" hidden="1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434438.42610960006</v>
      </c>
      <c r="J301" s="282">
        <f>'Resultater - Vestdanmark'!J301+'Resultater - Østdanmark'!J301</f>
        <v>363635.47360799991</v>
      </c>
    </row>
    <row r="302" spans="1:10" hidden="1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-32540114.950000003</v>
      </c>
      <c r="J302" s="282">
        <f>'Resultater - Vestdanmark'!J302+'Resultater - Østdanmark'!J302</f>
        <v>-27236863.5</v>
      </c>
    </row>
    <row r="303" spans="1:10" hidden="1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422778.72045225394</v>
      </c>
      <c r="J303" s="282">
        <f>'Resultater - Vestdanmark'!J303+'Resultater - Østdanmark'!J303</f>
        <v>353876.01787383045</v>
      </c>
    </row>
    <row r="304" spans="1:10" hidden="1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10918.647972357969</v>
      </c>
      <c r="J304" s="282">
        <f>'Resultater - Vestdanmark'!J304+'Resultater - Østdanmark'!J304</f>
        <v>0.26453638661730722</v>
      </c>
    </row>
    <row r="305" spans="1:10" hidden="1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5408.3974564571645</v>
      </c>
      <c r="J305" s="282">
        <f>'Resultater - Vestdanmark'!J305+'Resultater - Østdanmark'!J305</f>
        <v>0.13103434822181911</v>
      </c>
    </row>
    <row r="306" spans="1:10" hidden="1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-279710.10642665671</v>
      </c>
      <c r="J306" s="282">
        <f>'Resultater - Vestdanmark'!J306+'Resultater - Østdanmark'!J306</f>
        <v>-6.7768006663256051</v>
      </c>
    </row>
    <row r="307" spans="1:10" hidden="1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30848.541610151206</v>
      </c>
      <c r="J307" s="282">
        <f>'Resultater - Vestdanmark'!J307+'Resultater - Østdanmark'!J307</f>
        <v>0.74739672445000616</v>
      </c>
    </row>
    <row r="308" spans="1:10" hidden="1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0.17291789557535811</v>
      </c>
      <c r="J308" s="282">
        <f>'Resultater - Vestdanmark'!J308+'Resultater - Østdanmark'!J308</f>
        <v>0.16492169231175774</v>
      </c>
    </row>
    <row r="309" spans="1:10" hidden="1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8.5652427752346216E-2</v>
      </c>
      <c r="J309" s="282">
        <f>'Resultater - Vestdanmark'!J309+'Resultater - Østdanmark'!J309</f>
        <v>8.1691621844723256E-2</v>
      </c>
    </row>
    <row r="310" spans="1:10" hidden="1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-3.0113572747816595</v>
      </c>
      <c r="J310" s="282">
        <f>'Resultater - Vestdanmark'!J310+'Resultater - Østdanmark'!J310</f>
        <v>-2.8721037591848191</v>
      </c>
    </row>
    <row r="311" spans="1:10" hidden="1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1.0723494152014124</v>
      </c>
      <c r="J311" s="282">
        <f>'Resultater - Vestdanmark'!J311+'Resultater - Østdanmark'!J311</f>
        <v>1.022761002937763</v>
      </c>
    </row>
    <row r="312" spans="1:10" hidden="1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75285.067904640018</v>
      </c>
      <c r="J312" s="282">
        <f>'Resultater - Vestdanmark'!J312+'Resultater - Østdanmark'!J312</f>
        <v>85647.225171200014</v>
      </c>
    </row>
    <row r="313" spans="1:10" hidden="1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37291.390911719995</v>
      </c>
      <c r="J313" s="282">
        <f>'Resultater - Vestdanmark'!J313+'Resultater - Østdanmark'!J313</f>
        <v>42424.138587599991</v>
      </c>
    </row>
    <row r="314" spans="1:10" hidden="1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-2793183.2775000008</v>
      </c>
      <c r="J314" s="282">
        <f>'Resultater - Vestdanmark'!J314+'Resultater - Østdanmark'!J314</f>
        <v>-3177634.0750000002</v>
      </c>
    </row>
    <row r="315" spans="1:10" hidden="1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65982.806082143681</v>
      </c>
      <c r="J315" s="282">
        <f>'Resultater - Vestdanmark'!J315+'Resultater - Østdanmark'!J315</f>
        <v>75064.609852024631</v>
      </c>
    </row>
    <row r="316" spans="1:10" hidden="1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937.23654560413797</v>
      </c>
      <c r="J316" s="282">
        <f>'Resultater - Vestdanmark'!J316+'Resultater - Østdanmark'!J316</f>
        <v>3.0862578438685843E-2</v>
      </c>
    </row>
    <row r="317" spans="1:10" hidden="1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464.24683369010933</v>
      </c>
      <c r="J317" s="282">
        <f>'Resultater - Vestdanmark'!J317+'Resultater - Østdanmark'!J317</f>
        <v>1.5287340625878896E-2</v>
      </c>
    </row>
    <row r="318" spans="1:10" hidden="1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-24009.798152808398</v>
      </c>
      <c r="J318" s="282">
        <f>'Resultater - Vestdanmark'!J318+'Resultater - Østdanmark'!J318</f>
        <v>-0.79062674440465386</v>
      </c>
    </row>
    <row r="319" spans="1:10" hidden="1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4814.5122744166629</v>
      </c>
      <c r="J319" s="282">
        <f>'Resultater - Vestdanmark'!J319+'Resultater - Østdanmark'!J319</f>
        <v>0.15853869912575885</v>
      </c>
    </row>
    <row r="320" spans="1:10" hidden="1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1.4842952308058197E-2</v>
      </c>
      <c r="J320" s="282">
        <f>'Resultater - Vestdanmark'!J320+'Resultater - Østdanmark'!J320</f>
        <v>1.9240864103038401E-2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7.3522459660250944E-3</v>
      </c>
      <c r="J321" s="282">
        <f>'Resultater - Vestdanmark'!J321+'Resultater - Østdanmark'!J321</f>
        <v>9.5306892152177136E-3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-0.25848933832663379</v>
      </c>
      <c r="J322" s="282">
        <f>'Resultater - Vestdanmark'!J322+'Resultater - Østdanmark'!J322</f>
        <v>-0.3350787719048956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0.16736089138981577</v>
      </c>
      <c r="J323" s="282">
        <f>'Resultater - Vestdanmark'!J323+'Resultater - Østdanmark'!J323</f>
        <v>0.21694930365346488</v>
      </c>
    </row>
    <row r="324" spans="1:10" hidden="1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1150546.9356079018</v>
      </c>
      <c r="J324" s="282">
        <f>'Resultater - Vestdanmark'!J324+'Resultater - Østdanmark'!J324</f>
        <v>963035.62183623167</v>
      </c>
    </row>
    <row r="325" spans="1:10" hidden="1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177265.39121649257</v>
      </c>
      <c r="J325" s="282">
        <f>'Resultater - Vestdanmark'!J325+'Resultater - Østdanmark'!J325</f>
        <v>148375.42126868566</v>
      </c>
    </row>
    <row r="326" spans="1:10" hidden="1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-11266868.08579402</v>
      </c>
      <c r="J326" s="282">
        <f>'Resultater - Vestdanmark'!J326+'Resultater - Østdanmark'!J326</f>
        <v>-9430641.1823317166</v>
      </c>
    </row>
    <row r="327" spans="1:10" hidden="1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170782.76337247706</v>
      </c>
      <c r="J327" s="282">
        <f>'Resultater - Vestdanmark'!J327+'Resultater - Østdanmark'!J327</f>
        <v>142949.30492029365</v>
      </c>
    </row>
    <row r="328" spans="1:10" hidden="1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68191.687435507061</v>
      </c>
      <c r="J328" s="282">
        <f>'Resultater - Vestdanmark'!J328+'Resultater - Østdanmark'!J328</f>
        <v>1.652144353147702</v>
      </c>
    </row>
    <row r="329" spans="1:10" hidden="1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10506.330317225278</v>
      </c>
      <c r="J329" s="282">
        <f>'Resultater - Vestdanmark'!J329+'Resultater - Østdanmark'!J329</f>
        <v>0.25454677774801682</v>
      </c>
    </row>
    <row r="330" spans="1:10" hidden="1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-500831.42402027285</v>
      </c>
      <c r="J330" s="282">
        <f>'Resultater - Vestdanmark'!J330+'Resultater - Østdanmark'!J330</f>
        <v>-12.134115464683008</v>
      </c>
    </row>
    <row r="331" spans="1:10" hidden="1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59326.985648627546</v>
      </c>
      <c r="J331" s="282">
        <f>'Resultater - Vestdanmark'!J331+'Resultater - Østdanmark'!J331</f>
        <v>1.43737085874807</v>
      </c>
    </row>
    <row r="332" spans="1:10" hidden="1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1.9522353676562767</v>
      </c>
      <c r="J332" s="282">
        <f>'Resultater - Vestdanmark'!J332+'Resultater - Østdanmark'!J332</f>
        <v>1.8619585876490501</v>
      </c>
    </row>
    <row r="333" spans="1:10" hidden="1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0.3007819633289599</v>
      </c>
      <c r="J333" s="282">
        <f>'Resultater - Vestdanmark'!J333+'Resultater - Østdanmark'!J333</f>
        <v>0.28687297080507734</v>
      </c>
    </row>
    <row r="334" spans="1:10" hidden="1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-10.924284382407746</v>
      </c>
      <c r="J334" s="282">
        <f>'Resultater - Vestdanmark'!J334+'Resultater - Østdanmark'!J334</f>
        <v>-10.419115162412011</v>
      </c>
    </row>
    <row r="335" spans="1:10" hidden="1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3.7280662934321382</v>
      </c>
      <c r="J335" s="282">
        <f>'Resultater - Vestdanmark'!J335+'Resultater - Østdanmark'!J335</f>
        <v>3.5556701642560853</v>
      </c>
    </row>
    <row r="336" spans="1:10" hidden="1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102352.12334685322</v>
      </c>
      <c r="J336" s="282">
        <f>'Resultater - Vestdanmark'!J336+'Resultater - Østdanmark'!J336</f>
        <v>116439.76154928983</v>
      </c>
    </row>
    <row r="337" spans="1:10" hidden="1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15769.447230183932</v>
      </c>
      <c r="J337" s="282">
        <f>'Resultater - Vestdanmark'!J337+'Resultater - Østdanmark'!J337</f>
        <v>17939.937298850178</v>
      </c>
    </row>
    <row r="338" spans="1:10" hidden="1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-1002295.3747998261</v>
      </c>
      <c r="J338" s="282">
        <f>'Resultater - Vestdanmark'!J338+'Resultater - Østdanmark'!J338</f>
        <v>-1140250.252045562</v>
      </c>
    </row>
    <row r="339" spans="1:10" hidden="1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26653.957289346123</v>
      </c>
      <c r="J339" s="282">
        <f>'Resultater - Vestdanmark'!J339+'Resultater - Østdanmark'!J339</f>
        <v>30322.579831577445</v>
      </c>
    </row>
    <row r="340" spans="1:10" hidden="1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6066.3009805344136</v>
      </c>
      <c r="J340" s="282">
        <f>'Resultater - Vestdanmark'!J340+'Resultater - Østdanmark'!J340</f>
        <v>0.19975927178967665</v>
      </c>
    </row>
    <row r="341" spans="1:10" hidden="1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934.63828660171703</v>
      </c>
      <c r="J341" s="282">
        <f>'Resultater - Vestdanmark'!J341+'Resultater - Østdanmark'!J341</f>
        <v>3.0777019491351122E-2</v>
      </c>
    </row>
    <row r="342" spans="1:10" hidden="1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-44553.731882497101</v>
      </c>
      <c r="J342" s="282">
        <f>'Resultater - Vestdanmark'!J342+'Resultater - Østdanmark'!J342</f>
        <v>-1.4671248698207631</v>
      </c>
    </row>
    <row r="343" spans="1:10" hidden="1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9259.124927820485</v>
      </c>
      <c r="J343" s="282">
        <f>'Resultater - Vestdanmark'!J343+'Resultater - Østdanmark'!J343</f>
        <v>0.30489684882534812</v>
      </c>
    </row>
    <row r="344" spans="1:10" hidden="1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0.1736699555389023</v>
      </c>
      <c r="J344" s="282">
        <f>'Resultater - Vestdanmark'!J344+'Resultater - Østdanmark'!J344</f>
        <v>0.22512772014302154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2.6757424367819038E-2</v>
      </c>
      <c r="J345" s="282">
        <f>'Resultater - Vestdanmark'!J345+'Resultater - Østdanmark'!J345</f>
        <v>3.4685550106432088E-2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-0.97181928696679309</v>
      </c>
      <c r="J346" s="282">
        <f>'Resultater - Vestdanmark'!J346+'Resultater - Østdanmark'!J346</f>
        <v>-1.2597657423643613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0.58183693596917774</v>
      </c>
      <c r="J347" s="282">
        <f>'Resultater - Vestdanmark'!J347+'Resultater - Østdanmark'!J347</f>
        <v>0.75423306514523047</v>
      </c>
    </row>
    <row r="348" spans="1:10" hidden="1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996657.23504000006</v>
      </c>
      <c r="J348" s="282">
        <f>'Resultater - Vestdanmark'!J348+'Resultater - Østdanmark'!J348</f>
        <v>834226.21919999993</v>
      </c>
    </row>
    <row r="349" spans="1:10" hidden="1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-2045378.6539999999</v>
      </c>
      <c r="J349" s="282">
        <f>'Resultater - Vestdanmark'!J349+'Resultater - Østdanmark'!J349</f>
        <v>-1712031.42</v>
      </c>
    </row>
    <row r="350" spans="1:10" hidden="1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36550.811814025386</v>
      </c>
      <c r="J350" s="282">
        <f>'Resultater - Vestdanmark'!J350+'Resultater - Østdanmark'!J350</f>
        <v>30593.913811383041</v>
      </c>
    </row>
    <row r="351" spans="1:10" hidden="1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22644.539498947848</v>
      </c>
      <c r="J351" s="282">
        <f>'Resultater - Vestdanmark'!J351+'Resultater - Østdanmark'!J351</f>
        <v>0.54863062449001043</v>
      </c>
    </row>
    <row r="352" spans="1:10" hidden="1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-35206.062653836831</v>
      </c>
      <c r="J352" s="282">
        <f>'Resultater - Vestdanmark'!J352+'Resultater - Østdanmark'!J352</f>
        <v>-0.85297049827426985</v>
      </c>
    </row>
    <row r="353" spans="1:10" hidden="1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3753.5627989775235</v>
      </c>
      <c r="J353" s="282">
        <f>'Resultater - Vestdanmark'!J353+'Resultater - Østdanmark'!J353</f>
        <v>9.0941107570820495E-2</v>
      </c>
    </row>
    <row r="354" spans="1:10" hidden="1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0.4957593907243395</v>
      </c>
      <c r="J354" s="282">
        <f>'Resultater - Vestdanmark'!J354+'Resultater - Østdanmark'!J354</f>
        <v>0.47283410097986134</v>
      </c>
    </row>
    <row r="355" spans="1:10" hidden="1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-0.59459415198814702</v>
      </c>
      <c r="J355" s="282">
        <f>'Resultater - Vestdanmark'!J355+'Resultater - Østdanmark'!J355</f>
        <v>-0.56709846865921532</v>
      </c>
    </row>
    <row r="356" spans="1:10" hidden="1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0.18829934214067076</v>
      </c>
      <c r="J356" s="282">
        <f>'Resultater - Vestdanmark'!J356+'Resultater - Østdanmark'!J356</f>
        <v>0.17959185811104433</v>
      </c>
    </row>
    <row r="357" spans="1:10" hidden="1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88662.166747200012</v>
      </c>
      <c r="J357" s="282">
        <f>'Resultater - Vestdanmark'!J357+'Resultater - Østdanmark'!J357</f>
        <v>100865.53377599998</v>
      </c>
    </row>
    <row r="358" spans="1:10" hidden="1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-181955.93921999997</v>
      </c>
      <c r="J358" s="282">
        <f>'Resultater - Vestdanmark'!J358+'Resultater - Østdanmark'!J358</f>
        <v>-207000.16259999998</v>
      </c>
    </row>
    <row r="359" spans="1:10" hidden="1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5704.4619594143669</v>
      </c>
      <c r="J359" s="282">
        <f>'Resultater - Vestdanmark'!J359+'Resultater - Østdanmark'!J359</f>
        <v>6489.6180812024631</v>
      </c>
    </row>
    <row r="360" spans="1:10" hidden="1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2014.4477623630485</v>
      </c>
      <c r="J360" s="282">
        <f>'Resultater - Vestdanmark'!J360+'Resultater - Østdanmark'!J360</f>
        <v>6.6334430051973967E-2</v>
      </c>
    </row>
    <row r="361" spans="1:10" hidden="1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-3131.9150534251376</v>
      </c>
      <c r="J361" s="282">
        <f>'Resultater - Vestdanmark'!J361+'Resultater - Østdanmark'!J361</f>
        <v>-0.10313188751861622</v>
      </c>
    </row>
    <row r="362" spans="1:10" hidden="1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585.81615937799506</v>
      </c>
      <c r="J362" s="282">
        <f>'Resultater - Vestdanmark'!J362+'Resultater - Østdanmark'!J362</f>
        <v>1.9290537969567985E-2</v>
      </c>
    </row>
    <row r="363" spans="1:10" hidden="1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4.4102526145939791E-2</v>
      </c>
      <c r="J363" s="282">
        <f>'Resultater - Vestdanmark'!J363+'Resultater - Østdanmark'!J363</f>
        <v>5.7169941300292335E-2</v>
      </c>
    </row>
    <row r="364" spans="1:10" hidden="1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-5.2894820804032266E-2</v>
      </c>
      <c r="J364" s="282">
        <f>'Resultater - Vestdanmark'!J364+'Resultater - Østdanmark'!J364</f>
        <v>-6.85673603015233E-2</v>
      </c>
    </row>
    <row r="365" spans="1:10" hidden="1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2.9387758599989076E-2</v>
      </c>
      <c r="J365" s="282">
        <f>'Resultater - Vestdanmark'!J365+'Resultater - Østdanmark'!J365</f>
        <v>3.8095242629615472E-2</v>
      </c>
    </row>
    <row r="366" spans="1:10" hidden="1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243087.13049756098</v>
      </c>
      <c r="J366" s="282">
        <f>'Resultater - Vestdanmark'!J366+'Resultater - Østdanmark'!J366</f>
        <v>203469.80956097561</v>
      </c>
    </row>
    <row r="367" spans="1:10" hidden="1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-1115661.0839999998</v>
      </c>
      <c r="J367" s="282">
        <f>'Resultater - Vestdanmark'!J367+'Resultater - Østdanmark'!J367</f>
        <v>-933835.32</v>
      </c>
    </row>
    <row r="368" spans="1:10" hidden="1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18275.405907012693</v>
      </c>
      <c r="J368" s="282">
        <f>'Resultater - Vestdanmark'!J368+'Resultater - Østdanmark'!J368</f>
        <v>15296.956905691521</v>
      </c>
    </row>
    <row r="369" spans="1:10" hidden="1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18540.644050201445</v>
      </c>
      <c r="J369" s="282">
        <f>'Resultater - Vestdanmark'!J369+'Resultater - Østdanmark'!J369</f>
        <v>0.44920167726012794</v>
      </c>
    </row>
    <row r="370" spans="1:10" hidden="1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-70911.045341255522</v>
      </c>
      <c r="J370" s="282">
        <f>'Resultater - Vestdanmark'!J370+'Resultater - Østdanmark'!J370</f>
        <v>-1.7180288029538475</v>
      </c>
    </row>
    <row r="371" spans="1:10" hidden="1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6300.265772561419</v>
      </c>
      <c r="J371" s="282">
        <f>'Resultater - Vestdanmark'!J371+'Resultater - Østdanmark'!J371</f>
        <v>0.15264248343025688</v>
      </c>
    </row>
    <row r="372" spans="1:10" hidden="1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0.58444774419750334</v>
      </c>
      <c r="J372" s="282">
        <f>'Resultater - Vestdanmark'!J372+'Resultater - Østdanmark'!J372</f>
        <v>0.55742125891669392</v>
      </c>
    </row>
    <row r="373" spans="1:10" hidden="1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-1.9159667520333934</v>
      </c>
      <c r="J373" s="282">
        <f>'Resultater - Vestdanmark'!J373+'Resultater - Østdanmark'!J373</f>
        <v>-1.8273671334422537</v>
      </c>
    </row>
    <row r="374" spans="1:10" hidden="1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0.45506915653932994</v>
      </c>
      <c r="J374" s="282">
        <f>'Resultater - Vestdanmark'!J374+'Resultater - Østdanmark'!J374</f>
        <v>0.43402549612132624</v>
      </c>
    </row>
    <row r="375" spans="1:10" hidden="1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21624.918718829267</v>
      </c>
      <c r="J375" s="282">
        <f>'Resultater - Vestdanmark'!J375+'Resultater - Østdanmark'!J375</f>
        <v>24601.349701463412</v>
      </c>
    </row>
    <row r="376" spans="1:10" hidden="1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-99248.69412</v>
      </c>
      <c r="J376" s="282">
        <f>'Resultater - Vestdanmark'!J376+'Resultater - Østdanmark'!J376</f>
        <v>-112909.17959999997</v>
      </c>
    </row>
    <row r="377" spans="1:10" hidden="1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2852.2309797071835</v>
      </c>
      <c r="J377" s="282">
        <f>'Resultater - Vestdanmark'!J377+'Resultater - Østdanmark'!J377</f>
        <v>3244.8090406012316</v>
      </c>
    </row>
    <row r="378" spans="1:10" hidden="1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1649.3671209976892</v>
      </c>
      <c r="J378" s="282">
        <f>'Resultater - Vestdanmark'!J378+'Resultater - Østdanmark'!J378</f>
        <v>5.4312566432360924E-2</v>
      </c>
    </row>
    <row r="379" spans="1:10" hidden="1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-6308.2138023232519</v>
      </c>
      <c r="J379" s="282">
        <f>'Resultater - Vestdanmark'!J379+'Resultater - Østdanmark'!J379</f>
        <v>-0.20772530072078338</v>
      </c>
    </row>
    <row r="380" spans="1:10" hidden="1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983.27847317432554</v>
      </c>
      <c r="J380" s="282">
        <f>'Resultater - Vestdanmark'!J380+'Resultater - Østdanmark'!J380</f>
        <v>3.237870860641813E-2</v>
      </c>
    </row>
    <row r="381" spans="1:10" hidden="1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5.1992201058957084E-2</v>
      </c>
      <c r="J381" s="282">
        <f>'Resultater - Vestdanmark'!J381+'Resultater - Østdanmark'!J381</f>
        <v>6.7397297669018433E-2</v>
      </c>
    </row>
    <row r="382" spans="1:10" hidden="1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-0.17044351626470475</v>
      </c>
      <c r="J382" s="282">
        <f>'Resultater - Vestdanmark'!J382+'Resultater - Østdanmark'!J382</f>
        <v>-0.22094529886165429</v>
      </c>
    </row>
    <row r="383" spans="1:10" hidden="1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7.1022353910762476E-2</v>
      </c>
      <c r="J383" s="282">
        <f>'Resultater - Vestdanmark'!J383+'Resultater - Østdanmark'!J383</f>
        <v>9.2066014328766155E-2</v>
      </c>
    </row>
    <row r="384" spans="1:10" hidden="1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3573414.8505124166</v>
      </c>
      <c r="J384" s="282">
        <f>'Resultater - Vestdanmark'!J384+'Resultater - Østdanmark'!J384</f>
        <v>2991034.68631968</v>
      </c>
    </row>
    <row r="385" spans="1:10" hidden="1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-12086328.41</v>
      </c>
      <c r="J385" s="282">
        <f>'Resultater - Vestdanmark'!J385+'Resultater - Østdanmark'!J385</f>
        <v>-10116549.299999999</v>
      </c>
    </row>
    <row r="386" spans="1:10" hidden="1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475160.55358233006</v>
      </c>
      <c r="J386" s="282">
        <f>'Resultater - Vestdanmark'!J386+'Resultater - Østdanmark'!J386</f>
        <v>397720.87954797957</v>
      </c>
    </row>
    <row r="387" spans="1:10" hidden="1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297008.3510339901</v>
      </c>
      <c r="J387" s="282">
        <f>'Resultater - Vestdanmark'!J387+'Resultater - Østdanmark'!J387</f>
        <v>7.1959015600262219</v>
      </c>
    </row>
    <row r="388" spans="1:10" hidden="1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-837140.52740396897</v>
      </c>
      <c r="J388" s="282">
        <f>'Resultater - Vestdanmark'!J388+'Resultater - Østdanmark'!J388</f>
        <v>-20.282193433739515</v>
      </c>
    </row>
    <row r="389" spans="1:10" hidden="1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178506.7289163341</v>
      </c>
      <c r="J389" s="282">
        <f>'Resultater - Vestdanmark'!J389+'Resultater - Østdanmark'!J389</f>
        <v>4.3248509498550236</v>
      </c>
    </row>
    <row r="390" spans="1:10" hidden="1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12.146381411257909</v>
      </c>
      <c r="J390" s="282">
        <f>'Resultater - Vestdanmark'!J390+'Resultater - Østdanmark'!J390</f>
        <v>11.584699033858699</v>
      </c>
    </row>
    <row r="391" spans="1:10" hidden="1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-29.344710646122667</v>
      </c>
      <c r="J391" s="282">
        <f>'Resultater - Vestdanmark'!J391+'Resultater - Østdanmark'!J391</f>
        <v>-27.98772980699561</v>
      </c>
    </row>
    <row r="392" spans="1:10" hidden="1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16.727479482761705</v>
      </c>
      <c r="J392" s="282">
        <f>'Resultater - Vestdanmark'!J392+'Resultater - Østdanmark'!J392</f>
        <v>15.953954419975037</v>
      </c>
    </row>
    <row r="393" spans="1:10" hidden="1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557700.58360598411</v>
      </c>
      <c r="J393" s="282">
        <f>'Resultater - Vestdanmark'!J393+'Resultater - Østdanmark'!J393</f>
        <v>634461.90315872012</v>
      </c>
    </row>
    <row r="394" spans="1:10" hidden="1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-1886305.5900000003</v>
      </c>
      <c r="J394" s="282">
        <f>'Resultater - Vestdanmark'!J394+'Resultater - Østdanmark'!J394</f>
        <v>-2145934.6999999997</v>
      </c>
    </row>
    <row r="395" spans="1:10" hidden="1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74158.00547238678</v>
      </c>
      <c r="J395" s="282">
        <f>'Resultater - Vestdanmark'!J395+'Resultater - Østdanmark'!J395</f>
        <v>84365.035055632034</v>
      </c>
    </row>
    <row r="396" spans="1:10" hidden="1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46353.904496634292</v>
      </c>
      <c r="J396" s="282">
        <f>'Resultater - Vestdanmark'!J396+'Resultater - Østdanmark'!J396</f>
        <v>1.5264033612176835</v>
      </c>
    </row>
    <row r="397" spans="1:10" hidden="1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-130651.98982605297</v>
      </c>
      <c r="J397" s="282">
        <f>'Resultater - Vestdanmark'!J397+'Resultater - Østdanmark'!J397</f>
        <v>-4.3022834556417155</v>
      </c>
    </row>
    <row r="398" spans="1:10" hidden="1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27859.431680583933</v>
      </c>
      <c r="J398" s="282">
        <f>'Resultater - Vestdanmark'!J398+'Resultater - Østdanmark'!J398</f>
        <v>0.91739262572682323</v>
      </c>
    </row>
    <row r="399" spans="1:10" hidden="1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1.895678023722333</v>
      </c>
      <c r="J399" s="282">
        <f>'Resultater - Vestdanmark'!J399+'Resultater - Østdanmark'!J399</f>
        <v>2.4573604011215426</v>
      </c>
    </row>
    <row r="400" spans="1:10" hidden="1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-4.5798103320538273</v>
      </c>
      <c r="J400" s="282">
        <f>'Resultater - Vestdanmark'!J400+'Resultater - Østdanmark'!J400</f>
        <v>-5.9367911711808867</v>
      </c>
    </row>
    <row r="401" spans="1:10" hidden="1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2.610647086905006</v>
      </c>
      <c r="J401" s="282">
        <f>'Resultater - Vestdanmark'!J401+'Resultater - Østdanmark'!J401</f>
        <v>3.3841721496916741</v>
      </c>
    </row>
    <row r="402" spans="1:10" hidden="1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790297.95420758065</v>
      </c>
      <c r="J402" s="282">
        <f>'Resultater - Vestdanmark'!J402+'Resultater - Østdanmark'!J402</f>
        <v>847372.33144122665</v>
      </c>
    </row>
    <row r="403" spans="1:10" hidden="1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856156.11705821252</v>
      </c>
      <c r="J403" s="282">
        <f>'Resultater - Vestdanmark'!J403+'Resultater - Østdanmark'!J403</f>
        <v>917986.69239466218</v>
      </c>
    </row>
    <row r="404" spans="1:10" hidden="1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2679978.7351939101</v>
      </c>
      <c r="J404" s="282">
        <f>'Resultater - Vestdanmark'!J404+'Resultater - Østdanmark'!J404</f>
        <v>1972648.0591968396</v>
      </c>
    </row>
    <row r="405" spans="1:10" hidden="1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104331.85268210551</v>
      </c>
      <c r="J405" s="282">
        <f>'Resultater - Vestdanmark'!J405+'Resultater - Østdanmark'!J405</f>
        <v>76795.395427223266</v>
      </c>
    </row>
    <row r="406" spans="1:10" s="171" customFormat="1" hidden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13709.205442428665</v>
      </c>
      <c r="J406" s="282">
        <f>'Resultater - Vestdanmark'!J406+'Resultater - Østdanmark'!J406</f>
        <v>10090.914959137137</v>
      </c>
    </row>
    <row r="407" spans="1:10" hidden="1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1388963.5194082048</v>
      </c>
      <c r="J407" s="282">
        <f>'Resultater - Vestdanmark'!J407+'Resultater - Østdanmark'!J407</f>
        <v>1022372.3624648681</v>
      </c>
    </row>
    <row r="408" spans="1:10" hidden="1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1183262.353357573</v>
      </c>
      <c r="J408" s="282">
        <f>'Resultater - Vestdanmark'!J408+'Resultater - Østdanmark'!J408</f>
        <v>767167.43523730396</v>
      </c>
    </row>
    <row r="409" spans="1:10" hidden="1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22669.448757915208</v>
      </c>
      <c r="J409" s="282">
        <f>'Resultater - Vestdanmark'!J409+'Resultater - Østdanmark'!J409</f>
        <v>14697.723469782179</v>
      </c>
    </row>
    <row r="410" spans="1:10" hidden="1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105527.88793852628</v>
      </c>
      <c r="J410" s="282">
        <f>'Resultater - Vestdanmark'!J410+'Resultater - Østdanmark'!J410</f>
        <v>68418.942685100425</v>
      </c>
    </row>
    <row r="411" spans="1:10" hidden="1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104124.41381141476</v>
      </c>
      <c r="J411" s="282">
        <f>'Resultater - Vestdanmark'!J411+'Resultater - Østdanmark'!J411</f>
        <v>67509.001078775444</v>
      </c>
    </row>
    <row r="412" spans="1:10" hidden="1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90971.147089593054</v>
      </c>
      <c r="J412" s="282">
        <f>'Resultater - Vestdanmark'!J412+'Resultater - Østdanmark'!J412</f>
        <v>66056.207570557934</v>
      </c>
    </row>
    <row r="413" spans="1:10" hidden="1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44121.743543858545</v>
      </c>
      <c r="J413" s="282">
        <f>'Resultater - Vestdanmark'!J413+'Resultater - Østdanmark'!J413</f>
        <v>32037.79597324062</v>
      </c>
    </row>
    <row r="414" spans="1:10" hidden="1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5823.9227067081456</v>
      </c>
      <c r="J414" s="282">
        <f>'Resultater - Vestdanmark'!J414+'Resultater - Østdanmark'!J414</f>
        <v>4228.8820081637577</v>
      </c>
    </row>
    <row r="415" spans="1:10" hidden="1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59861.078960088766</v>
      </c>
      <c r="J415" s="282">
        <f>'Resultater - Vestdanmark'!J415+'Resultater - Østdanmark'!J415</f>
        <v>43466.483425683167</v>
      </c>
    </row>
    <row r="416" spans="1:10" hidden="1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5.75" hidden="1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hidden="1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4576346318.5440006</v>
      </c>
      <c r="J418" s="279">
        <f>'Resultater - Vestdanmark'!J418+'Resultater - Østdanmark'!J418</f>
        <v>3211838931.8400002</v>
      </c>
    </row>
    <row r="419" spans="1:10" hidden="1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125849523.75996001</v>
      </c>
      <c r="J419" s="282">
        <f>'Resultater - Vestdanmark'!J419+'Resultater - Østdanmark'!J419</f>
        <v>88325570.625599995</v>
      </c>
    </row>
    <row r="420" spans="1:10" hidden="1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hidden="1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57204328.981800005</v>
      </c>
      <c r="J421" s="282">
        <f>'Resultater - Vestdanmark'!J421+'Resultater - Østdanmark'!J421</f>
        <v>40147986.648000002</v>
      </c>
    </row>
    <row r="422" spans="1:10" hidden="1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114408657.96360001</v>
      </c>
      <c r="J422" s="282">
        <f>'Resultater - Vestdanmark'!J422+'Resultater - Østdanmark'!J422</f>
        <v>80295973.296000004</v>
      </c>
    </row>
    <row r="423" spans="1:10" hidden="1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1292817834.9886799</v>
      </c>
      <c r="J423" s="282">
        <f>'Resultater - Vestdanmark'!J423+'Resultater - Østdanmark'!J423</f>
        <v>907344498.24479997</v>
      </c>
    </row>
    <row r="424" spans="1:10" hidden="1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183053852.74176002</v>
      </c>
      <c r="J424" s="282">
        <f>'Resultater - Vestdanmark'!J424+'Resultater - Østdanmark'!J424</f>
        <v>128473557.27360001</v>
      </c>
    </row>
    <row r="425" spans="1:10" hidden="1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hidden="1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hidden="1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1761893332.6394398</v>
      </c>
      <c r="J427" s="282">
        <f>'Resultater - Vestdanmark'!J427+'Resultater - Østdanmark'!J427</f>
        <v>1236557988.7584</v>
      </c>
    </row>
    <row r="428" spans="1:10" hidden="1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125849523.75996</v>
      </c>
      <c r="J428" s="282">
        <f>'Resultater - Vestdanmark'!J428+'Resultater - Østdanmark'!J428</f>
        <v>88325570.625599995</v>
      </c>
    </row>
    <row r="429" spans="1:10" hidden="1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401479866.48000002</v>
      </c>
    </row>
    <row r="430" spans="1:10" hidden="1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1782570607.1712003</v>
      </c>
    </row>
    <row r="431" spans="1:10" hidden="1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91526926.370880008</v>
      </c>
      <c r="J431" s="282">
        <f>'Resultater - Vestdanmark'!J431+'Resultater - Østdanmark'!J431</f>
        <v>64236778.636799991</v>
      </c>
    </row>
    <row r="432" spans="1:10" hidden="1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0</v>
      </c>
      <c r="J432" s="282">
        <f>'Resultater - Vestdanmark'!J432+'Resultater - Østdanmark'!J432</f>
        <v>0</v>
      </c>
    </row>
    <row r="433" spans="1:10" hidden="1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0</v>
      </c>
      <c r="J433" s="282">
        <f>'Resultater - Vestdanmark'!J433+'Resultater - Østdanmark'!J433</f>
        <v>0</v>
      </c>
    </row>
    <row r="434" spans="1:10" hidden="1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361184.39999999997</v>
      </c>
      <c r="J434" s="282">
        <f>'Resultater - Vestdanmark'!J434+'Resultater - Østdanmark'!J434</f>
        <v>361184.39999999997</v>
      </c>
    </row>
    <row r="435" spans="1:10" hidden="1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</v>
      </c>
      <c r="J435" s="282">
        <f>'Resultater - Vestdanmark'!J435+'Resultater - Østdanmark'!J435</f>
        <v>4390946.25</v>
      </c>
    </row>
    <row r="436" spans="1:10" hidden="1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116499147.84398645</v>
      </c>
      <c r="J436" s="282">
        <f>'Resultater - Vestdanmark'!J436+'Resultater - Østdanmark'!J436</f>
        <v>89226841.729770884</v>
      </c>
    </row>
    <row r="437" spans="1:10" s="171" customFormat="1" hidden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-123562.87994647253</v>
      </c>
      <c r="J437" s="288">
        <f>'Resultater - Vestdanmark'!J437+'Resultater - Østdanmark'!J437</f>
        <v>-94636.96290228008</v>
      </c>
    </row>
    <row r="438" spans="1:10" hidden="1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117647178.57865685</v>
      </c>
      <c r="J438" s="282">
        <f>'Resultater - Vestdanmark'!J438+'Resultater - Østdanmark'!J438</f>
        <v>103859245.99127555</v>
      </c>
    </row>
    <row r="439" spans="1:10" s="171" customFormat="1" hidden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-245526.78096373379</v>
      </c>
      <c r="J439" s="288">
        <f>'Resultater - Vestdanmark'!J439+'Resultater - Østdanmark'!J439</f>
        <v>-216751.70326766022</v>
      </c>
    </row>
    <row r="440" spans="1:10" hidden="1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88846.768196361154</v>
      </c>
      <c r="J440" s="282">
        <f>'Resultater - Vestdanmark'!J440+'Resultater - Østdanmark'!J440</f>
        <v>110102.449113043</v>
      </c>
    </row>
    <row r="441" spans="1:10" hidden="1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103935619.79753119</v>
      </c>
      <c r="J441" s="282">
        <f>'Resultater - Vestdanmark'!J441+'Resultater - Østdanmark'!J441</f>
        <v>90567720.371935219</v>
      </c>
    </row>
    <row r="442" spans="1:10" hidden="1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33002600</v>
      </c>
    </row>
    <row r="443" spans="1:10" hidden="1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2165561.9999999991</v>
      </c>
      <c r="J443" s="282">
        <f>'Resultater - Vestdanmark'!J443+'Resultater - Østdanmark'!J443</f>
        <v>2165561.9999999995</v>
      </c>
    </row>
    <row r="444" spans="1:10" hidden="1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hidden="1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74480686.960000023</v>
      </c>
      <c r="J445" s="282">
        <f>'Resultater - Vestdanmark'!J445+'Resultater - Østdanmark'!J445</f>
        <v>74179468.040000007</v>
      </c>
    </row>
    <row r="446" spans="1:10" hidden="1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hidden="1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hidden="1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hidden="1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32037024.4265799</v>
      </c>
      <c r="J449" s="282">
        <f>'Resultater - Vestdanmark'!J449+'Resultater - Østdanmark'!J449</f>
        <v>26981636.917636801</v>
      </c>
    </row>
    <row r="450" spans="1:13" hidden="1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hidden="1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76017871.154150903</v>
      </c>
      <c r="J451" s="282">
        <f>'Resultater - Vestdanmark'!J451+'Resultater - Østdanmark'!J451</f>
        <v>94712173.663304299</v>
      </c>
      <c r="L451" s="98"/>
    </row>
    <row r="452" spans="1:13" hidden="1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26628156.357009683</v>
      </c>
      <c r="J452" s="288">
        <f ca="1">'Resultater - Vestdanmark'!J452+'Resultater - Østdanmark'!J452</f>
        <v>24381862.599258948</v>
      </c>
    </row>
    <row r="453" spans="1:13" hidden="1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17151263.432586893</v>
      </c>
      <c r="J453" s="288">
        <f>'Resultater - Vestdanmark'!J453+'Resultater - Østdanmark'!J453</f>
        <v>4378724.6404424589</v>
      </c>
    </row>
    <row r="454" spans="1:13" hidden="1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14740663.037042113</v>
      </c>
      <c r="J454" s="288">
        <f>'Resultater - Vestdanmark'!J454+'Resultater - Østdanmark'!J454</f>
        <v>4337699.0051517747</v>
      </c>
    </row>
    <row r="455" spans="1:13" hidden="1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11981.879680425296</v>
      </c>
      <c r="J455" s="288">
        <f>'Resultater - Vestdanmark'!J455+'Resultater - Østdanmark'!J455</f>
        <v>4949.4739635210153</v>
      </c>
    </row>
    <row r="456" spans="1:13" hidden="1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3060326.5829273076</v>
      </c>
      <c r="J456" s="288">
        <f>'Resultater - Vestdanmark'!J456+'Resultater - Østdanmark'!J456</f>
        <v>888905.4036504752</v>
      </c>
    </row>
    <row r="457" spans="1:13" hidden="1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143069951.02254167</v>
      </c>
      <c r="J457" s="288">
        <f ca="1">'Resultater - Vestdanmark'!J457+'Resultater - Østdanmark'!J457</f>
        <v>116892415.19701612</v>
      </c>
    </row>
    <row r="458" spans="1:13" hidden="1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141428459.10925794</v>
      </c>
      <c r="J458" s="288">
        <f ca="1">'Resultater - Vestdanmark'!J458+'Resultater - Østdanmark'!J458</f>
        <v>142676415.75736415</v>
      </c>
    </row>
    <row r="459" spans="1:13" hidden="1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15.85476577623008</v>
      </c>
      <c r="J459" s="292">
        <f>'Resultater - Vestdanmark'!J459+'Resultater - Østdanmark'!J459</f>
        <v>15.324867232324106</v>
      </c>
      <c r="L459" s="170" t="s">
        <v>217</v>
      </c>
      <c r="M459" s="168">
        <v>17963.28</v>
      </c>
    </row>
    <row r="460" spans="1:13" hidden="1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10.799034478608881</v>
      </c>
      <c r="J460" s="292">
        <f>'Resultater - Vestdanmark'!J460+'Resultater - Østdanmark'!J460</f>
        <v>9.1813879094416802</v>
      </c>
      <c r="L460" s="170" t="s">
        <v>221</v>
      </c>
      <c r="M460" s="168">
        <v>14758.1</v>
      </c>
    </row>
    <row r="461" spans="1:13" hidden="1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5.2422096216266354</v>
      </c>
      <c r="J461" s="292">
        <f>'Resultater - Vestdanmark'!J461+'Resultater - Østdanmark'!J461</f>
        <v>4.1965300917524022</v>
      </c>
      <c r="L461" s="170" t="s">
        <v>218</v>
      </c>
      <c r="M461" s="168">
        <v>1988.19</v>
      </c>
    </row>
    <row r="462" spans="1:13" hidden="1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41.590753319306501</v>
      </c>
      <c r="J462" s="292">
        <f>'Resultater - Vestdanmark'!J462+'Resultater - Østdanmark'!J462</f>
        <v>42.382036571624397</v>
      </c>
      <c r="L462" s="170" t="s">
        <v>219</v>
      </c>
      <c r="M462" s="168">
        <v>8944.93</v>
      </c>
    </row>
    <row r="463" spans="1:13" hidden="1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hidden="1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hidden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hidden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hidden="1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23.522959710721075</v>
      </c>
      <c r="J467" s="295">
        <f ca="1">'Resultater - Vestdanmark'!J467+'Resultater - Østdanmark'!J467</f>
        <v>22.070346139510484</v>
      </c>
    </row>
    <row r="468" spans="1:13" hidden="1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923589.89337887999</v>
      </c>
      <c r="J468" s="298">
        <f>'Resultater - Vestdanmark'!J468+'Resultater - Østdanmark'!J468</f>
        <v>648207.49351680011</v>
      </c>
    </row>
    <row r="469" spans="1:13" hidden="1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1901508.6040153413</v>
      </c>
      <c r="J469" s="298">
        <f>'Resultater - Vestdanmark'!J469+'Resultater - Østdanmark'!J469</f>
        <v>1334544.8395934121</v>
      </c>
    </row>
    <row r="470" spans="1:13" hidden="1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2699709.8046664689</v>
      </c>
      <c r="J470" s="298">
        <f>'Resultater - Vestdanmark'!J470+'Resultater - Østdanmark'!J470</f>
        <v>1894750.1897226789</v>
      </c>
    </row>
    <row r="471" spans="1:13" hidden="1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482099.75350932503</v>
      </c>
      <c r="J471" s="298">
        <f>'Resultater - Vestdanmark'!J471+'Resultater - Østdanmark'!J471</f>
        <v>409883.38881436078</v>
      </c>
    </row>
    <row r="472" spans="1:13" hidden="1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308543.842245968</v>
      </c>
      <c r="J472" s="298">
        <f>'Resultater - Vestdanmark'!J472+'Resultater - Østdanmark'!J472</f>
        <v>262325.36884119094</v>
      </c>
    </row>
    <row r="473" spans="1:13" hidden="1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hidden="1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hidden="1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>
    <filterColumn colId="5">
      <filters>
        <filter val="Kvæggylle"/>
      </filters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K171" activeCellId="1" sqref="K27 K171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0" width="10.7109375" style="192" bestFit="1" customWidth="1"/>
    <col min="11" max="11" width="10.8554687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7" t="s">
        <v>254</v>
      </c>
      <c r="B1" s="357"/>
      <c r="C1" s="357"/>
      <c r="F1" s="358" t="s">
        <v>256</v>
      </c>
      <c r="G1" s="358"/>
      <c r="H1" s="358"/>
      <c r="I1" s="358"/>
      <c r="J1" s="358"/>
      <c r="K1" s="358"/>
      <c r="L1" s="358"/>
      <c r="M1" s="359"/>
      <c r="N1" s="360" t="s">
        <v>257</v>
      </c>
      <c r="O1" s="361"/>
      <c r="P1" s="362"/>
      <c r="Q1" s="354" t="s">
        <v>123</v>
      </c>
      <c r="R1" s="354"/>
      <c r="S1" s="354"/>
      <c r="T1" s="355"/>
      <c r="U1" s="356" t="s">
        <v>231</v>
      </c>
      <c r="V1" s="354"/>
      <c r="W1" s="354"/>
      <c r="X1" s="355"/>
    </row>
    <row r="2" spans="1:26" x14ac:dyDescent="0.25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577252.6136078448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47085.713440742315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486727.18742976931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522499842.39083052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522499842.39083052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522499842.39083052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21815696.085202374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16744738.31698148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5070957.768220894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2407351.1837272928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1805513.3877954697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601837.79593182309</v>
      </c>
      <c r="O56" s="195">
        <f t="shared" si="1"/>
        <v>601837.79593182309</v>
      </c>
      <c r="P56" s="205">
        <f t="shared" si="10"/>
        <v>1805513.3877954697</v>
      </c>
      <c r="Q56" s="192">
        <f>IFERROR(VLOOKUP(A56,[1]Energiindhold!$A$2:$C$11,3,FALSE),IFERROR(VLOOKUP(A56,[1]Biogasudbytte!$A$2:$B$18,2,FALSE)*[1]Energiindhold!$C$10,0))*O56</f>
        <v>0.34185956217688157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1.3674382487075265</v>
      </c>
      <c r="S56" s="192">
        <f>IFERROR(VLOOKUP(A56,[1]Biogasudbytte!$A$2:$B$18,2,FALSE)*[1]Energiindhold!$C$10,0)*J56*IFERROR(VLOOKUP(A56,Biogasanlæg!$F$3:$G$8,2,FALSE),1)</f>
        <v>1.0255786865306449</v>
      </c>
      <c r="T56" s="193">
        <f t="shared" si="11"/>
        <v>0.34185956217688163</v>
      </c>
      <c r="U56" s="191">
        <f>O56*IFERROR(VLOOKUP(A56,[1]Tørstofindhold!A$2:B$24,2,FALSE),0)</f>
        <v>25736.622914769367</v>
      </c>
      <c r="V56" s="192">
        <f>IF(D56=År1,P56,SUM(O56,P56))*IFERROR(VLOOKUP(A56,[1]Tørstofindhold!A$2:B$24,2,FALSE),0)</f>
        <v>102946.49165907748</v>
      </c>
      <c r="W56" s="192">
        <f>J56*IFERROR(VLOOKUP(A56,[1]Tørstofindhold!A$2:B$24,2,FALSE),0)</f>
        <v>77209.868744308114</v>
      </c>
      <c r="X56" s="193">
        <f t="shared" si="12"/>
        <v>25736.622914769367</v>
      </c>
      <c r="Y56" s="171">
        <f t="shared" si="2"/>
        <v>0</v>
      </c>
      <c r="Z56" s="103">
        <f t="shared" si="3"/>
        <v>1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2037297.4995217314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1527973.1246412985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192815.65620473531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316508.71867569746</v>
      </c>
      <c r="O57" s="195">
        <f t="shared" si="1"/>
        <v>316508.71867569746</v>
      </c>
      <c r="P57" s="205">
        <f t="shared" si="10"/>
        <v>1527973.1246412985</v>
      </c>
      <c r="Q57" s="192">
        <f>IFERROR(VLOOKUP(A57,[1]Energiindhold!$A$2:$C$11,3,FALSE),IFERROR(VLOOKUP(A57,[1]Biogasudbytte!$A$2:$B$18,2,FALSE)*[1]Energiindhold!$C$10,0))*O57</f>
        <v>0.6817597800274523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3.9730138905048094</v>
      </c>
      <c r="S57" s="192">
        <f>IFERROR(VLOOKUP(A57,[1]Biogasudbytte!$A$2:$B$18,2,FALSE)*[1]Energiindhold!$C$10,0)*J57*IFERROR(VLOOKUP(A57,Biogasanlæg!$F$3:$G$8,2,FALSE),1)</f>
        <v>3.2912541104773569</v>
      </c>
      <c r="T57" s="193">
        <f t="shared" si="11"/>
        <v>0.68175978002745241</v>
      </c>
      <c r="U57" s="191">
        <f>O57*IFERROR(VLOOKUP(A57,[1]Tørstofindhold!A$2:B$24,2,FALSE),0)</f>
        <v>94952.615602709237</v>
      </c>
      <c r="V57" s="192">
        <f>IF(D57=År1,P57,SUM(O57,P57))*IFERROR(VLOOKUP(A57,[1]Tørstofindhold!A$2:B$24,2,FALSE),0)</f>
        <v>553344.55299509875</v>
      </c>
      <c r="W57" s="192">
        <f>J57*IFERROR(VLOOKUP(A57,[1]Tørstofindhold!A$2:B$24,2,FALSE),0)</f>
        <v>458391.93739238958</v>
      </c>
      <c r="X57" s="193">
        <f t="shared" si="12"/>
        <v>94952.615602709178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1695589.2743848059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1648659.4341996606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46929.840185145382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1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1579.1588756568235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506.52265822954723</v>
      </c>
      <c r="O59" s="195">
        <f t="shared" si="1"/>
        <v>506.52265822954723</v>
      </c>
      <c r="P59" s="205">
        <f t="shared" si="10"/>
        <v>6257.0446016591122</v>
      </c>
      <c r="Q59" s="192">
        <f>IFERROR(VLOOKUP(A59,[1]Energiindhold!$A$2:$C$11,3,FALSE),IFERROR(VLOOKUP(A59,[1]Biogasudbytte!$A$2:$B$18,2,FALSE)*[1]Energiindhold!$C$10,0))*O59</f>
        <v>2.3821254093877377E-4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3.1808380466530374E-3</v>
      </c>
      <c r="S59" s="192">
        <f>IFERROR(VLOOKUP(A59,[1]Biogasudbytte!$A$2:$B$18,2,FALSE)*[1]Energiindhold!$C$10,0)*J59*IFERROR(VLOOKUP(A59,Biogasanlæg!$F$3:$G$8,2,FALSE),1)</f>
        <v>2.9426255057142638E-3</v>
      </c>
      <c r="T59" s="193">
        <f t="shared" si="11"/>
        <v>2.3821254093877361E-4</v>
      </c>
      <c r="U59" s="191">
        <f>O59*IFERROR(VLOOKUP(A59,[1]Tørstofindhold!A$2:B$24,2,FALSE),0)</f>
        <v>31.910927468461477</v>
      </c>
      <c r="V59" s="192">
        <f>IF(D59=År1,P59,SUM(O59,P59))*IFERROR(VLOOKUP(A59,[1]Tørstofindhold!A$2:B$24,2,FALSE),0)</f>
        <v>426.10473737298554</v>
      </c>
      <c r="W59" s="192">
        <f>J59*IFERROR(VLOOKUP(A59,[1]Tørstofindhold!A$2:B$24,2,FALSE),0)</f>
        <v>394.19380990452407</v>
      </c>
      <c r="X59" s="193">
        <f t="shared" si="12"/>
        <v>31.910927468461466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153393.07628424684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1001970.2375971108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1001970.2375971108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70289.623650350084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-187633.67072756554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12888299.417168394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9446613.3985518552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66046.573899106617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4926512.3913847189</v>
      </c>
      <c r="N64" s="204">
        <f t="shared" si="9"/>
        <v>-1550872.9466672875</v>
      </c>
      <c r="O64" s="195">
        <f t="shared" si="1"/>
        <v>0</v>
      </c>
      <c r="P64" s="205">
        <f t="shared" si="10"/>
        <v>66046.573899106617</v>
      </c>
      <c r="Q64" s="192">
        <f>IFERROR(VLOOKUP(A64,[1]Energiindhold!$A$2:$C$11,3,FALSE),IFERROR(VLOOKUP(A64,[1]Biogasudbytte!$A$2:$B$18,2,FALSE)*[1]Energiindhold!$C$10,0))*O64</f>
        <v>0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0.1215174401526188</v>
      </c>
      <c r="S64" s="192">
        <f>IFERROR(VLOOKUP(A64,[1]Biogasudbytte!$A$2:$B$18,2,FALSE)*[1]Energiindhold!$C$10,0)*J64*IFERROR(VLOOKUP(A64,Biogasanlæg!$F$3:$G$8,2,FALSE),1)</f>
        <v>0.1215174401526188</v>
      </c>
      <c r="T64" s="193">
        <f t="shared" si="11"/>
        <v>0</v>
      </c>
      <c r="U64" s="191">
        <f>O64*IFERROR(VLOOKUP(A64,[1]Tørstofindhold!A$2:B$24,2,FALSE),0)</f>
        <v>0</v>
      </c>
      <c r="V64" s="192">
        <f>IF(D64=År1,P64,SUM(O64,P64))*IFERROR(VLOOKUP(A64,[1]Tørstofindhold!A$2:B$24,2,FALSE),0)</f>
        <v>18493.040691749855</v>
      </c>
      <c r="W64" s="192">
        <f>J64*IFERROR(VLOOKUP(A64,[1]Tørstofindhold!A$2:B$24,2,FALSE),0)</f>
        <v>18493.040691749855</v>
      </c>
      <c r="X64" s="193">
        <f t="shared" si="12"/>
        <v>0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823571.93327261996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823571.93327261996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377350.81919472688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107210.10560943629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2138392.1592439888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590528.53760249668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548687.13677357347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999176.48486791842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999176.48486791842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10.327294646211824</v>
      </c>
      <c r="S67" s="192">
        <f>IFERROR(VLOOKUP(A67,[1]Biogasudbytte!$A$2:$B$18,2,FALSE)*[1]Energiindhold!$C$10,0)*J67*IFERROR(VLOOKUP(A67,Biogasanlæg!$F$3:$G$8,2,FALSE),1)</f>
        <v>0</v>
      </c>
      <c r="T67" s="193">
        <f t="shared" si="11"/>
        <v>10.327294646211824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849300.01213773061</v>
      </c>
      <c r="W67" s="192">
        <f>J67*IFERROR(VLOOKUP(A67,[1]Tørstofindhold!A$2:B$24,2,FALSE),0)</f>
        <v>0</v>
      </c>
      <c r="X67" s="193">
        <f t="shared" si="12"/>
        <v>849300.01213773061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0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0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448896.7894108406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506863.86710295174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-57967.077692111139</v>
      </c>
      <c r="O70" s="195">
        <f t="shared" si="20"/>
        <v>0</v>
      </c>
      <c r="P70" s="205">
        <f t="shared" si="10"/>
        <v>506863.86710295174</v>
      </c>
      <c r="Q70" s="192">
        <f>IFERROR(VLOOKUP(A70,[1]Energiindhold!$A$2:$C$11,3,FALSE),IFERROR(VLOOKUP(A70,[1]Biogasudbytte!$A$2:$B$18,2,FALSE)*[1]Energiindhold!$C$10,0))*O70</f>
        <v>0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1.8668609741908415</v>
      </c>
      <c r="S70" s="192">
        <f>IFERROR(VLOOKUP(A70,[1]Biogasudbytte!$A$2:$B$18,2,FALSE)*[1]Energiindhold!$C$10,0)*J70*IFERROR(VLOOKUP(A70,Biogasanlæg!$F$3:$G$8,2,FALSE),1)</f>
        <v>1.8668609741908415</v>
      </c>
      <c r="T70" s="193">
        <f t="shared" si="11"/>
        <v>0</v>
      </c>
      <c r="U70" s="191">
        <f>O70*IFERROR(VLOOKUP(A70,[1]Tørstofindhold!A$2:B$24,2,FALSE),0)</f>
        <v>0</v>
      </c>
      <c r="V70" s="192">
        <f>IF(D70=År1,P70,SUM(O70,P70))*IFERROR(VLOOKUP(A70,[1]Tørstofindhold!A$2:B$24,2,FALSE),0)</f>
        <v>212882.82418323972</v>
      </c>
      <c r="W70" s="192">
        <f>J70*IFERROR(VLOOKUP(A70,[1]Tørstofindhold!A$2:B$24,2,FALSE),0)</f>
        <v>212882.82418323972</v>
      </c>
      <c r="X70" s="193">
        <f t="shared" si="12"/>
        <v>0</v>
      </c>
      <c r="Y70" s="171">
        <f t="shared" si="21"/>
        <v>1</v>
      </c>
      <c r="Z70" s="103">
        <f t="shared" si="22"/>
        <v>0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841621.76621839835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841621.76621839835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1805737.9339992611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1682206.25090247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4836920.0011490174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4534717.2198337205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2871.1113857879218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3398.6269064266235</v>
      </c>
      <c r="O73" s="195">
        <f t="shared" si="20"/>
        <v>3398.6269064266235</v>
      </c>
      <c r="P73" s="205">
        <f t="shared" si="10"/>
        <v>2871.1113857879218</v>
      </c>
      <c r="Q73" s="192">
        <f>IFERROR(VLOOKUP(A73,[1]Energiindhold!$A$2:$C$11,3,FALSE),IFERROR(VLOOKUP(A73,[1]Biogasudbytte!$A$2:$B$18,2,FALSE)*[1]Energiindhold!$C$10,0))*O73</f>
        <v>1.1639821346744288E-2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2.1472975887473912E-2</v>
      </c>
      <c r="S73" s="192">
        <f>IFERROR(VLOOKUP(A73,[1]Biogasudbytte!$A$2:$B$18,2,FALSE)*[1]Energiindhold!$C$10,0)*J73*IFERROR(VLOOKUP(A73,Biogasanlæg!$F$3:$G$8,2,FALSE),1)</f>
        <v>9.8331545407296227E-3</v>
      </c>
      <c r="T73" s="193">
        <f t="shared" si="11"/>
        <v>1.1639821346744289E-2</v>
      </c>
      <c r="U73" s="191">
        <f>O73*IFERROR(VLOOKUP(A73,[1]Tørstofindhold!A$2:B$24,2,FALSE),0)</f>
        <v>1053.5743409922532</v>
      </c>
      <c r="V73" s="192">
        <f>IF(D73=År1,P73,SUM(O73,P73))*IFERROR(VLOOKUP(A73,[1]Tørstofindhold!A$2:B$24,2,FALSE),0)</f>
        <v>1943.618870586509</v>
      </c>
      <c r="W73" s="192">
        <f>J73*IFERROR(VLOOKUP(A73,[1]Tørstofindhold!A$2:B$24,2,FALSE),0)</f>
        <v>890.04452959425578</v>
      </c>
      <c r="X73" s="193">
        <f t="shared" si="12"/>
        <v>1053.5743409922534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584756.7791203158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-584756.7791203158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7790098.0268014707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1720313.3142519915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876386.02801516652</v>
      </c>
      <c r="O75" s="195">
        <f t="shared" si="20"/>
        <v>876386.02801516652</v>
      </c>
      <c r="P75" s="205">
        <f t="shared" si="10"/>
        <v>7790098.0268014707</v>
      </c>
      <c r="Q75" s="192">
        <f>IFERROR(VLOOKUP(A75,[1]Energiindhold!$A$2:$C$11,3,FALSE),IFERROR(VLOOKUP(A75,[1]Biogasudbytte!$A$2:$B$18,2,FALSE)*[1]Energiindhold!$C$10,0))*O75</f>
        <v>0.4436178435209972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4.3868875637076341</v>
      </c>
      <c r="S75" s="192">
        <f>IFERROR(VLOOKUP(A75,[1]Biogasudbytte!$A$2:$B$18,2,FALSE)*[1]Energiindhold!$C$10,0)*J75*IFERROR(VLOOKUP(A75,Biogasanlæg!$F$3:$G$8,2,FALSE),1)</f>
        <v>3.9432697201866369</v>
      </c>
      <c r="T75" s="193">
        <f t="shared" si="11"/>
        <v>0.4436178435209972</v>
      </c>
      <c r="U75" s="191">
        <f>O75*IFERROR(VLOOKUP(A75,[1]Tørstofindhold!A$2:B$24,2,FALSE),0)</f>
        <v>66605.33812915266</v>
      </c>
      <c r="V75" s="192">
        <f>IF(D75=År1,P75,SUM(O75,P75))*IFERROR(VLOOKUP(A75,[1]Tørstofindhold!A$2:B$24,2,FALSE),0)</f>
        <v>658652.78816606442</v>
      </c>
      <c r="W75" s="192">
        <f>J75*IFERROR(VLOOKUP(A75,[1]Tørstofindhold!A$2:B$24,2,FALSE),0)</f>
        <v>592047.45003691176</v>
      </c>
      <c r="X75" s="193">
        <f t="shared" si="12"/>
        <v>66605.33812915266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1296795.0922933305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1164894.7731358123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131900.31915751821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4026803.5120526911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4351481.2300827308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252542.91678668751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-577220.63481672714</v>
      </c>
      <c r="O77" s="195">
        <f t="shared" si="20"/>
        <v>0</v>
      </c>
      <c r="P77" s="205">
        <f t="shared" si="10"/>
        <v>252542.91678668751</v>
      </c>
      <c r="Q77" s="192">
        <f>IFERROR(VLOOKUP(A77,[1]Energiindhold!$A$2:$C$11,3,FALSE),IFERROR(VLOOKUP(A77,[1]Biogasudbytte!$A$2:$B$18,2,FALSE)*[1]Energiindhold!$C$10,0))*O77</f>
        <v>0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0.90662907126420822</v>
      </c>
      <c r="S77" s="192">
        <f>IFERROR(VLOOKUP(A77,[1]Biogasudbytte!$A$2:$B$18,2,FALSE)*[1]Energiindhold!$C$10,0)*J77*IFERROR(VLOOKUP(A77,Biogasanlæg!$F$3:$G$8,2,FALSE),1)</f>
        <v>0.90662907126420822</v>
      </c>
      <c r="T77" s="193">
        <f t="shared" si="11"/>
        <v>0</v>
      </c>
      <c r="U77" s="191">
        <f>O77*IFERROR(VLOOKUP(A77,[1]Tørstofindhold!A$2:B$24,2,FALSE),0)</f>
        <v>0</v>
      </c>
      <c r="V77" s="192">
        <f>IF(D77=År1,P77,SUM(O77,P77))*IFERROR(VLOOKUP(A77,[1]Tørstofindhold!A$2:B$24,2,FALSE),0)</f>
        <v>75762.875036006255</v>
      </c>
      <c r="W77" s="192">
        <f>J77*IFERROR(VLOOKUP(A77,[1]Tørstofindhold!A$2:B$24,2,FALSE),0)</f>
        <v>75762.875036006255</v>
      </c>
      <c r="X77" s="193">
        <f t="shared" si="12"/>
        <v>0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2502141.5052936058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2029734.6292751078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84934.510833187902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36911.908402066096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1267791.6894289495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1267791.6894289495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217981.68444215492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217981.68444215492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217981.68444215492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4.0108629937356497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4.0108629937356497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90462.399043494297</v>
      </c>
      <c r="W82" s="192">
        <f>J82*IFERROR(VLOOKUP(A82,[1]Tørstofindhold!A$2:B$24,2,FALSE),0)</f>
        <v>0</v>
      </c>
      <c r="X82" s="193">
        <f t="shared" ref="X82:X149" si="26">V82-W82</f>
        <v>90462.399043494297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3896345.2282942934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728642.31006080401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728642.31006080401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364321.15503040201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161875.86352463221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202445.2915057698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233165.53921945728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233165.53921945728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233165.53921945728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8.1607938726810048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8.1607938726810048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1333999.0253631743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669901.28667965194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21522.666740773606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642575.07194274873</v>
      </c>
      <c r="O89" s="195">
        <f t="shared" si="20"/>
        <v>642575.07194274873</v>
      </c>
      <c r="P89" s="205">
        <f t="shared" si="24"/>
        <v>21522.666740773606</v>
      </c>
      <c r="Q89" s="192">
        <f>IFERROR(VLOOKUP(A89,[1]Energiindhold!$A$2:$C$11,3,FALSE),IFERROR(VLOOKUP(A89,[1]Biogasudbytte!$A$2:$B$18,2,FALSE)*[1]Energiindhold!$C$10,0))*O89</f>
        <v>1.7439744482554977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1.8023878266966269</v>
      </c>
      <c r="S89" s="192">
        <f>IFERROR(VLOOKUP(A89,[1]Biogasudbytte!$A$2:$B$18,2,FALSE)*[1]Energiindhold!$C$10,0)*J89*IFERROR(VLOOKUP(A89,Biogasanlæg!$F$3:$G$8,2,FALSE),1)</f>
        <v>5.8413378441129198E-2</v>
      </c>
      <c r="T89" s="193">
        <f t="shared" si="25"/>
        <v>1.7439744482554977</v>
      </c>
      <c r="U89" s="191">
        <f>O89*IFERROR(VLOOKUP(A89,[1]Tørstofindhold!A$2:B$24,2,FALSE),0)</f>
        <v>128515.01438854975</v>
      </c>
      <c r="V89" s="192">
        <f>IF(D89=År1,P89,SUM(O89,P89))*IFERROR(VLOOKUP(A89,[1]Tørstofindhold!A$2:B$24,2,FALSE),0)</f>
        <v>132819.54773670447</v>
      </c>
      <c r="W89" s="192">
        <f>J89*IFERROR(VLOOKUP(A89,[1]Tørstofindhold!A$2:B$24,2,FALSE),0)</f>
        <v>4304.5333481547214</v>
      </c>
      <c r="X89" s="193">
        <f t="shared" si="26"/>
        <v>128515.01438854974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146835.36007534855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146835.36007534855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97609.837071587375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29678.267865680002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67931.569205907377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3949558.8398278607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2962169.1298708953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987389.70995696541</v>
      </c>
      <c r="O92" s="195">
        <f t="shared" si="20"/>
        <v>987389.70995696541</v>
      </c>
      <c r="P92" s="205">
        <f t="shared" si="24"/>
        <v>2962169.1298708953</v>
      </c>
      <c r="Q92" s="192">
        <f>IFERROR(VLOOKUP(A92,[1]Energiindhold!$A$2:$C$11,3,FALSE),IFERROR(VLOOKUP(A92,[1]Biogasudbytte!$A$2:$B$18,2,FALSE)*[1]Energiindhold!$C$10,0))*O92</f>
        <v>0.49271733916562538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1.9708693566625011</v>
      </c>
      <c r="S92" s="192">
        <f>IFERROR(VLOOKUP(A92,[1]Biogasudbytte!$A$2:$B$18,2,FALSE)*[1]Energiindhold!$C$10,0)*J92*IFERROR(VLOOKUP(A92,Biogasanlæg!$F$3:$G$8,2,FALSE),1)</f>
        <v>1.4781520174968756</v>
      </c>
      <c r="T92" s="193">
        <f t="shared" si="25"/>
        <v>0.49271733916562543</v>
      </c>
      <c r="U92" s="191">
        <f>O92*IFERROR(VLOOKUP(A92,[1]Tørstofindhold!A$2:B$24,2,FALSE),0)</f>
        <v>59243.38259741792</v>
      </c>
      <c r="V92" s="192">
        <f>IF(D92=År1,P92,SUM(O92,P92))*IFERROR(VLOOKUP(A92,[1]Tørstofindhold!A$2:B$24,2,FALSE),0)</f>
        <v>236973.53038967162</v>
      </c>
      <c r="W92" s="192">
        <f>J92*IFERROR(VLOOKUP(A92,[1]Tørstofindhold!A$2:B$24,2,FALSE),0)</f>
        <v>177730.1477922537</v>
      </c>
      <c r="X92" s="193">
        <f t="shared" si="26"/>
        <v>59243.38259741792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11306124.881910803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8479593.6614331026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2826531.2204777007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8479593.6614331026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3.6530089493453812</v>
      </c>
      <c r="S93" s="192">
        <f>IFERROR(VLOOKUP(A93,[1]Biogasudbytte!$A$2:$B$18,2,FALSE)*[1]Energiindhold!$C$10,0)*J93*IFERROR(VLOOKUP(A93,Biogasanlæg!$F$3:$G$8,2,FALSE),1)</f>
        <v>3.6530089493453812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423979.68307165516</v>
      </c>
      <c r="W93" s="192">
        <f>J93*IFERROR(VLOOKUP(A93,[1]Tørstofindhold!A$2:B$24,2,FALSE),0)</f>
        <v>423979.68307165516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1033509.7693363478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936009.33409740357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2222244.569142865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2222244.569142865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2222244.569142865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32.208254777245877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32.208254777245877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1099085.1264885752</v>
      </c>
      <c r="W97" s="192">
        <f>J97*IFERROR(VLOOKUP(A97,[1]Tørstofindhold!A$2:B$24,2,FALSE),0)</f>
        <v>0</v>
      </c>
      <c r="X97" s="193">
        <f t="shared" si="26"/>
        <v>1099085.1264885752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612159.6716568307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612159.6716568307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476733.07017285493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33117.004615961538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101549.90665933446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342066.15889755893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475947568.56876355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475947568.56876355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475947568.56876355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19329215.833900649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13238404.534113022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6090811.2997876275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1693173.0335586986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1523855.7302028288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169317.30335586984</v>
      </c>
      <c r="O104" s="195">
        <f t="shared" si="20"/>
        <v>169317.30335586984</v>
      </c>
      <c r="P104" s="205">
        <f t="shared" si="24"/>
        <v>1523855.7302028288</v>
      </c>
      <c r="Q104" s="192">
        <f>IFERROR(VLOOKUP(A104,[1]Energiindhold!$A$2:$C$11,3,FALSE),IFERROR(VLOOKUP(A104,[1]Biogasudbytte!$A$2:$B$18,2,FALSE)*[1]Energiindhold!$C$10,0))*O104</f>
        <v>9.6176643583157292E-2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0.96176643583157295</v>
      </c>
      <c r="S104" s="192">
        <f>IFERROR(VLOOKUP(A104,[1]Biogasudbytte!$A$2:$B$18,2,FALSE)*[1]Energiindhold!$C$10,0)*J104*IFERROR(VLOOKUP(A104,Biogasanlæg!$F$3:$G$8,2,FALSE),1)</f>
        <v>0.8655897922484157</v>
      </c>
      <c r="T104" s="193">
        <f t="shared" si="25"/>
        <v>9.6176643583157251E-2</v>
      </c>
      <c r="U104" s="191">
        <f>O104*IFERROR(VLOOKUP(A104,[1]Tørstofindhold!A$2:B$24,2,FALSE),0)</f>
        <v>7240.581463762499</v>
      </c>
      <c r="V104" s="192">
        <f>IF(D104=År1,P104,SUM(O104,P104))*IFERROR(VLOOKUP(A104,[1]Tørstofindhold!A$2:B$24,2,FALSE),0)</f>
        <v>72405.814637624993</v>
      </c>
      <c r="W104" s="192">
        <f>J104*IFERROR(VLOOKUP(A104,[1]Tørstofindhold!A$2:B$24,2,FALSE),0)</f>
        <v>65165.2331738625</v>
      </c>
      <c r="X104" s="193">
        <f t="shared" si="26"/>
        <v>7240.5814637624935</v>
      </c>
      <c r="Y104" s="171">
        <f t="shared" si="21"/>
        <v>0</v>
      </c>
      <c r="Z104" s="103">
        <f t="shared" si="22"/>
        <v>1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1481207.6483199911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1333086.883487992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56074.289543542509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92046.475288456539</v>
      </c>
      <c r="O105" s="195">
        <f t="shared" si="20"/>
        <v>92046.475288456539</v>
      </c>
      <c r="P105" s="205">
        <f t="shared" si="24"/>
        <v>1333086.883487992</v>
      </c>
      <c r="Q105" s="192">
        <f>IFERROR(VLOOKUP(A105,[1]Energiindhold!$A$2:$C$11,3,FALSE),IFERROR(VLOOKUP(A105,[1]Biogasudbytte!$A$2:$B$18,2,FALSE)*[1]Energiindhold!$C$10,0))*O105</f>
        <v>0.19826810777133538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3.0697372548044703</v>
      </c>
      <c r="S105" s="192">
        <f>IFERROR(VLOOKUP(A105,[1]Biogasudbytte!$A$2:$B$18,2,FALSE)*[1]Energiindhold!$C$10,0)*J105*IFERROR(VLOOKUP(A105,Biogasanlæg!$F$3:$G$8,2,FALSE),1)</f>
        <v>2.8714691470331348</v>
      </c>
      <c r="T105" s="193">
        <f t="shared" si="25"/>
        <v>0.19826810777133552</v>
      </c>
      <c r="U105" s="191">
        <f>O105*IFERROR(VLOOKUP(A105,[1]Tørstofindhold!A$2:B$24,2,FALSE),0)</f>
        <v>27613.942586536959</v>
      </c>
      <c r="V105" s="192">
        <f>IF(D105=År1,P105,SUM(O105,P105))*IFERROR(VLOOKUP(A105,[1]Tørstofindhold!A$2:B$24,2,FALSE),0)</f>
        <v>427540.00763293455</v>
      </c>
      <c r="W105" s="192">
        <f>J105*IFERROR(VLOOKUP(A105,[1]Tørstofindhold!A$2:B$24,2,FALSE),0)</f>
        <v>399926.06504639756</v>
      </c>
      <c r="X105" s="193">
        <f t="shared" si="26"/>
        <v>27613.942586536985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1192566.3587373532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1159558.9851527149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33007.37358463835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1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652.318830416526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209.23434183171594</v>
      </c>
      <c r="O107" s="195">
        <f t="shared" si="20"/>
        <v>209.23434183171594</v>
      </c>
      <c r="P107" s="205">
        <f t="shared" si="24"/>
        <v>7753.9785502341792</v>
      </c>
      <c r="Q107" s="192">
        <f>IFERROR(VLOOKUP(A107,[1]Energiindhold!$A$2:$C$11,3,FALSE),IFERROR(VLOOKUP(A107,[1]Biogasudbytte!$A$2:$B$18,2,FALSE)*[1]Energiindhold!$C$10,0))*O107</f>
        <v>9.840081862003769E-5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3.74501939100967E-3</v>
      </c>
      <c r="S107" s="192">
        <f>IFERROR(VLOOKUP(A107,[1]Biogasudbytte!$A$2:$B$18,2,FALSE)*[1]Energiindhold!$C$10,0)*J107*IFERROR(VLOOKUP(A107,Biogasanlæg!$F$3:$G$8,2,FALSE),1)</f>
        <v>3.6466185723896321E-3</v>
      </c>
      <c r="T107" s="193">
        <f t="shared" si="25"/>
        <v>9.8400818620037866E-5</v>
      </c>
      <c r="U107" s="191">
        <f>O107*IFERROR(VLOOKUP(A107,[1]Tørstofindhold!A$2:B$24,2,FALSE),0)</f>
        <v>13.181763535398105</v>
      </c>
      <c r="V107" s="192">
        <f>IF(D107=År1,P107,SUM(O107,P107))*IFERROR(VLOOKUP(A107,[1]Tørstofindhold!A$2:B$24,2,FALSE),0)</f>
        <v>501.68241220015142</v>
      </c>
      <c r="W107" s="192">
        <f>J107*IFERROR(VLOOKUP(A107,[1]Tørstofindhold!A$2:B$24,2,FALSE),0)</f>
        <v>488.50064866475327</v>
      </c>
      <c r="X107" s="193">
        <f t="shared" si="26"/>
        <v>13.181763535398147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20168.939794840036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153489.81145508884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792091.46065631567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792091.46065631567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58253.649751305209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-209725.27059971626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9740273.2021653466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6644128.6892416244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62867.4837195117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3464985.9093970521</v>
      </c>
      <c r="N112" s="204">
        <f t="shared" si="23"/>
        <v>-431708.88019284233</v>
      </c>
      <c r="O112" s="195">
        <f t="shared" si="20"/>
        <v>0</v>
      </c>
      <c r="P112" s="205">
        <f t="shared" si="24"/>
        <v>62867.4837195117</v>
      </c>
      <c r="Q112" s="192">
        <f>IFERROR(VLOOKUP(A112,[1]Energiindhold!$A$2:$C$11,3,FALSE),IFERROR(VLOOKUP(A112,[1]Biogasudbytte!$A$2:$B$18,2,FALSE)*[1]Energiindhold!$C$10,0))*O112</f>
        <v>0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0.11566831160843659</v>
      </c>
      <c r="S112" s="192">
        <f>IFERROR(VLOOKUP(A112,[1]Biogasudbytte!$A$2:$B$18,2,FALSE)*[1]Energiindhold!$C$10,0)*J112*IFERROR(VLOOKUP(A112,Biogasanlæg!$F$3:$G$8,2,FALSE),1)</f>
        <v>0.11566831160843659</v>
      </c>
      <c r="T112" s="193">
        <f t="shared" si="25"/>
        <v>0</v>
      </c>
      <c r="U112" s="191">
        <f>O112*IFERROR(VLOOKUP(A112,[1]Tørstofindhold!A$2:B$24,2,FALSE),0)</f>
        <v>0</v>
      </c>
      <c r="V112" s="192">
        <f>IF(D112=År1,P112,SUM(O112,P112))*IFERROR(VLOOKUP(A112,[1]Tørstofindhold!A$2:B$24,2,FALSE),0)</f>
        <v>17602.895441463279</v>
      </c>
      <c r="W112" s="192">
        <f>J112*IFERROR(VLOOKUP(A112,[1]Tørstofindhold!A$2:B$24,2,FALSE),0)</f>
        <v>17602.895441463279</v>
      </c>
      <c r="X112" s="193">
        <f t="shared" si="26"/>
        <v>0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579246.51710100006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579246.51710100006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314324.23534293834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33651.576659500075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1738074.2627217553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415339.06734260131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369095.7908326711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953639.40454648295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953639.40454648295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9.8566322027598599</v>
      </c>
      <c r="S115" s="192">
        <f>IFERROR(VLOOKUP(A115,[1]Biogasudbytte!$A$2:$B$18,2,FALSE)*[1]Energiindhold!$C$10,0)*J115*IFERROR(VLOOKUP(A115,Biogasanlæg!$F$3:$G$8,2,FALSE),1)</f>
        <v>0</v>
      </c>
      <c r="T115" s="193">
        <f t="shared" si="25"/>
        <v>9.8566322027598599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810593.49386451044</v>
      </c>
      <c r="W115" s="192">
        <f>J115*IFERROR(VLOOKUP(A115,[1]Tørstofindhold!A$2:B$24,2,FALSE),0)</f>
        <v>0</v>
      </c>
      <c r="X115" s="193">
        <f t="shared" si="26"/>
        <v>810593.49386451044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0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0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372513.10884401842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482490.34921714256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-109977.24037312414</v>
      </c>
      <c r="O118" s="195">
        <f t="shared" si="20"/>
        <v>0</v>
      </c>
      <c r="P118" s="205">
        <f t="shared" si="24"/>
        <v>482490.34921714256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1.7770893958677856</v>
      </c>
      <c r="S118" s="192">
        <f>IFERROR(VLOOKUP(A118,[1]Biogasudbytte!$A$2:$B$18,2,FALSE)*[1]Energiindhold!$C$10,0)*J118*IFERROR(VLOOKUP(A118,Biogasanlæg!$F$3:$G$8,2,FALSE),1)</f>
        <v>1.7770893958677856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202645.94667119987</v>
      </c>
      <c r="W118" s="192">
        <f>J118*IFERROR(VLOOKUP(A118,[1]Tørstofindhold!A$2:B$24,2,FALSE),0)</f>
        <v>202645.94667119987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686144.91909286368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686144.91909286368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1457061.1613346946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1328713.3626402579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3920720.3662957777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3189422.8658191925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2778.0605350782976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421048.88922296651</v>
      </c>
      <c r="O121" s="195">
        <f t="shared" si="20"/>
        <v>421048.88922296651</v>
      </c>
      <c r="P121" s="205">
        <f t="shared" si="24"/>
        <v>2778.0605350782976</v>
      </c>
      <c r="Q121" s="192">
        <f>IFERROR(VLOOKUP(A121,[1]Energiindhold!$A$2:$C$11,3,FALSE),IFERROR(VLOOKUP(A121,[1]Biogasudbytte!$A$2:$B$18,2,FALSE)*[1]Energiindhold!$C$10,0))*O121</f>
        <v>1.4420334987441694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1.4515479671483378</v>
      </c>
      <c r="S121" s="192">
        <f>IFERROR(VLOOKUP(A121,[1]Biogasudbytte!$A$2:$B$18,2,FALSE)*[1]Energiindhold!$C$10,0)*J121*IFERROR(VLOOKUP(A121,Biogasanlæg!$F$3:$G$8,2,FALSE),1)</f>
        <v>9.5144684041682595E-3</v>
      </c>
      <c r="T121" s="193">
        <f t="shared" si="25"/>
        <v>1.4420334987441694</v>
      </c>
      <c r="U121" s="191">
        <f>O121*IFERROR(VLOOKUP(A121,[1]Tørstofindhold!A$2:B$24,2,FALSE),0)</f>
        <v>130525.15565911961</v>
      </c>
      <c r="V121" s="192">
        <f>IF(D121=År1,P121,SUM(O121,P121))*IFERROR(VLOOKUP(A121,[1]Tørstofindhold!A$2:B$24,2,FALSE),0)</f>
        <v>131386.35442499389</v>
      </c>
      <c r="W121" s="192">
        <f>J121*IFERROR(VLOOKUP(A121,[1]Tørstofindhold!A$2:B$24,2,FALSE),0)</f>
        <v>861.19876587427223</v>
      </c>
      <c r="X121" s="193">
        <f t="shared" si="26"/>
        <v>130525.15565911961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601145.12417380617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-601145.12417380617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7641243.9015298951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6877119.5113769062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506232.40847635537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257891.98167663347</v>
      </c>
      <c r="O123" s="195">
        <f t="shared" si="20"/>
        <v>257891.98167663347</v>
      </c>
      <c r="P123" s="205">
        <f t="shared" si="24"/>
        <v>6877119.5113769062</v>
      </c>
      <c r="Q123" s="192">
        <f>IFERROR(VLOOKUP(A123,[1]Energiindhold!$A$2:$C$11,3,FALSE),IFERROR(VLOOKUP(A123,[1]Biogasudbytte!$A$2:$B$18,2,FALSE)*[1]Energiindhold!$C$10,0))*O123</f>
        <v>0.13054234220489511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3.611671467668772</v>
      </c>
      <c r="S123" s="192">
        <f>IFERROR(VLOOKUP(A123,[1]Biogasudbytte!$A$2:$B$18,2,FALSE)*[1]Energiindhold!$C$10,0)*J123*IFERROR(VLOOKUP(A123,Biogasanlæg!$F$3:$G$8,2,FALSE),1)</f>
        <v>3.4811291254638768</v>
      </c>
      <c r="T123" s="193">
        <f t="shared" si="25"/>
        <v>0.13054234220489525</v>
      </c>
      <c r="U123" s="191">
        <f>O123*IFERROR(VLOOKUP(A123,[1]Tørstofindhold!A$2:B$24,2,FALSE),0)</f>
        <v>19599.790607424144</v>
      </c>
      <c r="V123" s="192">
        <f>IF(D123=År1,P123,SUM(O123,P123))*IFERROR(VLOOKUP(A123,[1]Tørstofindhold!A$2:B$24,2,FALSE),0)</f>
        <v>542260.87347206904</v>
      </c>
      <c r="W123" s="192">
        <f>J123*IFERROR(VLOOKUP(A123,[1]Tørstofindhold!A$2:B$24,2,FALSE),0)</f>
        <v>522661.08286464488</v>
      </c>
      <c r="X123" s="193">
        <f t="shared" si="26"/>
        <v>19599.790607424162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954530.08204683824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819310.63076273911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135219.45128409914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3204301.4084430053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3060546.68077358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242163.91618130018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-98409.188511874992</v>
      </c>
      <c r="O125" s="195">
        <f t="shared" si="20"/>
        <v>0</v>
      </c>
      <c r="P125" s="205">
        <f t="shared" si="24"/>
        <v>242163.91618130018</v>
      </c>
      <c r="Q125" s="192">
        <f>IFERROR(VLOOKUP(A125,[1]Energiindhold!$A$2:$C$11,3,FALSE),IFERROR(VLOOKUP(A125,[1]Biogasudbytte!$A$2:$B$18,2,FALSE)*[1]Energiindhold!$C$10,0))*O125</f>
        <v>0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0.8693684590908678</v>
      </c>
      <c r="S125" s="192">
        <f>IFERROR(VLOOKUP(A125,[1]Biogasudbytte!$A$2:$B$18,2,FALSE)*[1]Energiindhold!$C$10,0)*J125*IFERROR(VLOOKUP(A125,Biogasanlæg!$F$3:$G$8,2,FALSE),1)</f>
        <v>0.8693684590908678</v>
      </c>
      <c r="T125" s="193">
        <f t="shared" si="25"/>
        <v>0</v>
      </c>
      <c r="U125" s="191">
        <f>O125*IFERROR(VLOOKUP(A125,[1]Tørstofindhold!A$2:B$24,2,FALSE),0)</f>
        <v>0</v>
      </c>
      <c r="V125" s="192">
        <f>IF(D125=År1,P125,SUM(O125,P125))*IFERROR(VLOOKUP(A125,[1]Tørstofindhold!A$2:B$24,2,FALSE),0)</f>
        <v>72649.174854390047</v>
      </c>
      <c r="W125" s="192">
        <f>J125*IFERROR(VLOOKUP(A125,[1]Tørstofindhold!A$2:B$24,2,FALSE),0)</f>
        <v>72649.174854390047</v>
      </c>
      <c r="X125" s="193">
        <f t="shared" si="26"/>
        <v>0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1841747.6674105611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1350923.1185571114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61672.869442609102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34302.712220301015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27370.157222308088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0</v>
      </c>
      <c r="Z128" s="103">
        <f t="shared" si="22"/>
        <v>1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1022217.4078862639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1022217.4078862639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167353.17803041782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167353.17803041782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167353.17803041782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3.0792984757596873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3.0792984757596873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69451.568882623396</v>
      </c>
      <c r="W130" s="192">
        <f>J130*IFERROR(VLOOKUP(A130,[1]Tørstofindhold!A$2:B$24,2,FALSE),0)</f>
        <v>0</v>
      </c>
      <c r="X130" s="193">
        <f t="shared" si="26"/>
        <v>69451.568882623396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2867977.1789306658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2867977.1789306658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601521.71713762206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601521.71713762206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300760.85856881103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113852.8723007386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186907.98626807245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192486.94948403907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192486.94948403907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192486.94948403907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6.7370432319413665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6.7370432319413665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1115035.1111116486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471164.6565816346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21018.886390792875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622851.56813922117</v>
      </c>
      <c r="O137" s="195">
        <f t="shared" si="39"/>
        <v>622851.56813922117</v>
      </c>
      <c r="P137" s="205">
        <f t="shared" si="24"/>
        <v>21018.886390792875</v>
      </c>
      <c r="Q137" s="192">
        <f>IFERROR(VLOOKUP(A137,[1]Energiindhold!$A$2:$C$11,3,FALSE),IFERROR(VLOOKUP(A137,[1]Biogasudbytte!$A$2:$B$18,2,FALSE)*[1]Energiindhold!$C$10,0))*O137</f>
        <v>1.6904440699925718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1.7474901684126394</v>
      </c>
      <c r="S137" s="192">
        <f>IFERROR(VLOOKUP(A137,[1]Biogasudbytte!$A$2:$B$18,2,FALSE)*[1]Energiindhold!$C$10,0)*J137*IFERROR(VLOOKUP(A137,Biogasanlæg!$F$3:$G$8,2,FALSE),1)</f>
        <v>5.7046098420067498E-2</v>
      </c>
      <c r="T137" s="193">
        <f t="shared" si="25"/>
        <v>1.6904440699925718</v>
      </c>
      <c r="U137" s="191">
        <f>O137*IFERROR(VLOOKUP(A137,[1]Tørstofindhold!A$2:B$24,2,FALSE),0)</f>
        <v>124570.31362784424</v>
      </c>
      <c r="V137" s="192">
        <f>IF(D137=År1,P137,SUM(O137,P137))*IFERROR(VLOOKUP(A137,[1]Tørstofindhold!A$2:B$24,2,FALSE),0)</f>
        <v>128774.09090600282</v>
      </c>
      <c r="W137" s="192">
        <f>J137*IFERROR(VLOOKUP(A137,[1]Tørstofindhold!A$2:B$24,2,FALSE),0)</f>
        <v>4203.7772781585754</v>
      </c>
      <c r="X137" s="193">
        <f t="shared" si="26"/>
        <v>124570.31362784424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99547.272105381227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99547.272105381227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63708.16798650907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20873.748363999999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42834.419622509071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4074032.978134946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3666629.6803214513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407403.29781349469</v>
      </c>
      <c r="O140" s="195">
        <f t="shared" si="39"/>
        <v>407403.29781349469</v>
      </c>
      <c r="P140" s="205">
        <f t="shared" si="24"/>
        <v>3666629.6803214513</v>
      </c>
      <c r="Q140" s="192">
        <f>IFERROR(VLOOKUP(A140,[1]Energiindhold!$A$2:$C$11,3,FALSE),IFERROR(VLOOKUP(A140,[1]Biogasudbytte!$A$2:$B$18,2,FALSE)*[1]Energiindhold!$C$10,0))*O140</f>
        <v>0.203298319641912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2.0329831964191194</v>
      </c>
      <c r="S140" s="192">
        <f>IFERROR(VLOOKUP(A140,[1]Biogasudbytte!$A$2:$B$18,2,FALSE)*[1]Energiindhold!$C$10,0)*J140*IFERROR(VLOOKUP(A140,Biogasanlæg!$F$3:$G$8,2,FALSE),1)</f>
        <v>1.8296848767772076</v>
      </c>
      <c r="T140" s="193">
        <f t="shared" si="25"/>
        <v>0.20329831964191181</v>
      </c>
      <c r="U140" s="191">
        <f>O140*IFERROR(VLOOKUP(A140,[1]Tørstofindhold!A$2:B$24,2,FALSE),0)</f>
        <v>24444.197868809679</v>
      </c>
      <c r="V140" s="192">
        <f>IF(D140=År1,P140,SUM(O140,P140))*IFERROR(VLOOKUP(A140,[1]Tørstofindhold!A$2:B$24,2,FALSE),0)</f>
        <v>244441.97868809674</v>
      </c>
      <c r="W140" s="192">
        <f>J140*IFERROR(VLOOKUP(A140,[1]Tørstofindhold!A$2:B$24,2,FALSE),0)</f>
        <v>219997.78081928706</v>
      </c>
      <c r="X140" s="193">
        <f t="shared" si="26"/>
        <v>24444.197868809686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7216145.8837897805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6494531.2954108026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721614.58837897785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6494531.2954108026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2.7978440820629742</v>
      </c>
      <c r="S141" s="192">
        <f>IFERROR(VLOOKUP(A141,[1]Biogasudbytte!$A$2:$B$18,2,FALSE)*[1]Energiindhold!$C$10,0)*J141*IFERROR(VLOOKUP(A141,Biogasanlæg!$F$3:$G$8,2,FALSE),1)</f>
        <v>2.7978440820629742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324726.56477054016</v>
      </c>
      <c r="W141" s="192">
        <f>J141*IFERROR(VLOOKUP(A141,[1]Tørstofindhold!A$2:B$24,2,FALSE),0)</f>
        <v>324726.56477054016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670075.43744177814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69644.90056848996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600430.53687328822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2301188.929717523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2301188.929717523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2301188.929717523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33.352440306562336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33.352440306562336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1138129.6914894583</v>
      </c>
      <c r="W145" s="192">
        <f>J145*IFERROR(VLOOKUP(A145,[1]Tørstofindhold!A$2:B$24,2,FALSE),0)</f>
        <v>0</v>
      </c>
      <c r="X145" s="193">
        <f t="shared" si="26"/>
        <v>1138129.6914894583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671197.32778518158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671197.32778518158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185537.64414936668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5718.282542457694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142206.90810740425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133104893.80827114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133104893.80827114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133104893.80827114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4812460.2718073083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3693826.1148101897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1118634.1569971186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292358.62093917595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219268.96570438196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73089.655234793987</v>
      </c>
      <c r="O200" s="195">
        <f t="shared" si="59"/>
        <v>73089.655234793987</v>
      </c>
      <c r="P200" s="205">
        <f t="shared" si="49"/>
        <v>219268.96570438196</v>
      </c>
      <c r="Q200" s="192">
        <f>IFERROR(VLOOKUP(A200,[1]Energiindhold!$A$2:$C$11,3,FALSE),IFERROR(VLOOKUP(A200,[1]Biogasudbytte!$A$2:$B$18,2,FALSE)*[1]Energiindhold!$C$10,0))*O200</f>
        <v>4.1516830127857875E-2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0.1660673205114315</v>
      </c>
      <c r="S200" s="192">
        <f>IFERROR(VLOOKUP(A200,[1]Biogasudbytte!$A$2:$B$18,2,FALSE)*[1]Energiindhold!$C$10,0)*J200*IFERROR(VLOOKUP(A200,Biogasanlæg!$F$3:$G$8,2,FALSE),1)</f>
        <v>0.12455049038357362</v>
      </c>
      <c r="T200" s="193">
        <f t="shared" si="50"/>
        <v>4.1516830127857882E-2</v>
      </c>
      <c r="U200" s="191">
        <f>O200*IFERROR(VLOOKUP(A200,[1]Tørstofindhold!A$2:B$24,2,FALSE),0)</f>
        <v>3125.5612533206254</v>
      </c>
      <c r="V200" s="192">
        <f>IF(D200=År1,P200,SUM(O200,P200))*IFERROR(VLOOKUP(A200,[1]Tørstofindhold!A$2:B$24,2,FALSE),0)</f>
        <v>12502.245013282502</v>
      </c>
      <c r="W200" s="192">
        <f>J200*IFERROR(VLOOKUP(A200,[1]Tørstofindhold!A$2:B$24,2,FALSE),0)</f>
        <v>9376.6837599618757</v>
      </c>
      <c r="X200" s="193">
        <f t="shared" si="51"/>
        <v>3125.5612533206258</v>
      </c>
      <c r="Y200" s="171">
        <f t="shared" si="60"/>
        <v>0</v>
      </c>
      <c r="Z200" s="103">
        <f t="shared" si="61"/>
        <v>1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272382.94042340637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204287.20531755476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25779.099718643818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42316.635387207789</v>
      </c>
      <c r="O201" s="195">
        <f t="shared" si="59"/>
        <v>42316.635387207789</v>
      </c>
      <c r="P201" s="205">
        <f t="shared" si="49"/>
        <v>204287.20531755476</v>
      </c>
      <c r="Q201" s="192">
        <f>IFERROR(VLOOKUP(A201,[1]Energiindhold!$A$2:$C$11,3,FALSE),IFERROR(VLOOKUP(A201,[1]Biogasudbytte!$A$2:$B$18,2,FALSE)*[1]Energiindhold!$C$10,0))*O201</f>
        <v>9.1150032624045585E-2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0.53118467287805848</v>
      </c>
      <c r="S201" s="192">
        <f>IFERROR(VLOOKUP(A201,[1]Biogasudbytte!$A$2:$B$18,2,FALSE)*[1]Energiindhold!$C$10,0)*J201*IFERROR(VLOOKUP(A201,Biogasanlæg!$F$3:$G$8,2,FALSE),1)</f>
        <v>0.44003464025401295</v>
      </c>
      <c r="T201" s="193">
        <f t="shared" si="50"/>
        <v>9.1150032624045529E-2</v>
      </c>
      <c r="U201" s="191">
        <f>O201*IFERROR(VLOOKUP(A201,[1]Tørstofindhold!A$2:B$24,2,FALSE),0)</f>
        <v>12694.990616162337</v>
      </c>
      <c r="V201" s="192">
        <f>IF(D201=År1,P201,SUM(O201,P201))*IFERROR(VLOOKUP(A201,[1]Tørstofindhold!A$2:B$24,2,FALSE),0)</f>
        <v>73981.152211428765</v>
      </c>
      <c r="W201" s="192">
        <f>J201*IFERROR(VLOOKUP(A201,[1]Tørstofindhold!A$2:B$24,2,FALSE),0)</f>
        <v>61286.161595266429</v>
      </c>
      <c r="X201" s="193">
        <f t="shared" si="51"/>
        <v>12694.990616162337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205919.32963053533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200219.97697680999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5699.3526537253347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1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132.53822154679034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42.512259741423236</v>
      </c>
      <c r="O203" s="195">
        <f t="shared" si="59"/>
        <v>42.512259741423236</v>
      </c>
      <c r="P203" s="205">
        <f t="shared" si="49"/>
        <v>525.15144386464101</v>
      </c>
      <c r="Q203" s="192">
        <f>IFERROR(VLOOKUP(A203,[1]Energiindhold!$A$2:$C$11,3,FALSE),IFERROR(VLOOKUP(A203,[1]Biogasudbytte!$A$2:$B$18,2,FALSE)*[1]Energiindhold!$C$10,0))*O203</f>
        <v>1.9993090633793934E-5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2.6696656316889595E-4</v>
      </c>
      <c r="S203" s="192">
        <f>IFERROR(VLOOKUP(A203,[1]Biogasudbytte!$A$2:$B$18,2,FALSE)*[1]Energiindhold!$C$10,0)*J203*IFERROR(VLOOKUP(A203,Biogasanlæg!$F$3:$G$8,2,FALSE),1)</f>
        <v>2.4697347253510203E-4</v>
      </c>
      <c r="T203" s="193">
        <f t="shared" si="50"/>
        <v>1.9993090633793923E-5</v>
      </c>
      <c r="U203" s="191">
        <f>O203*IFERROR(VLOOKUP(A203,[1]Tørstofindhold!A$2:B$24,2,FALSE),0)</f>
        <v>2.6782723637096639</v>
      </c>
      <c r="V203" s="192">
        <f>IF(D203=År1,P203,SUM(O203,P203))*IFERROR(VLOOKUP(A203,[1]Tørstofindhold!A$2:B$24,2,FALSE),0)</f>
        <v>35.762813327182045</v>
      </c>
      <c r="W203" s="192">
        <f>J203*IFERROR(VLOOKUP(A203,[1]Tørstofindhold!A$2:B$24,2,FALSE),0)</f>
        <v>33.084540963472385</v>
      </c>
      <c r="X203" s="193">
        <f t="shared" si="51"/>
        <v>2.6782723637096595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-9204.0491150836206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325188.93567900889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325188.93567900889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22827.041283233735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-200496.90137007556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3830672.7259070398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1147235.5526749862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19630.42610089339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598295.9106759713</v>
      </c>
      <c r="N208" s="204">
        <f t="shared" si="48"/>
        <v>2065510.8364551889</v>
      </c>
      <c r="O208" s="195">
        <f t="shared" si="59"/>
        <v>514637.88978790143</v>
      </c>
      <c r="P208" s="205">
        <f t="shared" si="49"/>
        <v>19630.42610089339</v>
      </c>
      <c r="Q208" s="192">
        <f>IFERROR(VLOOKUP(A208,[1]Energiindhold!$A$2:$C$11,3,FALSE),IFERROR(VLOOKUP(A208,[1]Biogasudbytte!$A$2:$B$18,2,FALSE)*[1]Energiindhold!$C$10,0))*O208</f>
        <v>0.94686938747351523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0.98298691769589641</v>
      </c>
      <c r="S208" s="192">
        <f>IFERROR(VLOOKUP(A208,[1]Biogasudbytte!$A$2:$B$18,2,FALSE)*[1]Energiindhold!$C$10,0)*J208*IFERROR(VLOOKUP(A208,Biogasanlæg!$F$3:$G$8,2,FALSE),1)</f>
        <v>3.6117530222381226E-2</v>
      </c>
      <c r="T208" s="193">
        <f t="shared" si="50"/>
        <v>0.94686938747351523</v>
      </c>
      <c r="U208" s="191">
        <f>O208*IFERROR(VLOOKUP(A208,[1]Tørstofindhold!A$2:B$24,2,FALSE),0)</f>
        <v>144098.60914061242</v>
      </c>
      <c r="V208" s="192">
        <f>IF(D208=År1,P208,SUM(O208,P208))*IFERROR(VLOOKUP(A208,[1]Tørstofindhold!A$2:B$24,2,FALSE),0)</f>
        <v>149595.12844886258</v>
      </c>
      <c r="W208" s="192">
        <f>J208*IFERROR(VLOOKUP(A208,[1]Tørstofindhold!A$2:B$24,2,FALSE),0)</f>
        <v>5496.5193082501501</v>
      </c>
      <c r="X208" s="193">
        <f t="shared" si="51"/>
        <v>144098.60914061242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100017.96010626001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100017.96010626001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122573.44646679725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-111328.99873324773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684425.33771835396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71716.212427048929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77920.551603575906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534788.57368772908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534788.57368772908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5.527471130018256</v>
      </c>
      <c r="S211" s="192">
        <f>IFERROR(VLOOKUP(A211,[1]Biogasudbytte!$A$2:$B$18,2,FALSE)*[1]Energiindhold!$C$10,0)*J211*IFERROR(VLOOKUP(A211,Biogasanlæg!$F$3:$G$8,2,FALSE),1)</f>
        <v>0</v>
      </c>
      <c r="T211" s="193">
        <f t="shared" si="50"/>
        <v>5.527471130018256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454570.28763456969</v>
      </c>
      <c r="W211" s="192">
        <f>J211*IFERROR(VLOOKUP(A211,[1]Tørstofindhold!A$2:B$24,2,FALSE),0)</f>
        <v>0</v>
      </c>
      <c r="X211" s="193">
        <f t="shared" si="51"/>
        <v>454570.28763456969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0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0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194046.46530890666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219104.13289704846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-25057.667588141805</v>
      </c>
      <c r="O214" s="195">
        <f t="shared" si="59"/>
        <v>0</v>
      </c>
      <c r="P214" s="205">
        <f t="shared" si="49"/>
        <v>219104.13289704846</v>
      </c>
      <c r="Q214" s="192">
        <f>IFERROR(VLOOKUP(A214,[1]Energiindhold!$A$2:$C$11,3,FALSE),IFERROR(VLOOKUP(A214,[1]Biogasudbytte!$A$2:$B$18,2,FALSE)*[1]Energiindhold!$C$10,0))*O214</f>
        <v>0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0.80699568767315955</v>
      </c>
      <c r="S214" s="192">
        <f>IFERROR(VLOOKUP(A214,[1]Biogasudbytte!$A$2:$B$18,2,FALSE)*[1]Energiindhold!$C$10,0)*J214*IFERROR(VLOOKUP(A214,Biogasanlæg!$F$3:$G$8,2,FALSE),1)</f>
        <v>0.80699568767315955</v>
      </c>
      <c r="T214" s="193">
        <f t="shared" si="50"/>
        <v>0</v>
      </c>
      <c r="U214" s="191">
        <f>O214*IFERROR(VLOOKUP(A214,[1]Tørstofindhold!A$2:B$24,2,FALSE),0)</f>
        <v>0</v>
      </c>
      <c r="V214" s="192">
        <f>IF(D214=År1,P214,SUM(O214,P214))*IFERROR(VLOOKUP(A214,[1]Tørstofindhold!A$2:B$24,2,FALSE),0)</f>
        <v>92023.735816760352</v>
      </c>
      <c r="W214" s="192">
        <f>J214*IFERROR(VLOOKUP(A214,[1]Tørstofindhold!A$2:B$24,2,FALSE),0)</f>
        <v>92023.735816760352</v>
      </c>
      <c r="X214" s="193">
        <f t="shared" si="51"/>
        <v>0</v>
      </c>
      <c r="Y214" s="171">
        <f t="shared" si="60"/>
        <v>1</v>
      </c>
      <c r="Z214" s="103">
        <f t="shared" si="61"/>
        <v>0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268357.16269202955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268357.16269202955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567494.30742817745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460533.89278896089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1541299.6719009152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550714.69493164914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914.88861421207764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733435.24888967804</v>
      </c>
      <c r="O217" s="195">
        <f t="shared" si="59"/>
        <v>733435.24888967804</v>
      </c>
      <c r="P217" s="205">
        <f t="shared" si="63"/>
        <v>914.88861421207764</v>
      </c>
      <c r="Q217" s="192">
        <f>IFERROR(VLOOKUP(A217,[1]Energiindhold!$A$2:$C$11,3,FALSE),IFERROR(VLOOKUP(A217,[1]Biogasudbytte!$A$2:$B$18,2,FALSE)*[1]Energiindhold!$C$10,0))*O217</f>
        <v>2.5119130465123032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2.5150464119315736</v>
      </c>
      <c r="S217" s="192">
        <f>IFERROR(VLOOKUP(A217,[1]Biogasudbytte!$A$2:$B$18,2,FALSE)*[1]Energiindhold!$C$10,0)*J217*IFERROR(VLOOKUP(A217,Biogasanlæg!$F$3:$G$8,2,FALSE),1)</f>
        <v>3.1333654192703766E-3</v>
      </c>
      <c r="T217" s="193">
        <f t="shared" si="64"/>
        <v>2.5119130465123032</v>
      </c>
      <c r="U217" s="191">
        <f>O217*IFERROR(VLOOKUP(A217,[1]Tørstofindhold!A$2:B$24,2,FALSE),0)</f>
        <v>227364.92715580019</v>
      </c>
      <c r="V217" s="192">
        <f>IF(D217=År1,P217,SUM(O217,P217))*IFERROR(VLOOKUP(A217,[1]Tørstofindhold!A$2:B$24,2,FALSE),0)</f>
        <v>227648.54262620592</v>
      </c>
      <c r="W217" s="192">
        <f>J217*IFERROR(VLOOKUP(A217,[1]Tørstofindhold!A$2:B$24,2,FALSE),0)</f>
        <v>283.61547040574408</v>
      </c>
      <c r="X217" s="193">
        <f t="shared" si="65"/>
        <v>227364.92715580016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299171.09031254635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-299171.09031254635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553673.50359972543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122269.5653782727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62288.269154969137</v>
      </c>
      <c r="O219" s="195">
        <f t="shared" si="59"/>
        <v>62288.269154969137</v>
      </c>
      <c r="P219" s="205">
        <f t="shared" si="63"/>
        <v>553673.50359972543</v>
      </c>
      <c r="Q219" s="192">
        <f>IFERROR(VLOOKUP(A219,[1]Energiindhold!$A$2:$C$11,3,FALSE),IFERROR(VLOOKUP(A219,[1]Biogasudbytte!$A$2:$B$18,2,FALSE)*[1]Energiindhold!$C$10,0))*O219</f>
        <v>3.1529698963553829E-2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0.31179368975069888</v>
      </c>
      <c r="S219" s="192">
        <f>IFERROR(VLOOKUP(A219,[1]Biogasudbytte!$A$2:$B$18,2,FALSE)*[1]Energiindhold!$C$10,0)*J219*IFERROR(VLOOKUP(A219,Biogasanlæg!$F$3:$G$8,2,FALSE),1)</f>
        <v>0.28026399078714503</v>
      </c>
      <c r="T219" s="193">
        <f t="shared" si="64"/>
        <v>3.1529698963553843E-2</v>
      </c>
      <c r="U219" s="191">
        <f>O219*IFERROR(VLOOKUP(A219,[1]Tørstofindhold!A$2:B$24,2,FALSE),0)</f>
        <v>4733.9084557776541</v>
      </c>
      <c r="V219" s="192">
        <f>IF(D219=År1,P219,SUM(O219,P219))*IFERROR(VLOOKUP(A219,[1]Tørstofindhold!A$2:B$24,2,FALSE),0)</f>
        <v>46813.094729356788</v>
      </c>
      <c r="W219" s="192">
        <f>J219*IFERROR(VLOOKUP(A219,[1]Tørstofindhold!A$2:B$24,2,FALSE),0)</f>
        <v>42079.186273579129</v>
      </c>
      <c r="X219" s="193">
        <f t="shared" si="65"/>
        <v>4733.9084557776587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92168.427114874314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141469.60847064349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-49301.181355769178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1235469.8186668158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528461.76331446774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77483.083213312464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629524.97213903558</v>
      </c>
      <c r="O221" s="195">
        <f t="shared" si="59"/>
        <v>52304.337322308449</v>
      </c>
      <c r="P221" s="205">
        <f t="shared" si="63"/>
        <v>77483.083213312464</v>
      </c>
      <c r="Q221" s="192">
        <f>IFERROR(VLOOKUP(A221,[1]Energiindhold!$A$2:$C$11,3,FALSE),IFERROR(VLOOKUP(A221,[1]Biogasudbytte!$A$2:$B$18,2,FALSE)*[1]Energiindhold!$C$10,0))*O221</f>
        <v>0.18777257098708736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0.46593683972287914</v>
      </c>
      <c r="S221" s="192">
        <f>IFERROR(VLOOKUP(A221,[1]Biogasudbytte!$A$2:$B$18,2,FALSE)*[1]Energiindhold!$C$10,0)*J221*IFERROR(VLOOKUP(A221,Biogasanlæg!$F$3:$G$8,2,FALSE),1)</f>
        <v>0.27816426873579175</v>
      </c>
      <c r="T221" s="193">
        <f t="shared" si="64"/>
        <v>0.18777257098708738</v>
      </c>
      <c r="U221" s="191">
        <f>O221*IFERROR(VLOOKUP(A221,[1]Tørstofindhold!A$2:B$24,2,FALSE),0)</f>
        <v>15691.301196692533</v>
      </c>
      <c r="V221" s="192">
        <f>IF(D221=År1,P221,SUM(O221,P221))*IFERROR(VLOOKUP(A221,[1]Tørstofindhold!A$2:B$24,2,FALSE),0)</f>
        <v>38936.226160686274</v>
      </c>
      <c r="W221" s="192">
        <f>J221*IFERROR(VLOOKUP(A221,[1]Tørstofindhold!A$2:B$24,2,FALSE),0)</f>
        <v>23244.924963993737</v>
      </c>
      <c r="X221" s="193">
        <f t="shared" si="65"/>
        <v>15691.301196692537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177837.22990030446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-231198.20190680941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6036.6362564051497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-35543.931087297315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402071.35668050894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402071.35668050894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66921.012385379698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66921.012385379698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66921.012385379698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1.2313466278909861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1.2313466278909861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27772.220139932579</v>
      </c>
      <c r="W226" s="192">
        <f>J226*IFERROR(VLOOKUP(A226,[1]Tørstofindhold!A$2:B$24,2,FALSE),0)</f>
        <v>0</v>
      </c>
      <c r="X226" s="193">
        <f t="shared" si="65"/>
        <v>27772.220139932579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276928.87898992695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235557.19695784606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235557.19695784606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117778.59847892303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19658.870107237683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98119.728371685342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75378.303026510737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75378.303026510737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75378.303026510737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2.6382406059278756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2.6382406059278756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441450.20412922179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81355.565263148092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7122.3332592263878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352972.30560684728</v>
      </c>
      <c r="O233" s="195">
        <f t="shared" si="59"/>
        <v>352972.30560684728</v>
      </c>
      <c r="P233" s="205">
        <f t="shared" si="63"/>
        <v>7122.3332592263878</v>
      </c>
      <c r="Q233" s="192">
        <f>IFERROR(VLOOKUP(A233,[1]Energiindhold!$A$2:$C$11,3,FALSE),IFERROR(VLOOKUP(A233,[1]Biogasudbytte!$A$2:$B$18,2,FALSE)*[1]Energiindhold!$C$10,0))*O233</f>
        <v>0.95798095630920777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0.97731125366807858</v>
      </c>
      <c r="S233" s="192">
        <f>IFERROR(VLOOKUP(A233,[1]Biogasudbytte!$A$2:$B$18,2,FALSE)*[1]Energiindhold!$C$10,0)*J233*IFERROR(VLOOKUP(A233,Biogasanlæg!$F$3:$G$8,2,FALSE),1)</f>
        <v>1.9330297358870787E-2</v>
      </c>
      <c r="T233" s="193">
        <f t="shared" si="64"/>
        <v>0.95798095630920777</v>
      </c>
      <c r="U233" s="191">
        <f>O233*IFERROR(VLOOKUP(A233,[1]Tørstofindhold!A$2:B$24,2,FALSE),0)</f>
        <v>70594.461121369459</v>
      </c>
      <c r="V233" s="192">
        <f>IF(D233=År1,P233,SUM(O233,P233))*IFERROR(VLOOKUP(A233,[1]Tørstofindhold!A$2:B$24,2,FALSE),0)</f>
        <v>72018.927773214746</v>
      </c>
      <c r="W233" s="192">
        <f>J233*IFERROR(VLOOKUP(A233,[1]Tørstofindhold!A$2:B$24,2,FALSE),0)</f>
        <v>1424.4666518452777</v>
      </c>
      <c r="X233" s="193">
        <f t="shared" si="65"/>
        <v>70594.461121369473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17150.132696154993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17150.132696154993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13741.973573647057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3604.250814640001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10137.722759007056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3342323.2852705466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2506742.4639529102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835580.82131763641</v>
      </c>
      <c r="O236" s="195">
        <f t="shared" si="59"/>
        <v>835580.82131763641</v>
      </c>
      <c r="P236" s="205">
        <f t="shared" si="63"/>
        <v>2506742.4639529102</v>
      </c>
      <c r="Q236" s="192">
        <f>IFERROR(VLOOKUP(A236,[1]Energiindhold!$A$2:$C$11,3,FALSE),IFERROR(VLOOKUP(A236,[1]Biogasudbytte!$A$2:$B$18,2,FALSE)*[1]Energiindhold!$C$10,0))*O236</f>
        <v>0.41696318564571383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1.6678527425828558</v>
      </c>
      <c r="S236" s="192">
        <f>IFERROR(VLOOKUP(A236,[1]Biogasudbytte!$A$2:$B$18,2,FALSE)*[1]Energiindhold!$C$10,0)*J236*IFERROR(VLOOKUP(A236,Biogasanlæg!$F$3:$G$8,2,FALSE),1)</f>
        <v>1.2508895569371419</v>
      </c>
      <c r="T236" s="193">
        <f t="shared" si="64"/>
        <v>0.41696318564571389</v>
      </c>
      <c r="U236" s="191">
        <f>O236*IFERROR(VLOOKUP(A236,[1]Tørstofindhold!A$2:B$24,2,FALSE),0)</f>
        <v>50134.84927905818</v>
      </c>
      <c r="V236" s="192">
        <f>IF(D236=År1,P236,SUM(O236,P236))*IFERROR(VLOOKUP(A236,[1]Tørstofindhold!A$2:B$24,2,FALSE),0)</f>
        <v>200539.39711623278</v>
      </c>
      <c r="W236" s="192">
        <f>J236*IFERROR(VLOOKUP(A236,[1]Tørstofindhold!A$2:B$24,2,FALSE),0)</f>
        <v>150404.54783717461</v>
      </c>
      <c r="X236" s="193">
        <f t="shared" si="65"/>
        <v>50134.849279058166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1638224.8785321345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1228668.658899101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409556.21963303362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1228668.658899101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0.5293104582537328</v>
      </c>
      <c r="S237" s="192">
        <f>IFERROR(VLOOKUP(A237,[1]Biogasudbytte!$A$2:$B$18,2,FALSE)*[1]Energiindhold!$C$10,0)*J237*IFERROR(VLOOKUP(A237,Biogasanlæg!$F$3:$G$8,2,FALSE),1)</f>
        <v>0.5293104582537328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61433.43294495505</v>
      </c>
      <c r="W237" s="192">
        <f>J237*IFERROR(VLOOKUP(A237,[1]Tørstofindhold!A$2:B$24,2,FALSE),0)</f>
        <v>61433.43294495505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149752.58402122525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65331.432141586905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647355.98293935158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647355.98293935158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647355.98293935158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9.3824985420606239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9.3824985420606239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320171.47989542095</v>
      </c>
      <c r="W241" s="192">
        <f>J241*IFERROR(VLOOKUP(A241,[1]Tørstofindhold!A$2:B$24,2,FALSE),0)</f>
        <v>0</v>
      </c>
      <c r="X241" s="193">
        <f t="shared" si="65"/>
        <v>320171.47989542095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178138.28255074998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178138.28255074998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172969.00798479689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3942.6753668076931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88596.006060305852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80430.326557683336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139136693.06427222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139136693.06427222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139136693.06427222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5052646.7653582999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3460511.9226035657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1592134.8427547342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201577.15616398031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181419.44054758229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20157.715616398025</v>
      </c>
      <c r="O248" s="195">
        <f t="shared" si="59"/>
        <v>20157.715616398025</v>
      </c>
      <c r="P248" s="205">
        <f t="shared" si="63"/>
        <v>181419.44054758229</v>
      </c>
      <c r="Q248" s="192">
        <f>IFERROR(VLOOKUP(A248,[1]Energiindhold!$A$2:$C$11,3,FALSE),IFERROR(VLOOKUP(A248,[1]Biogasudbytte!$A$2:$B$18,2,FALSE)*[1]Energiindhold!$C$10,0))*O248</f>
        <v>1.1450108121638393E-2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0.11450108121638396</v>
      </c>
      <c r="S248" s="192">
        <f>IFERROR(VLOOKUP(A248,[1]Biogasudbytte!$A$2:$B$18,2,FALSE)*[1]Energiindhold!$C$10,0)*J248*IFERROR(VLOOKUP(A248,Biogasanlæg!$F$3:$G$8,2,FALSE),1)</f>
        <v>0.10305097309474556</v>
      </c>
      <c r="T248" s="193">
        <f t="shared" si="64"/>
        <v>1.1450108121638394E-2</v>
      </c>
      <c r="U248" s="191">
        <f>O248*IFERROR(VLOOKUP(A248,[1]Tørstofindhold!A$2:B$24,2,FALSE),0)</f>
        <v>862.01220519749984</v>
      </c>
      <c r="V248" s="192">
        <f>IF(D248=År1,P248,SUM(O248,P248))*IFERROR(VLOOKUP(A248,[1]Tørstofindhold!A$2:B$24,2,FALSE),0)</f>
        <v>8620.1220519750004</v>
      </c>
      <c r="W248" s="192">
        <f>J248*IFERROR(VLOOKUP(A248,[1]Tørstofindhold!A$2:B$24,2,FALSE),0)</f>
        <v>7758.1098467775009</v>
      </c>
      <c r="X248" s="193">
        <f t="shared" si="65"/>
        <v>862.0122051974995</v>
      </c>
      <c r="Y248" s="171">
        <f t="shared" si="60"/>
        <v>0</v>
      </c>
      <c r="Z248" s="103">
        <f t="shared" si="61"/>
        <v>1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195972.35856769816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176375.12271092835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7418.9535743485703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12178.282282421249</v>
      </c>
      <c r="O249" s="195">
        <f t="shared" si="59"/>
        <v>12178.282282421249</v>
      </c>
      <c r="P249" s="205">
        <f t="shared" si="63"/>
        <v>176375.12271092835</v>
      </c>
      <c r="Q249" s="192">
        <f>IFERROR(VLOOKUP(A249,[1]Energiindhold!$A$2:$C$11,3,FALSE),IFERROR(VLOOKUP(A249,[1]Biogasudbytte!$A$2:$B$18,2,FALSE)*[1]Energiindhold!$C$10,0))*O249</f>
        <v>2.623202003633537E-2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0.40614403435567503</v>
      </c>
      <c r="S249" s="192">
        <f>IFERROR(VLOOKUP(A249,[1]Biogasudbytte!$A$2:$B$18,2,FALSE)*[1]Energiindhold!$C$10,0)*J249*IFERROR(VLOOKUP(A249,Biogasanlæg!$F$3:$G$8,2,FALSE),1)</f>
        <v>0.37991201431933969</v>
      </c>
      <c r="T249" s="193">
        <f t="shared" si="64"/>
        <v>2.6232020036335346E-2</v>
      </c>
      <c r="U249" s="191">
        <f>O249*IFERROR(VLOOKUP(A249,[1]Tørstofindhold!A$2:B$24,2,FALSE),0)</f>
        <v>3653.4846847263748</v>
      </c>
      <c r="V249" s="192">
        <f>IF(D249=År1,P249,SUM(O249,P249))*IFERROR(VLOOKUP(A249,[1]Tørstofindhold!A$2:B$24,2,FALSE),0)</f>
        <v>56566.021498004877</v>
      </c>
      <c r="W249" s="192">
        <f>J249*IFERROR(VLOOKUP(A249,[1]Tørstofindhold!A$2:B$24,2,FALSE),0)</f>
        <v>52912.536813278501</v>
      </c>
      <c r="X249" s="193">
        <f t="shared" si="65"/>
        <v>3653.4846847263761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141978.48085605886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138048.85738122172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3929.6234748371353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1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54.748878657904719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17.560961078950641</v>
      </c>
      <c r="O251" s="195">
        <f t="shared" si="59"/>
        <v>17.560961078950641</v>
      </c>
      <c r="P251" s="205">
        <f t="shared" si="63"/>
        <v>650.78855763169781</v>
      </c>
      <c r="Q251" s="192">
        <f>IFERROR(VLOOKUP(A251,[1]Energiindhold!$A$2:$C$11,3,FALSE),IFERROR(VLOOKUP(A251,[1]Biogasudbytte!$A$2:$B$18,2,FALSE)*[1]Energiindhold!$C$10,0))*O251</f>
        <v>8.2587443858196973E-6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3.1431809515443089E-4</v>
      </c>
      <c r="S251" s="192">
        <f>IFERROR(VLOOKUP(A251,[1]Biogasudbytte!$A$2:$B$18,2,FALSE)*[1]Energiindhold!$C$10,0)*J251*IFERROR(VLOOKUP(A251,Biogasanlæg!$F$3:$G$8,2,FALSE),1)</f>
        <v>3.0605935076861117E-4</v>
      </c>
      <c r="T251" s="193">
        <f t="shared" si="64"/>
        <v>8.2587443858197227E-6</v>
      </c>
      <c r="U251" s="191">
        <f>O251*IFERROR(VLOOKUP(A251,[1]Tørstofindhold!A$2:B$24,2,FALSE),0)</f>
        <v>1.1063405479738904</v>
      </c>
      <c r="V251" s="192">
        <f>IF(D251=År1,P251,SUM(O251,P251))*IFERROR(VLOOKUP(A251,[1]Tørstofindhold!A$2:B$24,2,FALSE),0)</f>
        <v>42.106019678770856</v>
      </c>
      <c r="W251" s="192">
        <f>J251*IFERROR(VLOOKUP(A251,[1]Tørstofindhold!A$2:B$24,2,FALSE),0)</f>
        <v>40.999679130796963</v>
      </c>
      <c r="X251" s="193">
        <f t="shared" si="65"/>
        <v>1.1063405479738933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17596.15120364408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-3021.0363108320744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287387.86171913851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287387.86171913851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21135.685502875454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-212659.33048959836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3533955.982275791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791002.77397514437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22809.516280488293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412516.61343583919</v>
      </c>
      <c r="N256" s="204">
        <f t="shared" si="62"/>
        <v>2307627.078584319</v>
      </c>
      <c r="O256" s="195">
        <f t="shared" si="59"/>
        <v>1875918.1983914766</v>
      </c>
      <c r="P256" s="205">
        <f t="shared" si="63"/>
        <v>22809.516280488293</v>
      </c>
      <c r="Q256" s="192">
        <f>IFERROR(VLOOKUP(A256,[1]Energiindhold!$A$2:$C$11,3,FALSE),IFERROR(VLOOKUP(A256,[1]Biogasudbytte!$A$2:$B$18,2,FALSE)*[1]Energiindhold!$C$10,0))*O256</f>
        <v>3.4514549952655185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3.4934216540320819</v>
      </c>
      <c r="S256" s="192">
        <f>IFERROR(VLOOKUP(A256,[1]Biogasudbytte!$A$2:$B$18,2,FALSE)*[1]Energiindhold!$C$10,0)*J256*IFERROR(VLOOKUP(A256,Biogasanlæg!$F$3:$G$8,2,FALSE),1)</f>
        <v>4.19666587665634E-2</v>
      </c>
      <c r="T256" s="193">
        <f t="shared" si="64"/>
        <v>3.4514549952655185</v>
      </c>
      <c r="U256" s="191">
        <f>O256*IFERROR(VLOOKUP(A256,[1]Tørstofindhold!A$2:B$24,2,FALSE),0)</f>
        <v>525257.09554961347</v>
      </c>
      <c r="V256" s="192">
        <f>IF(D256=År1,P256,SUM(O256,P256))*IFERROR(VLOOKUP(A256,[1]Tørstofindhold!A$2:B$24,2,FALSE),0)</f>
        <v>531643.76010815019</v>
      </c>
      <c r="W256" s="192">
        <f>J256*IFERROR(VLOOKUP(A256,[1]Tørstofindhold!A$2:B$24,2,FALSE),0)</f>
        <v>6386.6645585367223</v>
      </c>
      <c r="X256" s="193">
        <f t="shared" si="65"/>
        <v>525257.09554961347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68960.976415800003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68960.976415800003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114043.64550146319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-130825.87124854884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630610.47583601228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49447.319546988874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52105.736853839095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529057.41943518422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529057.41943518422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5.4682350295642461</v>
      </c>
      <c r="S259" s="192">
        <f>IFERROR(VLOOKUP(A259,[1]Biogasudbytte!$A$2:$B$18,2,FALSE)*[1]Energiindhold!$C$10,0)*J259*IFERROR(VLOOKUP(A259,Biogasanlæg!$F$3:$G$8,2,FALSE),1)</f>
        <v>0</v>
      </c>
      <c r="T259" s="193">
        <f t="shared" si="64"/>
        <v>5.4682350295642461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449698.80651990656</v>
      </c>
      <c r="W259" s="192">
        <f>J259*IFERROR(VLOOKUP(A259,[1]Tørstofindhold!A$2:B$24,2,FALSE),0)</f>
        <v>0</v>
      </c>
      <c r="X259" s="193">
        <f t="shared" si="65"/>
        <v>449698.80651990656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0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0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185713.38946982374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240541.65078285753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-54828.261313033785</v>
      </c>
      <c r="O262" s="195">
        <f t="shared" si="75"/>
        <v>0</v>
      </c>
      <c r="P262" s="205">
        <f t="shared" si="63"/>
        <v>240541.65078285753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0.88595350676821505</v>
      </c>
      <c r="S262" s="192">
        <f>IFERROR(VLOOKUP(A262,[1]Biogasudbytte!$A$2:$B$18,2,FALSE)*[1]Energiindhold!$C$10,0)*J262*IFERROR(VLOOKUP(A262,Biogasanlæg!$F$3:$G$8,2,FALSE),1)</f>
        <v>0.88595350676821505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101027.49332880016</v>
      </c>
      <c r="W262" s="192">
        <f>J262*IFERROR(VLOOKUP(A262,[1]Tørstofindhold!A$2:B$24,2,FALSE),0)</f>
        <v>101027.49332880016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248947.97885223315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248947.97885223315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528652.13279396389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416676.62513441063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1422520.7615932694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379710.03456447175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1007.9394649217019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773553.76921461651</v>
      </c>
      <c r="O265" s="195">
        <f t="shared" si="75"/>
        <v>773553.76921461651</v>
      </c>
      <c r="P265" s="205">
        <f t="shared" si="63"/>
        <v>1007.9394649217019</v>
      </c>
      <c r="Q265" s="192">
        <f>IFERROR(VLOOKUP(A265,[1]Energiindhold!$A$2:$C$11,3,FALSE),IFERROR(VLOOKUP(A265,[1]Biogasudbytte!$A$2:$B$18,2,FALSE)*[1]Energiindhold!$C$10,0))*O265</f>
        <v>2.6493133620323719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2.6527654135882037</v>
      </c>
      <c r="S265" s="192">
        <f>IFERROR(VLOOKUP(A265,[1]Biogasudbytte!$A$2:$B$18,2,FALSE)*[1]Energiindhold!$C$10,0)*J265*IFERROR(VLOOKUP(A265,Biogasanlæg!$F$3:$G$8,2,FALSE),1)</f>
        <v>3.4520515558317407E-3</v>
      </c>
      <c r="T265" s="193">
        <f t="shared" si="64"/>
        <v>2.6493133620323719</v>
      </c>
      <c r="U265" s="191">
        <f>O265*IFERROR(VLOOKUP(A265,[1]Tørstofindhold!A$2:B$24,2,FALSE),0)</f>
        <v>239801.66845653113</v>
      </c>
      <c r="V265" s="192">
        <f>IF(D265=År1,P265,SUM(O265,P265))*IFERROR(VLOOKUP(A265,[1]Tørstofindhold!A$2:B$24,2,FALSE),0)</f>
        <v>240114.12969065685</v>
      </c>
      <c r="W265" s="192">
        <f>J265*IFERROR(VLOOKUP(A265,[1]Tørstofindhold!A$2:B$24,2,FALSE),0)</f>
        <v>312.46123412572757</v>
      </c>
      <c r="X265" s="193">
        <f t="shared" si="65"/>
        <v>239801.66845653113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290582.47430971975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-290582.47430971975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543093.8440394944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488784.45963554498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35979.967167616494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18329.417236332898</v>
      </c>
      <c r="O267" s="195">
        <f t="shared" si="75"/>
        <v>18329.417236332898</v>
      </c>
      <c r="P267" s="205">
        <f t="shared" si="63"/>
        <v>488784.45963554498</v>
      </c>
      <c r="Q267" s="192">
        <f>IFERROR(VLOOKUP(A267,[1]Energiindhold!$A$2:$C$11,3,FALSE),IFERROR(VLOOKUP(A267,[1]Biogasudbytte!$A$2:$B$18,2,FALSE)*[1]Energiindhold!$C$10,0))*O267</f>
        <v>9.2781677108593509E-3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0.25669597333377592</v>
      </c>
      <c r="S267" s="192">
        <f>IFERROR(VLOOKUP(A267,[1]Biogasudbytte!$A$2:$B$18,2,FALSE)*[1]Energiindhold!$C$10,0)*J267*IFERROR(VLOOKUP(A267,Biogasanlæg!$F$3:$G$8,2,FALSE),1)</f>
        <v>0.24741780562291654</v>
      </c>
      <c r="T267" s="193">
        <f t="shared" si="64"/>
        <v>9.2781677108593752E-3</v>
      </c>
      <c r="U267" s="191">
        <f>O267*IFERROR(VLOOKUP(A267,[1]Tørstofindhold!A$2:B$24,2,FALSE),0)</f>
        <v>1393.0357099613002</v>
      </c>
      <c r="V267" s="192">
        <f>IF(D267=År1,P267,SUM(O267,P267))*IFERROR(VLOOKUP(A267,[1]Tørstofindhold!A$2:B$24,2,FALSE),0)</f>
        <v>38540.654642262714</v>
      </c>
      <c r="W267" s="192">
        <f>J267*IFERROR(VLOOKUP(A267,[1]Tørstofindhold!A$2:B$24,2,FALSE),0)</f>
        <v>37147.618932301419</v>
      </c>
      <c r="X267" s="193">
        <f t="shared" si="65"/>
        <v>1393.0357099612957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67842.280418029826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97541.304810973612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-29699.024392943786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1162586.9095964739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364366.95127418567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87862.083818699844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710357.87450358842</v>
      </c>
      <c r="O269" s="195">
        <f t="shared" si="75"/>
        <v>611948.68599171343</v>
      </c>
      <c r="P269" s="205">
        <f t="shared" si="63"/>
        <v>87862.083818699844</v>
      </c>
      <c r="Q269" s="192">
        <f>IFERROR(VLOOKUP(A269,[1]Energiindhold!$A$2:$C$11,3,FALSE),IFERROR(VLOOKUP(A269,[1]Biogasudbytte!$A$2:$B$18,2,FALSE)*[1]Energiindhold!$C$10,0))*O269</f>
        <v>2.1968957827102513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2.5123206636193838</v>
      </c>
      <c r="S269" s="192">
        <f>IFERROR(VLOOKUP(A269,[1]Biogasudbytte!$A$2:$B$18,2,FALSE)*[1]Energiindhold!$C$10,0)*J269*IFERROR(VLOOKUP(A269,Biogasanlæg!$F$3:$G$8,2,FALSE),1)</f>
        <v>0.31542488090913245</v>
      </c>
      <c r="T269" s="193">
        <f t="shared" si="64"/>
        <v>2.1968957827102513</v>
      </c>
      <c r="U269" s="191">
        <f>O269*IFERROR(VLOOKUP(A269,[1]Tørstofindhold!A$2:B$24,2,FALSE),0)</f>
        <v>183584.60579751403</v>
      </c>
      <c r="V269" s="192">
        <f>IF(D269=År1,P269,SUM(O269,P269))*IFERROR(VLOOKUP(A269,[1]Tørstofindhold!A$2:B$24,2,FALSE),0)</f>
        <v>209943.23094312396</v>
      </c>
      <c r="W269" s="192">
        <f>J269*IFERROR(VLOOKUP(A269,[1]Tørstofindhold!A$2:B$24,2,FALSE),0)</f>
        <v>26358.625145609953</v>
      </c>
      <c r="X269" s="193">
        <f t="shared" si="65"/>
        <v>183584.605797514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130900.39178627841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-297313.63750519993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4383.3381279488276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29926.992547120819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-25543.654419171991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0</v>
      </c>
      <c r="Z272" s="103">
        <f t="shared" si="77"/>
        <v>1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370882.10534501984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370882.10534501984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60719.109564821476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60719.109564821476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60719.109564821476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1.1172316159927149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1.1172316159927149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25198.430469400915</v>
      </c>
      <c r="W274" s="192">
        <f>J274*IFERROR(VLOOKUP(A274,[1]Tørstofindhold!A$2:B$24,2,FALSE),0)</f>
        <v>0</v>
      </c>
      <c r="X274" s="193">
        <f t="shared" si="65"/>
        <v>25198.430469400915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203838.63815826486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203838.63815826486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218245.06049109949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218245.06049109949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109122.53024554974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13554.514373080499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95568.015872469245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69838.419357151841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69838.419357151841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69838.419357151841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2.4443446775003141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2.4443446775003141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404559.22723466193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56093.517718673087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7626.113609207122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340839.59590678173</v>
      </c>
      <c r="O281" s="195">
        <f t="shared" si="89"/>
        <v>340839.59590678173</v>
      </c>
      <c r="P281" s="205">
        <f t="shared" si="63"/>
        <v>7626.113609207122</v>
      </c>
      <c r="Q281" s="192">
        <f>IFERROR(VLOOKUP(A281,[1]Energiindhold!$A$2:$C$11,3,FALSE),IFERROR(VLOOKUP(A281,[1]Biogasudbytte!$A$2:$B$18,2,FALSE)*[1]Energiindhold!$C$10,0))*O281</f>
        <v>0.92505229687484192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0.94574987425477441</v>
      </c>
      <c r="S281" s="192">
        <f>IFERROR(VLOOKUP(A281,[1]Biogasudbytte!$A$2:$B$18,2,FALSE)*[1]Energiindhold!$C$10,0)*J281*IFERROR(VLOOKUP(A281,Biogasanlæg!$F$3:$G$8,2,FALSE),1)</f>
        <v>2.0697577379932497E-2</v>
      </c>
      <c r="T281" s="193">
        <f t="shared" si="64"/>
        <v>0.92505229687484192</v>
      </c>
      <c r="U281" s="191">
        <f>O281*IFERROR(VLOOKUP(A281,[1]Tørstofindhold!A$2:B$24,2,FALSE),0)</f>
        <v>68167.919181356352</v>
      </c>
      <c r="V281" s="192">
        <f>IF(D281=År1,P281,SUM(O281,P281))*IFERROR(VLOOKUP(A281,[1]Tørstofindhold!A$2:B$24,2,FALSE),0)</f>
        <v>69693.141903197771</v>
      </c>
      <c r="W281" s="192">
        <f>J281*IFERROR(VLOOKUP(A281,[1]Tørstofindhold!A$2:B$24,2,FALSE),0)</f>
        <v>1525.2227218414246</v>
      </c>
      <c r="X281" s="193">
        <f t="shared" si="65"/>
        <v>68167.919181356352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11428.212399077393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11428.212399077393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8939.6567067551059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2485.0802312000001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6454.5764755551063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3496884.1812019288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3147195.7630817359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349688.41812019283</v>
      </c>
      <c r="O284" s="195">
        <f t="shared" si="89"/>
        <v>349688.41812019283</v>
      </c>
      <c r="P284" s="205">
        <f t="shared" si="94"/>
        <v>3147195.7630817359</v>
      </c>
      <c r="Q284" s="192">
        <f>IFERROR(VLOOKUP(A284,[1]Energiindhold!$A$2:$C$11,3,FALSE),IFERROR(VLOOKUP(A284,[1]Biogasudbytte!$A$2:$B$18,2,FALSE)*[1]Energiindhold!$C$10,0))*O284</f>
        <v>0.17449801752615746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1.7449801752615748</v>
      </c>
      <c r="S284" s="192">
        <f>IFERROR(VLOOKUP(A284,[1]Biogasudbytte!$A$2:$B$18,2,FALSE)*[1]Energiindhold!$C$10,0)*J284*IFERROR(VLOOKUP(A284,Biogasanlæg!$F$3:$G$8,2,FALSE),1)</f>
        <v>1.5704821577354173</v>
      </c>
      <c r="T284" s="193">
        <f t="shared" si="95"/>
        <v>0.17449801752615746</v>
      </c>
      <c r="U284" s="191">
        <f>O284*IFERROR(VLOOKUP(A284,[1]Tørstofindhold!A$2:B$24,2,FALSE),0)</f>
        <v>20981.305087211567</v>
      </c>
      <c r="V284" s="192">
        <f>IF(D284=År1,P284,SUM(O284,P284))*IFERROR(VLOOKUP(A284,[1]Tørstofindhold!A$2:B$24,2,FALSE),0)</f>
        <v>209813.05087211571</v>
      </c>
      <c r="W284" s="192">
        <f>J284*IFERROR(VLOOKUP(A284,[1]Tørstofindhold!A$2:B$24,2,FALSE),0)</f>
        <v>188831.74578490414</v>
      </c>
      <c r="X284" s="193">
        <f t="shared" si="96"/>
        <v>20981.305087211571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1045598.7208186348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941038.84873677138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104559.87208186346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941038.84873677138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0.4053995360358012</v>
      </c>
      <c r="S285" s="192">
        <f>IFERROR(VLOOKUP(A285,[1]Biogasudbytte!$A$2:$B$18,2,FALSE)*[1]Energiindhold!$C$10,0)*J285*IFERROR(VLOOKUP(A285,Biogasanlæg!$F$3:$G$8,2,FALSE),1)</f>
        <v>0.4053995360358012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47051.942436838573</v>
      </c>
      <c r="W285" s="192">
        <f>J285*IFERROR(VLOOKUP(A285,[1]Tørstofindhold!A$2:B$24,2,FALSE),0)</f>
        <v>47051.942436838573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97091.997795525866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60760.863656275607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36331.134139250258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623007.09555249952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623007.09555249952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623007.09555249952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9.0295962650620645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9.0295962650620645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308128.92600867373</v>
      </c>
      <c r="W289" s="192">
        <f>J289*IFERROR(VLOOKUP(A289,[1]Tørstofindhold!A$2:B$24,2,FALSE),0)</f>
        <v>0</v>
      </c>
      <c r="X289" s="193">
        <f t="shared" si="96"/>
        <v>308128.92600867373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176175.00365604501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176175.00365604501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Biogasgylle"/>
        <filter val="Fjerkrægylle"/>
        <filter val="Kunstgødning"/>
        <filter val="Kvæggylle"/>
        <filter val="Svinegylle"/>
      </filters>
    </filterColumn>
    <filterColumn colId="3">
      <filters>
        <filter val="2019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7" t="s">
        <v>23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3" t="s">
        <v>7</v>
      </c>
      <c r="D3" s="364"/>
      <c r="E3" s="364"/>
      <c r="F3" s="364"/>
      <c r="G3" s="364"/>
      <c r="H3" s="364"/>
      <c r="I3" s="364"/>
      <c r="J3" s="364"/>
      <c r="K3" s="365"/>
      <c r="L3" s="363" t="s">
        <v>8</v>
      </c>
      <c r="M3" s="364"/>
      <c r="N3" s="364"/>
      <c r="O3" s="364"/>
      <c r="P3" s="364"/>
      <c r="Q3" s="364"/>
      <c r="R3" s="364"/>
      <c r="S3" s="364"/>
      <c r="T3" s="365"/>
      <c r="U3" s="71"/>
      <c r="W3" s="31" t="s">
        <v>282</v>
      </c>
      <c r="X3" s="35">
        <f>C24+C51</f>
        <v>11808068</v>
      </c>
      <c r="Y3" s="11">
        <f>D24+D51</f>
        <v>9093668.5090058167</v>
      </c>
      <c r="Z3" s="23">
        <f>E24+E51</f>
        <v>6343027.2216558158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733997.43014111568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IF(Landbrug!$D$48&gt;0,SUMIF(Landbrug!$B$33:$B$46,$B6,IF(F4=År2,Landbrug!$D$33:$D$46,Landbrug!$E$33:$E$46)),'[1]Afgrødefordeling - jordtype'!$G4)*(1-Landbrug!$D$5)*Arealanvendelse!M$26</f>
        <v>561138.95623976586</v>
      </c>
      <c r="G6" s="11">
        <f>IF($B6&lt;&gt;"Permanent græs",(1-VLOOKUP('Landbrugsareal - resultat'!G$5,Landbrug!$B$23:$E$24,MATCH('Landbrugsareal - resultat'!G$4,Landbrug!$B$22:$E$22,0),FALSE))*(VLOOKUP($B6,'[1]Afgrødefordeling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17988.68709801232</v>
      </c>
      <c r="H6" s="11">
        <f>IF($B6&lt;&gt;"Permanent græs",(1-VLOOKUP('Landbrugsareal - resultat'!H$5,Landbrug!$B$23:$E$24,MATCH('Landbrugsareal - resultat'!H$4,Landbrug!$B$22:$E$22,0),FALSE))*(VLOOKUP($B6,'[1]Afgrødefordeling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0.29674680641973877</v>
      </c>
      <c r="I6" s="11">
        <f>IF(Landbrug!$E$48&gt;0,SUMIF(Landbrug!$B$33:$B$46,$B6,IF(I4=År2,Landbrug!$D$33:$D$46,Landbrug!$E$33:$E$46)),'[1]Afgrødefordeling - jordtype'!$G4)*(1-Landbrug!$E$5)*Arealanvendelse!P$26</f>
        <v>456814.61907104118</v>
      </c>
      <c r="J6" s="11">
        <f>IF($B6&lt;&gt;"Permanent græs",(1-VLOOKUP(J$5,Landbrug!$B$23:$E$24,MATCH(J$4,Landbrug!$B$22:$E$22,0),FALSE))*(VLOOKUP($B6,'[1]Afgrødefordeling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0.43582889538516162</v>
      </c>
      <c r="K6" s="11">
        <f>IF($B6&lt;&gt;"Permanent græs",(1-VLOOKUP(K$5,Landbrug!$B$23:$E$24,MATCH(K$4,Landbrug!$B$22:$E$22,0),FALSE))*(VLOOKUP($B6,'[1]Afgrødefordeling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0.28302441074714974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IF(Landbrug!$D$48&gt;0,SUMIF(Landbrug!$B$33:$B$46,$B6,IF(F4=År2,Landbrug!$D$33:$D$46,Landbrug!$E$33:$E$46)),'[1]Afgrødefordeling - jordtype'!$G4)*(Landbrug!$D$5)*Arealanvendelse!M$26</f>
        <v>87576.600106784259</v>
      </c>
      <c r="P6" s="11">
        <f>IF($B6&lt;&gt;"Permanent græs",(1-VLOOKUP('Landbrugsareal - resultat'!P$5,Landbrug!$B$23:$E$24,MATCH('Landbrugsareal - resultat'!P$4,Landbrug!$B$22:$E$22,0),FALSE))*(VLOOKUP($B6,'[1]Afgrødefordeling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2807.4829574932523</v>
      </c>
      <c r="Q6" s="11">
        <f>IF($B6&lt;&gt;"Permanent græs",(1-VLOOKUP('Landbrugsareal - resultat'!Q$5,Landbrug!$B$23:$E$24,MATCH('Landbrugsareal - resultat'!Q$4,Landbrug!$B$22:$E$22,0),FALSE))*(VLOOKUP($B6,'[1]Afgrødefordeling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4.6313085394988143E-2</v>
      </c>
      <c r="R6" s="11">
        <f>IF(Landbrug!$E$48&gt;0,SUMIF(Landbrug!$B$33:$B$46,$B6,IF(I4=År2,Landbrug!$D$33:$D$46,Landbrug!$E$33:$E$46)),'[1]Afgrødefordeling - jordtype'!$G4)*(Landbrug!$E$5)*Arealanvendelse!P$26</f>
        <v>96900.070712039029</v>
      </c>
      <c r="S6" s="11">
        <f>IF($B6&lt;&gt;"Permanent græs",(1-VLOOKUP(S$5,Landbrug!$B$23:$E$24,MATCH(S$4,Landbrug!$B$22:$E$22,0),FALSE))*(VLOOKUP($B6,'[1]Afgrødefordeling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9.2448553566549435E-2</v>
      </c>
      <c r="T6" s="11">
        <f>IF($B6&lt;&gt;"Permanent græs",(1-VLOOKUP(T$5,Landbrug!$B$23:$E$24,MATCH(T$4,Landbrug!$B$22:$E$22,0),FALSE))*(VLOOKUP($B6,'[1]Afgrødefordeling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6.0035481067577209E-2</v>
      </c>
      <c r="U6" s="94"/>
      <c r="W6" s="31" t="s">
        <v>285</v>
      </c>
      <c r="X6" s="34">
        <f t="shared" ref="X6:Z8" si="1">F24+F51</f>
        <v>490924</v>
      </c>
      <c r="Y6" s="11">
        <f t="shared" si="1"/>
        <v>519712.74099418288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IF(Landbrug!$D$48&gt;0,SUMIF(Landbrug!$B$33:$B$46,$B7,IF(F5=År2,Landbrug!$D$33:$D$46,Landbrug!$E$33:$E$46)),'[1]Afgrødefordeling - jordtype'!$G5)*(1-Landbrug!$D$5)*Arealanvendelse!M$26</f>
        <v>126256.2651539473</v>
      </c>
      <c r="G7" s="11">
        <f>IF($B7&lt;&gt;"Permanent græs",(1-VLOOKUP('Landbrugsareal - resultat'!G$5,Landbrug!$B$23:$E$24,MATCH('Landbrugsareal - resultat'!G$4,Landbrug!$B$22:$E$22,0),FALSE))*(VLOOKUP($B7,'[1]Afgrødefordeling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1542.0658644465243</v>
      </c>
      <c r="H7" s="11">
        <f>IF($B7&lt;&gt;"Permanent græs",(1-VLOOKUP('Landbrugsareal - resultat'!H$5,Landbrug!$B$23:$E$24,MATCH('Landbrugsareal - resultat'!H$4,Landbrug!$B$22:$E$22,0),FALSE))*(VLOOKUP($B7,'[1]Afgrødefordeling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1.7086450333499009E-2</v>
      </c>
      <c r="I7" s="11">
        <f>IF(Landbrug!$E$48&gt;0,SUMIF(Landbrug!$B$33:$B$46,$B7,IF(I5=År2,Landbrug!$D$33:$D$46,Landbrug!$E$33:$E$46)),'[1]Afgrødefordeling - jordtype'!$G5)*(1-Landbrug!$E$5)*Arealanvendelse!P$26</f>
        <v>102783.28929098426</v>
      </c>
      <c r="J7" s="11">
        <f>IF($B7&lt;&gt;"Permanent græs",(1-VLOOKUP(J$5,Landbrug!$B$23:$E$24,MATCH(J$4,Landbrug!$B$22:$E$22,0),FALSE))*(VLOOKUP($B7,'[1]Afgrødefordeling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3.7361084700125495E-2</v>
      </c>
      <c r="K7" s="11">
        <f>IF($B7&lt;&gt;"Permanent græs",(1-VLOOKUP(K$5,Landbrug!$B$23:$E$24,MATCH(K$4,Landbrug!$B$22:$E$22,0),FALSE))*(VLOOKUP($B7,'[1]Afgrødefordeling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1.6296325462585758E-2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IF(Landbrug!$D$48&gt;0,SUMIF(Landbrug!$B$33:$B$46,$B7,IF(F5=År2,Landbrug!$D$33:$D$46,Landbrug!$E$33:$E$46)),'[1]Afgrødefordeling - jordtype'!$G5)*(Landbrug!$D$5)*Arealanvendelse!M$26</f>
        <v>19704.73502402646</v>
      </c>
      <c r="P7" s="11">
        <f>IF($B7&lt;&gt;"Permanent græs",(1-VLOOKUP('Landbrugsareal - resultat'!P$5,Landbrug!$B$23:$E$24,MATCH('Landbrugsareal - resultat'!P$4,Landbrug!$B$22:$E$22,0),FALSE))*(VLOOKUP($B7,'[1]Afgrødefordeling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240.66923895986218</v>
      </c>
      <c r="Q7" s="11">
        <f>IF($B7&lt;&gt;"Permanent græs",(1-VLOOKUP('Landbrugsareal - resultat'!Q$5,Landbrug!$B$23:$E$24,MATCH('Landbrugsareal - resultat'!Q$4,Landbrug!$B$22:$E$22,0),FALSE))*(VLOOKUP($B7,'[1]Afgrødefordeling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2.6666714393322154E-3</v>
      </c>
      <c r="R7" s="11">
        <f>IF(Landbrug!$E$48&gt;0,SUMIF(Landbrug!$B$33:$B$46,$B7,IF(I5=År2,Landbrug!$D$33:$D$46,Landbrug!$E$33:$E$46)),'[1]Afgrødefordeling - jordtype'!$G5)*(Landbrug!$E$5)*Arealanvendelse!P$26</f>
        <v>21802.515910208782</v>
      </c>
      <c r="S7" s="11">
        <f>IF($B7&lt;&gt;"Permanent græs",(1-VLOOKUP(S$5,Landbrug!$B$23:$E$24,MATCH(S$4,Landbrug!$B$22:$E$22,0),FALSE))*(VLOOKUP($B7,'[1]Afgrødefordeling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7.9250785727538933E-3</v>
      </c>
      <c r="T7" s="11">
        <f>IF($B7&lt;&gt;"Permanent græs",(1-VLOOKUP(T$5,Landbrug!$B$23:$E$24,MATCH(T$4,Landbrug!$B$22:$E$22,0),FALSE))*(VLOOKUP($B7,'[1]Afgrødefordeling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3.4567963102454641E-3</v>
      </c>
      <c r="U7" s="94"/>
      <c r="W7" s="31" t="s">
        <v>286</v>
      </c>
      <c r="X7" s="34">
        <f t="shared" si="1"/>
        <v>224348</v>
      </c>
      <c r="Y7" s="11">
        <f t="shared" si="1"/>
        <v>210555.77489895534</v>
      </c>
      <c r="Z7" s="23">
        <f t="shared" si="1"/>
        <v>200448.96985888435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IF(Landbrug!$D$48&gt;0,SUMIF(Landbrug!$B$33:$B$46,$B8,IF(F6=År2,Landbrug!$D$33:$D$46,Landbrug!$E$33:$E$46)),'[1]Afgrødefordeling - jordtype'!$G6)*(1-Landbrug!$D$5)*Arealanvendelse!M$26</f>
        <v>140284.73905994146</v>
      </c>
      <c r="G8" s="11">
        <f>IF($B8&lt;&gt;"Permanent græs",(1-VLOOKUP('Landbrugsareal - resultat'!G$5,Landbrug!$B$23:$E$24,MATCH('Landbrugsareal - resultat'!G$4,Landbrug!$B$22:$E$22,0),FALSE))*(VLOOKUP($B8,'[1]Afgrødefordeling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1651.2179103063932</v>
      </c>
      <c r="H8" s="11">
        <f>IF($B8&lt;&gt;"Permanent græs",(1-VLOOKUP('Landbrugsareal - resultat'!H$5,Landbrug!$B$23:$E$24,MATCH('Landbrugsareal - resultat'!H$4,Landbrug!$B$22:$E$22,0),FALSE))*(VLOOKUP($B8,'[1]Afgrødefordeling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2.2126179468366147E-2</v>
      </c>
      <c r="I8" s="11">
        <f>IF(Landbrug!$E$48&gt;0,SUMIF(Landbrug!$B$33:$B$46,$B8,IF(I6=År2,Landbrug!$D$33:$D$46,Landbrug!$E$33:$E$46)),'[1]Afgrødefordeling - jordtype'!$G6)*(1-Landbrug!$E$5)*Arealanvendelse!P$26</f>
        <v>114203.65476776029</v>
      </c>
      <c r="J8" s="11">
        <f>IF($B8&lt;&gt;"Permanent græs",(1-VLOOKUP(J$5,Landbrug!$B$23:$E$24,MATCH(J$4,Landbrug!$B$22:$E$22,0),FALSE))*(VLOOKUP($B8,'[1]Afgrødefordeling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4.0005614304589723E-2</v>
      </c>
      <c r="K8" s="11">
        <f>IF($B8&lt;&gt;"Permanent græs",(1-VLOOKUP(K$5,Landbrug!$B$23:$E$24,MATCH(K$4,Landbrug!$B$22:$E$22,0),FALSE))*(VLOOKUP($B8,'[1]Afgrødefordeling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2.1103003539193144E-2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IF(Landbrug!$D$48&gt;0,SUMIF(Landbrug!$B$33:$B$46,$B8,IF(F6=År2,Landbrug!$D$33:$D$46,Landbrug!$E$33:$E$46)),'[1]Afgrødefordeling - jordtype'!$G6)*(Landbrug!$D$5)*Arealanvendelse!M$26</f>
        <v>21894.150026696065</v>
      </c>
      <c r="P8" s="11">
        <f>IF($B8&lt;&gt;"Permanent græs",(1-VLOOKUP('Landbrugsareal - resultat'!P$5,Landbrug!$B$23:$E$24,MATCH('Landbrugsareal - resultat'!P$4,Landbrug!$B$22:$E$22,0),FALSE))*(VLOOKUP($B8,'[1]Afgrødefordeling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257.704529354177</v>
      </c>
      <c r="Q8" s="11">
        <f>IF($B8&lt;&gt;"Permanent græs",(1-VLOOKUP('Landbrugsareal - resultat'!Q$5,Landbrug!$B$23:$E$24,MATCH('Landbrugsareal - resultat'!Q$4,Landbrug!$B$22:$E$22,0),FALSE))*(VLOOKUP($B8,'[1]Afgrødefordeling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3.4532187609588785E-3</v>
      </c>
      <c r="R8" s="11">
        <f>IF(Landbrug!$E$48&gt;0,SUMIF(Landbrug!$B$33:$B$46,$B8,IF(I6=År2,Landbrug!$D$33:$D$46,Landbrug!$E$33:$E$46)),'[1]Afgrødefordeling - jordtype'!$G6)*(Landbrug!$E$5)*Arealanvendelse!P$26</f>
        <v>24225.017678009757</v>
      </c>
      <c r="S8" s="11">
        <f>IF($B8&lt;&gt;"Permanent græs",(1-VLOOKUP(S$5,Landbrug!$B$23:$E$24,MATCH(S$4,Landbrug!$B$22:$E$22,0),FALSE))*(VLOOKUP($B8,'[1]Afgrødefordeling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8.4860393979432746E-3</v>
      </c>
      <c r="T8" s="11">
        <f>IF($B8&lt;&gt;"Permanent græs",(1-VLOOKUP(T$5,Landbrug!$B$23:$E$24,MATCH(T$4,Landbrug!$B$22:$E$22,0),FALSE))*(VLOOKUP($B8,'[1]Afgrødefordeling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4.4763946901318786E-3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IF(Landbrug!$D$48&gt;0,SUMIF(Landbrug!$B$33:$B$46,$B9,IF(F7=År2,Landbrug!$D$33:$D$46,Landbrug!$E$33:$E$46)),'[1]Afgrødefordeling - jordtype'!$G7)*(1-Landbrug!$D$5)*Arealanvendelse!M$26</f>
        <v>140284.73905994146</v>
      </c>
      <c r="G9" s="11">
        <f>IF($B9&lt;&gt;"Permanent græs",(1-VLOOKUP('Landbrugsareal - resultat'!G$5,Landbrug!$B$23:$E$24,MATCH('Landbrugsareal - resultat'!G$4,Landbrug!$B$22:$E$22,0),FALSE))*(VLOOKUP($B9,'[1]Afgrødefordeling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15238.021720870902</v>
      </c>
      <c r="H9" s="11">
        <f>IF($B9&lt;&gt;"Permanent græs",(1-VLOOKUP('Landbrugsareal - resultat'!H$5,Landbrug!$B$23:$E$24,MATCH('Landbrugsareal - resultat'!H$4,Landbrug!$B$22:$E$22,0),FALSE))*(VLOOKUP($B9,'[1]Afgrødefordeling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0.51029954485989426</v>
      </c>
      <c r="I9" s="11">
        <f>IF(Landbrug!$E$48&gt;0,SUMIF(Landbrug!$B$33:$B$46,$B9,IF(I7=År2,Landbrug!$D$33:$D$46,Landbrug!$E$33:$E$46)),'[1]Afgrødefordeling - jordtype'!$G7)*(1-Landbrug!$E$5)*Arealanvendelse!P$26</f>
        <v>114203.65476776029</v>
      </c>
      <c r="J9" s="11">
        <f>IF($B9&lt;&gt;"Permanent græs",(1-VLOOKUP(J$5,Landbrug!$B$23:$E$24,MATCH(J$4,Landbrug!$B$22:$E$22,0),FALSE))*(VLOOKUP($B9,'[1]Afgrødefordeling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0.36918592992793164</v>
      </c>
      <c r="K9" s="11">
        <f>IF($B9&lt;&gt;"Permanent græs",(1-VLOOKUP(K$5,Landbrug!$B$23:$E$24,MATCH(K$4,Landbrug!$B$22:$E$22,0),FALSE))*(VLOOKUP($B9,'[1]Afgrødefordeling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0.48670187804556381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IF(Landbrug!$D$48&gt;0,SUMIF(Landbrug!$B$33:$B$46,$B9,IF(F7=År2,Landbrug!$D$33:$D$46,Landbrug!$E$33:$E$46)),'[1]Afgrødefordeling - jordtype'!$G7)*(Landbrug!$D$5)*Arealanvendelse!M$26</f>
        <v>21894.150026696065</v>
      </c>
      <c r="P9" s="11">
        <f>IF($B9&lt;&gt;"Permanent græs",(1-VLOOKUP('Landbrugsareal - resultat'!P$5,Landbrug!$B$23:$E$24,MATCH('Landbrugsareal - resultat'!P$4,Landbrug!$B$22:$E$22,0),FALSE))*(VLOOKUP($B9,'[1]Afgrødefordeling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2378.1883610607765</v>
      </c>
      <c r="Q9" s="11">
        <f>IF($B9&lt;&gt;"Permanent græs",(1-VLOOKUP('Landbrugsareal - resultat'!Q$5,Landbrug!$B$23:$E$24,MATCH('Landbrugsareal - resultat'!Q$4,Landbrug!$B$22:$E$22,0),FALSE))*(VLOOKUP($B9,'[1]Afgrødefordeling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7.9642125498364996E-2</v>
      </c>
      <c r="R9" s="11">
        <f>IF(Landbrug!$E$48&gt;0,SUMIF(Landbrug!$B$33:$B$46,$B9,IF(I7=År2,Landbrug!$D$33:$D$46,Landbrug!$E$33:$E$46)),'[1]Afgrødefordeling - jordtype'!$G7)*(Landbrug!$E$5)*Arealanvendelse!P$26</f>
        <v>24225.017678009757</v>
      </c>
      <c r="S9" s="11">
        <f>IF($B9&lt;&gt;"Permanent græs",(1-VLOOKUP(S$5,Landbrug!$B$23:$E$24,MATCH(S$4,Landbrug!$B$22:$E$22,0),FALSE))*(VLOOKUP($B9,'[1]Afgrødefordeling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7.8312166954409748E-2</v>
      </c>
      <c r="T9" s="11">
        <f>IF($B9&lt;&gt;"Permanent græs",(1-VLOOKUP(T$5,Landbrug!$B$23:$E$24,MATCH(T$4,Landbrug!$B$22:$E$22,0),FALSE))*(VLOOKUP($B9,'[1]Afgrødefordeling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0.10323979231269535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IF(Landbrug!$D$48&gt;0,SUMIF(Landbrug!$B$33:$B$46,$B10,IF(F8=År2,Landbrug!$D$33:$D$46,Landbrug!$E$33:$E$46)),'[1]Afgrødefordeling - jordtype'!$G8)*(1-Landbrug!$D$5)*Arealanvendelse!M$26</f>
        <v>14028.473905994144</v>
      </c>
      <c r="G10" s="11">
        <f>IF($B10&lt;&gt;"Permanent græs",(1-VLOOKUP('Landbrugsareal - resultat'!G$5,Landbrug!$B$23:$E$24,MATCH('Landbrugsareal - resultat'!G$4,Landbrug!$B$22:$E$22,0),FALSE))*(VLOOKUP($B10,'[1]Afgrødefordeling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71.268800751408534</v>
      </c>
      <c r="H10" s="11">
        <f>IF($B10&lt;&gt;"Permanent græs",(1-VLOOKUP('Landbrugsareal - resultat'!H$5,Landbrug!$B$23:$E$24,MATCH('Landbrugsareal - resultat'!H$4,Landbrug!$B$22:$E$22,0),FALSE))*(VLOOKUP($B10,'[1]Afgrødefordeling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5.9312754358377721E-4</v>
      </c>
      <c r="I10" s="11">
        <f>IF(Landbrug!$E$48&gt;0,SUMIF(Landbrug!$B$33:$B$46,$B10,IF(I8=År2,Landbrug!$D$33:$D$46,Landbrug!$E$33:$E$46)),'[1]Afgrødefordeling - jordtype'!$G8)*(1-Landbrug!$E$5)*Arealanvendelse!P$26</f>
        <v>11420.365476776029</v>
      </c>
      <c r="J10" s="11">
        <f>IF($B10&lt;&gt;"Permanent græs",(1-VLOOKUP(J$5,Landbrug!$B$23:$E$24,MATCH(J$4,Landbrug!$B$22:$E$22,0),FALSE))*(VLOOKUP($B10,'[1]Afgrødefordeling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1.7266964808312041E-3</v>
      </c>
      <c r="K10" s="11">
        <f>IF($B10&lt;&gt;"Permanent græs",(1-VLOOKUP(K$5,Landbrug!$B$23:$E$24,MATCH(K$4,Landbrug!$B$22:$E$22,0),FALSE))*(VLOOKUP($B10,'[1]Afgrødefordeling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5.6569968029666602E-4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IF(Landbrug!$D$48&gt;0,SUMIF(Landbrug!$B$33:$B$46,$B10,IF(F8=År2,Landbrug!$D$33:$D$46,Landbrug!$E$33:$E$46)),'[1]Afgrødefordeling - jordtype'!$G8)*(Landbrug!$D$5)*Arealanvendelse!M$26</f>
        <v>2189.4150026696066</v>
      </c>
      <c r="P10" s="11">
        <f>IF($B10&lt;&gt;"Permanent græs",(1-VLOOKUP('Landbrugsareal - resultat'!P$5,Landbrug!$B$23:$E$24,MATCH('Landbrugsareal - resultat'!P$4,Landbrug!$B$22:$E$22,0),FALSE))*(VLOOKUP($B10,'[1]Afgrødefordeling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11.122876417849888</v>
      </c>
      <c r="Q10" s="11">
        <f>IF($B10&lt;&gt;"Permanent græs",(1-VLOOKUP('Landbrugsareal - resultat'!Q$5,Landbrug!$B$23:$E$24,MATCH('Landbrugsareal - resultat'!Q$4,Landbrug!$B$22:$E$22,0),FALSE))*(VLOOKUP($B10,'[1]Afgrødefordeling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9.2569038593999904E-5</v>
      </c>
      <c r="R10" s="11">
        <f>IF(Landbrug!$E$48&gt;0,SUMIF(Landbrug!$B$33:$B$46,$B10,IF(I8=År2,Landbrug!$D$33:$D$46,Landbrug!$E$33:$E$46)),'[1]Afgrødefordeling - jordtype'!$G8)*(Landbrug!$E$5)*Arealanvendelse!P$26</f>
        <v>2422.5017678009758</v>
      </c>
      <c r="S10" s="11">
        <f>IF($B10&lt;&gt;"Permanent græs",(1-VLOOKUP(S$5,Landbrug!$B$23:$E$24,MATCH(S$4,Landbrug!$B$22:$E$22,0),FALSE))*(VLOOKUP($B10,'[1]Afgrødefordeling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3.6626895047934632E-4</v>
      </c>
      <c r="T10" s="11">
        <f>IF($B10&lt;&gt;"Permanent græs",(1-VLOOKUP(T$5,Landbrug!$B$23:$E$24,MATCH(T$4,Landbrug!$B$22:$E$22,0),FALSE))*(VLOOKUP($B10,'[1]Afgrødefordeling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1.1999690188111097E-4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IF(Landbrug!$D$48&gt;0,SUMIF(Landbrug!$B$33:$B$46,$B11,IF(F9=År2,Landbrug!$D$33:$D$46,Landbrug!$E$33:$E$46)),'[1]Afgrødefordeling - jordtype'!$G9)*(1-Landbrug!$D$5)*Arealanvendelse!M$26</f>
        <v>35071.184764985366</v>
      </c>
      <c r="G11" s="11">
        <f>IF($B11&lt;&gt;"Permanent græs",(1-VLOOKUP('Landbrugsareal - resultat'!G$5,Landbrug!$B$23:$E$24,MATCH('Landbrugsareal - resultat'!G$4,Landbrug!$B$22:$E$22,0),FALSE))*(VLOOKUP($B11,'[1]Afgrødefordeling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1125.1496418632635</v>
      </c>
      <c r="H11" s="11">
        <f>IF($B11&lt;&gt;"Permanent græs",(1-VLOOKUP('Landbrugsareal - resultat'!H$5,Landbrug!$B$23:$E$24,MATCH('Landbrugsareal - resultat'!H$4,Landbrug!$B$22:$E$22,0),FALSE))*(VLOOKUP($B11,'[1]Afgrødefordeling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3.1394414813143305E-2</v>
      </c>
      <c r="I11" s="11">
        <f>IF(Landbrug!$E$48&gt;0,SUMIF(Landbrug!$B$33:$B$46,$B11,IF(I9=År2,Landbrug!$D$33:$D$46,Landbrug!$E$33:$E$46)),'[1]Afgrødefordeling - jordtype'!$G9)*(1-Landbrug!$E$5)*Arealanvendelse!P$26</f>
        <v>28550.913691940073</v>
      </c>
      <c r="J11" s="11">
        <f>IF($B11&lt;&gt;"Permanent græs",(1-VLOOKUP(J$5,Landbrug!$B$23:$E$24,MATCH(J$4,Landbrug!$B$22:$E$22,0),FALSE))*(VLOOKUP($B11,'[1]Afgrødefordeling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2.7260061998102159E-2</v>
      </c>
      <c r="K11" s="11">
        <f>IF($B11&lt;&gt;"Permanent græs",(1-VLOOKUP(K$5,Landbrug!$B$23:$E$24,MATCH(K$4,Landbrug!$B$22:$E$22,0),FALSE))*(VLOOKUP($B11,'[1]Afgrødefordeling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2.9942649966292749E-2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IF(Landbrug!$D$48&gt;0,SUMIF(Landbrug!$B$33:$B$46,$B11,IF(F9=År2,Landbrug!$D$33:$D$46,Landbrug!$E$33:$E$46)),'[1]Afgrødefordeling - jordtype'!$G9)*(Landbrug!$D$5)*Arealanvendelse!M$26</f>
        <v>5473.5375066740162</v>
      </c>
      <c r="P11" s="11">
        <f>IF($B11&lt;&gt;"Permanent græs",(1-VLOOKUP('Landbrugsareal - resultat'!P$5,Landbrug!$B$23:$E$24,MATCH('Landbrugsareal - resultat'!P$4,Landbrug!$B$22:$E$22,0),FALSE))*(VLOOKUP($B11,'[1]Afgrødefordeling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175.60138919253245</v>
      </c>
      <c r="Q11" s="11">
        <f>IF($B11&lt;&gt;"Permanent græs",(1-VLOOKUP('Landbrugsareal - resultat'!Q$5,Landbrug!$B$23:$E$24,MATCH('Landbrugsareal - resultat'!Q$4,Landbrug!$B$22:$E$22,0),FALSE))*(VLOOKUP($B11,'[1]Afgrødefordeling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4.8997063581206323E-3</v>
      </c>
      <c r="R11" s="11">
        <f>IF(Landbrug!$E$48&gt;0,SUMIF(Landbrug!$B$33:$B$46,$B11,IF(I9=År2,Landbrug!$D$33:$D$46,Landbrug!$E$33:$E$46)),'[1]Afgrødefordeling - jordtype'!$G9)*(Landbrug!$E$5)*Arealanvendelse!P$26</f>
        <v>6056.2544195024393</v>
      </c>
      <c r="S11" s="11">
        <f>IF($B11&lt;&gt;"Permanent græs",(1-VLOOKUP(S$5,Landbrug!$B$23:$E$24,MATCH(S$4,Landbrug!$B$22:$E$22,0),FALSE))*(VLOOKUP($B11,'[1]Afgrødefordeling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5.7824373935368217E-3</v>
      </c>
      <c r="T11" s="11">
        <f>IF($B11&lt;&gt;"Permanent græs",(1-VLOOKUP(T$5,Landbrug!$B$23:$E$24,MATCH(T$4,Landbrug!$B$22:$E$22,0),FALSE))*(VLOOKUP($B11,'[1]Afgrødefordeling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6.3514712049711885E-3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IF(Landbrug!$D$48&gt;0,SUMIF(Landbrug!$B$33:$B$46,$B12,IF(F10=År2,Landbrug!$D$33:$D$46,Landbrug!$E$33:$E$46)),'[1]Afgrødefordeling - jordtype'!$G10)*(1-Landbrug!$D$5)*Arealanvendelse!M$26</f>
        <v>14028.473905994144</v>
      </c>
      <c r="G12" s="11">
        <f>IF($B12&lt;&gt;"Permanent græs",(1-VLOOKUP('Landbrugsareal - resultat'!G$5,Landbrug!$B$23:$E$24,MATCH('Landbrugsareal - resultat'!G$4,Landbrug!$B$22:$E$22,0),FALSE))*(VLOOKUP($B12,'[1]Afgrødefordeling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29.518660249897398</v>
      </c>
      <c r="H12" s="11">
        <f>IF($B12&lt;&gt;"Permanent græs",(1-VLOOKUP('Landbrugsareal - resultat'!H$5,Landbrug!$B$23:$E$24,MATCH('Landbrugsareal - resultat'!H$4,Landbrug!$B$22:$E$22,0),FALSE))*(VLOOKUP($B12,'[1]Afgrødefordeling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3.3950117003646611E-4</v>
      </c>
      <c r="I12" s="11">
        <f>IF(Landbrug!$E$48&gt;0,SUMIF(Landbrug!$B$33:$B$46,$B12,IF(I10=År2,Landbrug!$D$33:$D$46,Landbrug!$E$33:$E$46)),'[1]Afgrødefordeling - jordtype'!$G10)*(1-Landbrug!$E$5)*Arealanvendelse!P$26</f>
        <v>11420.365476776029</v>
      </c>
      <c r="J12" s="11">
        <f>IF($B12&lt;&gt;"Permanent græs",(1-VLOOKUP(J$5,Landbrug!$B$23:$E$24,MATCH(J$4,Landbrug!$B$22:$E$22,0),FALSE))*(VLOOKUP($B12,'[1]Afgrødefordeling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7.1517643393687155E-4</v>
      </c>
      <c r="K12" s="11">
        <f>IF($B12&lt;&gt;"Permanent græs",(1-VLOOKUP(K$5,Landbrug!$B$23:$E$24,MATCH(K$4,Landbrug!$B$22:$E$22,0),FALSE))*(VLOOKUP($B12,'[1]Afgrødefordeling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3.2380169396541565E-4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IF(Landbrug!$D$48&gt;0,SUMIF(Landbrug!$B$33:$B$46,$B12,IF(F10=År2,Landbrug!$D$33:$D$46,Landbrug!$E$33:$E$46)),'[1]Afgrødefordeling - jordtype'!$G10)*(Landbrug!$D$5)*Arealanvendelse!M$26</f>
        <v>2189.4150026696066</v>
      </c>
      <c r="P12" s="11">
        <f>IF($B12&lt;&gt;"Permanent græs",(1-VLOOKUP('Landbrugsareal - resultat'!P$5,Landbrug!$B$23:$E$24,MATCH('Landbrugsareal - resultat'!P$4,Landbrug!$B$22:$E$22,0),FALSE))*(VLOOKUP($B12,'[1]Afgrødefordeling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4.6069585361111542</v>
      </c>
      <c r="Q12" s="11">
        <f>IF($B12&lt;&gt;"Permanent græs",(1-VLOOKUP('Landbrugsareal - resultat'!Q$5,Landbrug!$B$23:$E$24,MATCH('Landbrugsareal - resultat'!Q$4,Landbrug!$B$22:$E$22,0),FALSE))*(VLOOKUP($B12,'[1]Afgrødefordeling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5.2985731739795291E-5</v>
      </c>
      <c r="R12" s="11">
        <f>IF(Landbrug!$E$48&gt;0,SUMIF(Landbrug!$B$33:$B$46,$B12,IF(I10=År2,Landbrug!$D$33:$D$46,Landbrug!$E$33:$E$46)),'[1]Afgrødefordeling - jordtype'!$G10)*(Landbrug!$E$5)*Arealanvendelse!P$26</f>
        <v>2422.5017678009758</v>
      </c>
      <c r="S12" s="11">
        <f>IF($B12&lt;&gt;"Permanent græs",(1-VLOOKUP(S$5,Landbrug!$B$23:$E$24,MATCH(S$4,Landbrug!$B$22:$E$22,0),FALSE))*(VLOOKUP($B12,'[1]Afgrødefordeling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1.5170409204721518E-4</v>
      </c>
      <c r="T12" s="11">
        <f>IF($B12&lt;&gt;"Permanent græs",(1-VLOOKUP(T$5,Landbrug!$B$23:$E$24,MATCH(T$4,Landbrug!$B$22:$E$22,0),FALSE))*(VLOOKUP($B12,'[1]Afgrødefordeling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6.8685207810845745E-5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IF(Landbrug!$D$48&gt;0,SUMIF(Landbrug!$B$33:$B$46,$B13,IF(F11=År2,Landbrug!$D$33:$D$46,Landbrug!$E$33:$E$46)),'[1]Afgrødefordeling - jordtype'!$G11)*(1-Landbrug!$D$5)*Arealanvendelse!M$26</f>
        <v>70142.369529970732</v>
      </c>
      <c r="G13" s="11">
        <f>IF($B13&lt;&gt;"Permanent græs",(1-VLOOKUP('Landbrugsareal - resultat'!G$5,Landbrug!$B$23:$E$24,MATCH('Landbrugsareal - resultat'!G$4,Landbrug!$B$22:$E$22,0),FALSE))*(VLOOKUP($B13,'[1]Afgrødefordeling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3810.4154462517859</v>
      </c>
      <c r="H13" s="11">
        <f>IF($B13&lt;&gt;"Permanent græs",(1-VLOOKUP('Landbrugsareal - resultat'!H$5,Landbrug!$B$23:$E$24,MATCH('Landbrugsareal - resultat'!H$4,Landbrug!$B$22:$E$22,0),FALSE))*(VLOOKUP($B13,'[1]Afgrødefordeling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4.2220294070089238E-2</v>
      </c>
      <c r="I13" s="11">
        <f>IF(Landbrug!$E$48&gt;0,SUMIF(Landbrug!$B$33:$B$46,$B13,IF(I11=År2,Landbrug!$D$33:$D$46,Landbrug!$E$33:$E$46)),'[1]Afgrødefordeling - jordtype'!$G11)*(1-Landbrug!$E$5)*Arealanvendelse!P$26</f>
        <v>57101.827383880147</v>
      </c>
      <c r="J13" s="11">
        <f>IF($B13&lt;&gt;"Permanent græs",(1-VLOOKUP(J$5,Landbrug!$B$23:$E$24,MATCH(J$4,Landbrug!$B$22:$E$22,0),FALSE))*(VLOOKUP($B13,'[1]Afgrødefordeling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9.2318530299077425E-2</v>
      </c>
      <c r="K13" s="11">
        <f>IF($B13&lt;&gt;"Permanent græs",(1-VLOOKUP(K$5,Landbrug!$B$23:$E$24,MATCH(K$4,Landbrug!$B$22:$E$22,0),FALSE))*(VLOOKUP($B13,'[1]Afgrødefordeling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4.0267910529275863E-2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IF(Landbrug!$D$48&gt;0,SUMIF(Landbrug!$B$33:$B$46,$B13,IF(F11=År2,Landbrug!$D$33:$D$46,Landbrug!$E$33:$E$46)),'[1]Afgrødefordeling - jordtype'!$G11)*(Landbrug!$D$5)*Arealanvendelse!M$26</f>
        <v>10947.075013348032</v>
      </c>
      <c r="P13" s="11">
        <f>IF($B13&lt;&gt;"Permanent græs",(1-VLOOKUP('Landbrugsareal - resultat'!P$5,Landbrug!$B$23:$E$24,MATCH('Landbrugsareal - resultat'!P$4,Landbrug!$B$22:$E$22,0),FALSE))*(VLOOKUP($B13,'[1]Afgrødefordeling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594.6891158890071</v>
      </c>
      <c r="Q13" s="11">
        <f>IF($B13&lt;&gt;"Permanent græs",(1-VLOOKUP('Landbrugsareal - resultat'!Q$5,Landbrug!$B$23:$E$24,MATCH('Landbrugsareal - resultat'!Q$4,Landbrug!$B$22:$E$22,0),FALSE))*(VLOOKUP($B13,'[1]Afgrødefordeling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6.5892944502451414E-3</v>
      </c>
      <c r="R13" s="11">
        <f>IF(Landbrug!$E$48&gt;0,SUMIF(Landbrug!$B$33:$B$46,$B13,IF(I11=År2,Landbrug!$D$33:$D$46,Landbrug!$E$33:$E$46)),'[1]Afgrødefordeling - jordtype'!$G11)*(Landbrug!$E$5)*Arealanvendelse!P$26</f>
        <v>12112.508839004879</v>
      </c>
      <c r="S13" s="11">
        <f>IF($B13&lt;&gt;"Permanent græs",(1-VLOOKUP(S$5,Landbrug!$B$23:$E$24,MATCH(S$4,Landbrug!$B$22:$E$22,0),FALSE))*(VLOOKUP($B13,'[1]Afgrødefordeling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1.9582718548289149E-2</v>
      </c>
      <c r="T13" s="11">
        <f>IF($B13&lt;&gt;"Permanent græs",(1-VLOOKUP(T$5,Landbrug!$B$23:$E$24,MATCH(T$4,Landbrug!$B$22:$E$22,0),FALSE))*(VLOOKUP($B13,'[1]Afgrødefordeling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8.5416779910585158E-3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IF(Landbrug!$D$48&gt;0,SUMIF(Landbrug!$B$33:$B$46,$B14,IF(F12=År2,Landbrug!$D$33:$D$46,Landbrug!$E$33:$E$46)),'[1]Afgrødefordeling - jordtype'!$G12)*(1-Landbrug!$D$5)*Arealanvendelse!M$26</f>
        <v>7014.236952997072</v>
      </c>
      <c r="G14" s="11">
        <f>IF($B14&lt;&gt;"Permanent græs",(1-VLOOKUP('Landbrugsareal - resultat'!G$5,Landbrug!$B$23:$E$24,MATCH('Landbrugsareal - resultat'!G$4,Landbrug!$B$22:$E$22,0),FALSE))*(VLOOKUP($B14,'[1]Afgrødefordeling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64.91370276951497</v>
      </c>
      <c r="H14" s="11">
        <f>IF($B14&lt;&gt;"Permanent græs",(1-VLOOKUP('Landbrugsareal - resultat'!H$5,Landbrug!$B$23:$E$24,MATCH('Landbrugsareal - resultat'!H$4,Landbrug!$B$22:$E$22,0),FALSE))*(VLOOKUP($B14,'[1]Afgrødefordeling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1.2099053290264164E-3</v>
      </c>
      <c r="I14" s="11">
        <f>IF(Landbrug!$E$48&gt;0,SUMIF(Landbrug!$B$33:$B$46,$B14,IF(I12=År2,Landbrug!$D$33:$D$46,Landbrug!$E$33:$E$46)),'[1]Afgrødefordeling - jordtype'!$G12)*(1-Landbrug!$E$5)*Arealanvendelse!P$26</f>
        <v>5710.1827383880145</v>
      </c>
      <c r="J14" s="11">
        <f>IF($B14&lt;&gt;"Permanent græs",(1-VLOOKUP(J$5,Landbrug!$B$23:$E$24,MATCH(J$4,Landbrug!$B$22:$E$22,0),FALSE))*(VLOOKUP($B14,'[1]Afgrødefordeling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1.5727255257291396E-3</v>
      </c>
      <c r="K14" s="11">
        <f>IF($B14&lt;&gt;"Permanent græs",(1-VLOOKUP(K$5,Landbrug!$B$23:$E$24,MATCH(K$4,Landbrug!$B$22:$E$22,0),FALSE))*(VLOOKUP($B14,'[1]Afgrødefordeling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1.1539559496494725E-3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IF(Landbrug!$D$48&gt;0,SUMIF(Landbrug!$B$33:$B$46,$B14,IF(F12=År2,Landbrug!$D$33:$D$46,Landbrug!$E$33:$E$46)),'[1]Afgrødefordeling - jordtype'!$G12)*(Landbrug!$D$5)*Arealanvendelse!M$26</f>
        <v>1094.7075013348033</v>
      </c>
      <c r="P14" s="11">
        <f>IF($B14&lt;&gt;"Permanent græs",(1-VLOOKUP('Landbrugsareal - resultat'!P$5,Landbrug!$B$23:$E$24,MATCH('Landbrugsareal - resultat'!P$4,Landbrug!$B$22:$E$22,0),FALSE))*(VLOOKUP($B14,'[1]Afgrødefordeling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10.131040316629504</v>
      </c>
      <c r="Q14" s="11">
        <f>IF($B14&lt;&gt;"Permanent græs",(1-VLOOKUP('Landbrugsareal - resultat'!Q$5,Landbrug!$B$23:$E$24,MATCH('Landbrugsareal - resultat'!Q$4,Landbrug!$B$22:$E$22,0),FALSE))*(VLOOKUP($B14,'[1]Afgrødefordeling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1.8882915539718639E-4</v>
      </c>
      <c r="R14" s="11">
        <f>IF(Landbrug!$E$48&gt;0,SUMIF(Landbrug!$B$33:$B$46,$B14,IF(I12=År2,Landbrug!$D$33:$D$46,Landbrug!$E$33:$E$46)),'[1]Afgrødefordeling - jordtype'!$G12)*(Landbrug!$E$5)*Arealanvendelse!P$26</f>
        <v>1211.2508839004879</v>
      </c>
      <c r="S14" s="11">
        <f>IF($B14&lt;&gt;"Permanent græs",(1-VLOOKUP(S$5,Landbrug!$B$23:$E$24,MATCH(S$4,Landbrug!$B$22:$E$22,0),FALSE))*(VLOOKUP($B14,'[1]Afgrødefordeling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3.3360844485163561E-4</v>
      </c>
      <c r="T14" s="11">
        <f>IF($B14&lt;&gt;"Permanent græs",(1-VLOOKUP(T$5,Landbrug!$B$23:$E$24,MATCH(T$4,Landbrug!$B$22:$E$22,0),FALSE))*(VLOOKUP($B14,'[1]Afgrødefordeling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2.4477853477413049E-4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IF(Landbrug!$D$48&gt;0,SUMIF(Landbrug!$B$33:$B$46,$B15,IF(F13=År2,Landbrug!$D$33:$D$46,Landbrug!$E$33:$E$46)),'[1]Afgrødefordeling - jordtype'!$G13)*(1-Landbrug!$D$5)*Arealanvendelse!M$26</f>
        <v>35071.184764985366</v>
      </c>
      <c r="G15" s="11">
        <f>IF($B15&lt;&gt;"Permanent græs",(1-VLOOKUP('Landbrugsareal - resultat'!G$5,Landbrug!$B$23:$E$24,MATCH('Landbrugsareal - resultat'!G$4,Landbrug!$B$22:$E$22,0),FALSE))*(VLOOKUP($B15,'[1]Afgrødefordeling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1148.0573462747577</v>
      </c>
      <c r="H15" s="11">
        <f>IF($B15&lt;&gt;"Permanent græs",(1-VLOOKUP('Landbrugsareal - resultat'!H$5,Landbrug!$B$23:$E$24,MATCH('Landbrugsareal - resultat'!H$4,Landbrug!$B$22:$E$22,0),FALSE))*(VLOOKUP($B15,'[1]Afgrødefordeling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2.1398266344745977E-2</v>
      </c>
      <c r="I15" s="11">
        <f>IF(Landbrug!$E$48&gt;0,SUMIF(Landbrug!$B$33:$B$46,$B15,IF(I13=År2,Landbrug!$D$33:$D$46,Landbrug!$E$33:$E$46)),'[1]Afgrødefordeling - jordtype'!$G13)*(1-Landbrug!$E$5)*Arealanvendelse!P$26</f>
        <v>28550.913691940073</v>
      </c>
      <c r="J15" s="11">
        <f>IF($B15&lt;&gt;"Permanent græs",(1-VLOOKUP(J$5,Landbrug!$B$23:$E$24,MATCH(J$4,Landbrug!$B$22:$E$22,0),FALSE))*(VLOOKUP($B15,'[1]Afgrødefordeling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2.7815068567234969E-2</v>
      </c>
      <c r="K15" s="11">
        <f>IF($B15&lt;&gt;"Permanent græs",(1-VLOOKUP(K$5,Landbrug!$B$23:$E$24,MATCH(K$4,Landbrug!$B$22:$E$22,0),FALSE))*(VLOOKUP($B15,'[1]Afgrødefordeling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2.040875113805252E-2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IF(Landbrug!$D$48&gt;0,SUMIF(Landbrug!$B$33:$B$46,$B15,IF(F13=År2,Landbrug!$D$33:$D$46,Landbrug!$E$33:$E$46)),'[1]Afgrødefordeling - jordtype'!$G13)*(Landbrug!$D$5)*Arealanvendelse!M$26</f>
        <v>5473.5375066740162</v>
      </c>
      <c r="P15" s="11">
        <f>IF($B15&lt;&gt;"Permanent græs",(1-VLOOKUP('Landbrugsareal - resultat'!P$5,Landbrug!$B$23:$E$24,MATCH('Landbrugsareal - resultat'!P$4,Landbrug!$B$22:$E$22,0),FALSE))*(VLOOKUP($B15,'[1]Afgrødefordeling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179.17658005444198</v>
      </c>
      <c r="Q15" s="11">
        <f>IF($B15&lt;&gt;"Permanent græs",(1-VLOOKUP('Landbrugsareal - resultat'!Q$5,Landbrug!$B$23:$E$24,MATCH('Landbrugsareal - resultat'!Q$4,Landbrug!$B$22:$E$22,0),FALSE))*(VLOOKUP($B15,'[1]Afgrødefordeling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3.3396138225904128E-3</v>
      </c>
      <c r="R15" s="11">
        <f>IF(Landbrug!$E$48&gt;0,SUMIF(Landbrug!$B$33:$B$46,$B15,IF(I13=År2,Landbrug!$D$33:$D$46,Landbrug!$E$33:$E$46)),'[1]Afgrødefordeling - jordtype'!$G13)*(Landbrug!$E$5)*Arealanvendelse!P$26</f>
        <v>6056.2544195024393</v>
      </c>
      <c r="S15" s="11">
        <f>IF($B15&lt;&gt;"Permanent græs",(1-VLOOKUP(S$5,Landbrug!$B$23:$E$24,MATCH(S$4,Landbrug!$B$22:$E$22,0),FALSE))*(VLOOKUP($B15,'[1]Afgrødefordeling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5.9001660597165087E-3</v>
      </c>
      <c r="T15" s="11">
        <f>IF($B15&lt;&gt;"Permanent græs",(1-VLOOKUP(T$5,Landbrug!$B$23:$E$24,MATCH(T$4,Landbrug!$B$22:$E$22,0),FALSE))*(VLOOKUP($B15,'[1]Afgrødefordeling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4.329129029283868E-3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IF(Landbrug!$D$48&gt;0,SUMIF(Landbrug!$B$33:$B$46,$B16,IF(F14=År2,Landbrug!$D$33:$D$46,Landbrug!$E$33:$E$46)),'[1]Afgrødefordeling - jordtype'!$G14)*(1-Landbrug!$D$5)*Arealanvendelse!M$26</f>
        <v>56668.45145378921</v>
      </c>
      <c r="G16" s="11">
        <f>IF($B16&lt;&gt;"Permanent græs",(1-VLOOKUP('Landbrugsareal - resultat'!G$5,Landbrug!$B$23:$E$24,MATCH('Landbrugsareal - resultat'!G$4,Landbrug!$B$22:$E$22,0),FALSE))*(VLOOKUP($B16,'[1]Afgrødefordeling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2833.7440917610315</v>
      </c>
      <c r="H16" s="11">
        <f>IF($B16&lt;&gt;"Permanent græs",(1-VLOOKUP('Landbrugsareal - resultat'!H$5,Landbrug!$B$23:$E$24,MATCH('Landbrugsareal - resultat'!H$4,Landbrug!$B$22:$E$22,0),FALSE))*(VLOOKUP($B16,'[1]Afgrødefordeling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6.8082129291564208E-2</v>
      </c>
      <c r="I16" s="11">
        <f>IF(Landbrug!$E$48&gt;0,SUMIF(Landbrug!$B$33:$B$46,$B16,IF(I14=År2,Landbrug!$D$33:$D$46,Landbrug!$E$33:$E$46)),'[1]Afgrødefordeling - jordtype'!$G14)*(1-Landbrug!$E$5)*Arealanvendelse!P$26</f>
        <v>46132.91730390468</v>
      </c>
      <c r="J16" s="11">
        <f>IF($B16&lt;&gt;"Permanent græs",(1-VLOOKUP(J$5,Landbrug!$B$23:$E$24,MATCH(J$4,Landbrug!$B$22:$E$22,0),FALSE))*(VLOOKUP($B16,'[1]Afgrødefordeling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6.8655791864482674E-2</v>
      </c>
      <c r="K16" s="11">
        <f>IF($B16&lt;&gt;"Permanent græs",(1-VLOOKUP(K$5,Landbrug!$B$23:$E$24,MATCH(K$4,Landbrug!$B$22:$E$22,0),FALSE))*(VLOOKUP($B16,'[1]Afgrødefordeling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6.4933822734728863E-2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IF(Landbrug!$D$48&gt;0,SUMIF(Landbrug!$B$33:$B$46,$B16,IF(F14=År2,Landbrug!$D$33:$D$46,Landbrug!$E$33:$E$46)),'[1]Afgrødefordeling - jordtype'!$G14)*(Landbrug!$D$5)*Arealanvendelse!M$26</f>
        <v>8844.2091864295289</v>
      </c>
      <c r="P16" s="11">
        <f>IF($B16&lt;&gt;"Permanent græs",(1-VLOOKUP('Landbrugsareal - resultat'!P$5,Landbrug!$B$23:$E$24,MATCH('Landbrugsareal - resultat'!P$4,Landbrug!$B$22:$E$22,0),FALSE))*(VLOOKUP($B16,'[1]Afgrødefordeling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442.26063859854253</v>
      </c>
      <c r="Q16" s="11">
        <f>IF($B16&lt;&gt;"Permanent græs",(1-VLOOKUP('Landbrugsareal - resultat'!Q$5,Landbrug!$B$23:$E$24,MATCH('Landbrugsareal - resultat'!Q$4,Landbrug!$B$22:$E$22,0),FALSE))*(VLOOKUP($B16,'[1]Afgrødefordeling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1.0625534629319271E-2</v>
      </c>
      <c r="R16" s="11">
        <f>IF(Landbrug!$E$48&gt;0,SUMIF(Landbrug!$B$33:$B$46,$B16,IF(I14=År2,Landbrug!$D$33:$D$46,Landbrug!$E$33:$E$46)),'[1]Afgrødefordeling - jordtype'!$G14)*(Landbrug!$E$5)*Arealanvendelse!P$26</f>
        <v>9785.7703371919033</v>
      </c>
      <c r="S16" s="11">
        <f>IF($B16&lt;&gt;"Permanent græs",(1-VLOOKUP(S$5,Landbrug!$B$23:$E$24,MATCH(S$4,Landbrug!$B$22:$E$22,0),FALSE))*(VLOOKUP($B16,'[1]Afgrødefordeling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1.4563349789435716E-2</v>
      </c>
      <c r="T16" s="11">
        <f>IF($B16&lt;&gt;"Permanent græs",(1-VLOOKUP(T$5,Landbrug!$B$23:$E$24,MATCH(T$4,Landbrug!$B$22:$E$22,0),FALSE))*(VLOOKUP($B16,'[1]Afgrødefordeling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1.3773841186154611E-2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IF(Landbrug!$D$48&gt;0,SUMIF(Landbrug!$B$33:$B$46,$B17,IF(F15=År2,Landbrug!$D$33:$D$46,Landbrug!$E$33:$E$46)),'[1]Afgrødefordeling - jordtype'!$G15)*(1-Landbrug!$D$5)*Arealanvendelse!M$26</f>
        <v>14028.473905994144</v>
      </c>
      <c r="G17" s="11">
        <f>IF($B17&lt;&gt;"Permanent græs",(1-VLOOKUP('Landbrugsareal - resultat'!G$5,Landbrug!$B$23:$E$24,MATCH('Landbrugsareal - resultat'!G$4,Landbrug!$B$22:$E$22,0),FALSE))*(VLOOKUP($B17,'[1]Afgrødefordeling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325.57753513414758</v>
      </c>
      <c r="H17" s="11">
        <f>IF($B17&lt;&gt;"Permanent græs",(1-VLOOKUP('Landbrugsareal - resultat'!H$5,Landbrug!$B$23:$E$24,MATCH('Landbrugsareal - resultat'!H$4,Landbrug!$B$22:$E$22,0),FALSE))*(VLOOKUP($B17,'[1]Afgrødefordeling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6.0683334637179846E-3</v>
      </c>
      <c r="I17" s="11">
        <f>IF(Landbrug!$E$48&gt;0,SUMIF(Landbrug!$B$33:$B$46,$B17,IF(I15=År2,Landbrug!$D$33:$D$46,Landbrug!$E$33:$E$46)),'[1]Afgrødefordeling - jordtype'!$G15)*(1-Landbrug!$E$5)*Arealanvendelse!P$26</f>
        <v>11420.365476776029</v>
      </c>
      <c r="J17" s="11">
        <f>IF($B17&lt;&gt;"Permanent græs",(1-VLOOKUP(J$5,Landbrug!$B$23:$E$24,MATCH(J$4,Landbrug!$B$22:$E$22,0),FALSE))*(VLOOKUP($B17,'[1]Afgrødefordeling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7.888074139408327E-3</v>
      </c>
      <c r="K17" s="11">
        <f>IF($B17&lt;&gt;"Permanent græs",(1-VLOOKUP(K$5,Landbrug!$B$23:$E$24,MATCH(K$4,Landbrug!$B$22:$E$22,0),FALSE))*(VLOOKUP($B17,'[1]Afgrødefordeling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5.7877168873610831E-3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IF(Landbrug!$D$48&gt;0,SUMIF(Landbrug!$B$33:$B$46,$B17,IF(F15=År2,Landbrug!$D$33:$D$46,Landbrug!$E$33:$E$46)),'[1]Afgrødefordeling - jordtype'!$G15)*(Landbrug!$D$5)*Arealanvendelse!M$26</f>
        <v>2189.4150026696066</v>
      </c>
      <c r="P17" s="11">
        <f>IF($B17&lt;&gt;"Permanent græs",(1-VLOOKUP('Landbrugsareal - resultat'!P$5,Landbrug!$B$23:$E$24,MATCH('Landbrugsareal - resultat'!P$4,Landbrug!$B$22:$E$22,0),FALSE))*(VLOOKUP($B17,'[1]Afgrødefordeling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50.812678893768705</v>
      </c>
      <c r="Q17" s="11">
        <f>IF($B17&lt;&gt;"Permanent græs",(1-VLOOKUP('Landbrugsareal - resultat'!Q$5,Landbrug!$B$23:$E$24,MATCH('Landbrugsareal - resultat'!Q$4,Landbrug!$B$22:$E$22,0),FALSE))*(VLOOKUP($B17,'[1]Afgrødefordeling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9.4708094520454093E-4</v>
      </c>
      <c r="R17" s="11">
        <f>IF(Landbrug!$E$48&gt;0,SUMIF(Landbrug!$B$33:$B$46,$B17,IF(I15=År2,Landbrug!$D$33:$D$46,Landbrug!$E$33:$E$46)),'[1]Afgrødefordeling - jordtype'!$G15)*(Landbrug!$E$5)*Arealanvendelse!P$26</f>
        <v>2422.5017678009758</v>
      </c>
      <c r="S17" s="11">
        <f>IF($B17&lt;&gt;"Permanent græs",(1-VLOOKUP(S$5,Landbrug!$B$23:$E$24,MATCH(S$4,Landbrug!$B$22:$E$22,0),FALSE))*(VLOOKUP($B17,'[1]Afgrødefordeling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1.6732278477532812E-3</v>
      </c>
      <c r="T17" s="11">
        <f>IF($B17&lt;&gt;"Permanent græs",(1-VLOOKUP(T$5,Landbrug!$B$23:$E$24,MATCH(T$4,Landbrug!$B$22:$E$22,0),FALSE))*(VLOOKUP($B17,'[1]Afgrødefordeling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1.2276975215614421E-3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IF(Landbrug!$D$48&gt;0,SUMIF(Landbrug!$B$33:$B$46,$B18,IF(F16=År2,Landbrug!$D$33:$D$46,Landbrug!$E$33:$E$46)),'[1]Afgrødefordeling - jordtype'!$G16)*(1-Landbrug!$D$5)*Arealanvendelse!M$26</f>
        <v>7014.236952997072</v>
      </c>
      <c r="G18" s="11">
        <f>IF($B18&lt;&gt;"Permanent græs",(1-VLOOKUP('Landbrugsareal - resultat'!G$5,Landbrug!$B$23:$E$24,MATCH('Landbrugsareal - resultat'!G$4,Landbrug!$B$22:$E$22,0),FALSE))*(VLOOKUP($B18,'[1]Afgrødefordeling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534.71836671684468</v>
      </c>
      <c r="H18" s="11">
        <f>IF($B18&lt;&gt;"Permanent græs",(1-VLOOKUP('Landbrugsareal - resultat'!H$5,Landbrug!$B$23:$E$24,MATCH('Landbrugsareal - resultat'!H$4,Landbrug!$B$22:$E$22,0),FALSE))*(VLOOKUP($B18,'[1]Afgrødefordeling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1.4324445842879414E-2</v>
      </c>
      <c r="I18" s="11">
        <f>IF(Landbrug!$E$48&gt;0,SUMIF(Landbrug!$B$33:$B$46,$B18,IF(I16=År2,Landbrug!$D$33:$D$46,Landbrug!$E$33:$E$46)),'[1]Afgrødefordeling - jordtype'!$G16)*(1-Landbrug!$E$5)*Arealanvendelse!P$26</f>
        <v>5710.1827383880145</v>
      </c>
      <c r="J18" s="11">
        <f>IF($B18&lt;&gt;"Permanent græs",(1-VLOOKUP(J$5,Landbrug!$B$23:$E$24,MATCH(J$4,Landbrug!$B$22:$E$22,0),FALSE))*(VLOOKUP($B18,'[1]Afgrødefordeling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1.2955126399086169E-2</v>
      </c>
      <c r="K18" s="11">
        <f>IF($B18&lt;&gt;"Permanent græs",(1-VLOOKUP(K$5,Landbrug!$B$23:$E$24,MATCH(K$4,Landbrug!$B$22:$E$22,0),FALSE))*(VLOOKUP($B18,'[1]Afgrødefordeling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1.3662043722977473E-2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IF(Landbrug!$D$48&gt;0,SUMIF(Landbrug!$B$33:$B$46,$B18,IF(F16=År2,Landbrug!$D$33:$D$46,Landbrug!$E$33:$E$46)),'[1]Afgrødefordeling - jordtype'!$G16)*(Landbrug!$D$5)*Arealanvendelse!M$26</f>
        <v>1094.7075013348033</v>
      </c>
      <c r="P18" s="11">
        <f>IF($B18&lt;&gt;"Permanent græs",(1-VLOOKUP('Landbrugsareal - resultat'!P$5,Landbrug!$B$23:$E$24,MATCH('Landbrugsareal - resultat'!P$4,Landbrug!$B$22:$E$22,0),FALSE))*(VLOOKUP($B18,'[1]Afgrødefordeling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83.453155499160744</v>
      </c>
      <c r="Q18" s="11">
        <f>IF($B18&lt;&gt;"Permanent græs",(1-VLOOKUP('Landbrugsareal - resultat'!Q$5,Landbrug!$B$23:$E$24,MATCH('Landbrugsareal - resultat'!Q$4,Landbrug!$B$22:$E$22,0),FALSE))*(VLOOKUP($B18,'[1]Afgrødefordeling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2.2356071546690416E-3</v>
      </c>
      <c r="R18" s="11">
        <f>IF(Landbrug!$E$48&gt;0,SUMIF(Landbrug!$B$33:$B$46,$B18,IF(I16=År2,Landbrug!$D$33:$D$46,Landbrug!$E$33:$E$46)),'[1]Afgrødefordeling - jordtype'!$G16)*(Landbrug!$E$5)*Arealanvendelse!P$26</f>
        <v>1211.2508839004879</v>
      </c>
      <c r="S18" s="11">
        <f>IF($B18&lt;&gt;"Permanent græs",(1-VLOOKUP(S$5,Landbrug!$B$23:$E$24,MATCH(S$4,Landbrug!$B$22:$E$22,0),FALSE))*(VLOOKUP($B18,'[1]Afgrødefordeling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2.7480571149576727E-3</v>
      </c>
      <c r="T18" s="11">
        <f>IF($B18&lt;&gt;"Permanent græs",(1-VLOOKUP(T$5,Landbrug!$B$23:$E$24,MATCH(T$4,Landbrug!$B$22:$E$22,0),FALSE))*(VLOOKUP($B18,'[1]Afgrødefordeling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2.8980092745709792E-3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IF(Landbrug!$D$48&gt;0,SUMIF(Landbrug!$B$33:$B$46,$B19,IF(F17=År2,Landbrug!$D$33:$D$46,Landbrug!$E$33:$E$46)),'[1]Afgrødefordeling - jordtype'!$G17)*(1-Landbrug!$D$5)*Arealanvendelse!M$26</f>
        <v>182370.16077792388</v>
      </c>
      <c r="G19" s="11">
        <f>IF($B19&lt;&gt;"Permanent græs",(1-VLOOKUP('Landbrugsareal - resultat'!G$5,Landbrug!$B$23:$E$24,MATCH('Landbrugsareal - resultat'!G$4,Landbrug!$B$22:$E$22,0),FALSE))*(VLOOKUP($B19,'[1]Afgrødefordeling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resultat'!G$4,Landbrug!$B$22:$E$22,0),FALSE))*(1-Landbrug!$D$5)*Arealanvendelse!N$26</f>
        <v>15113.849399235503</v>
      </c>
      <c r="H19" s="11">
        <f>IF($B19&lt;&gt;"Permanent græs",(1-VLOOKUP('Landbrugsareal - resultat'!H$5,Landbrug!$B$23:$E$24,MATCH('Landbrugsareal - resultat'!H$4,Landbrug!$B$22:$E$22,0),FALSE))*(VLOOKUP($B19,'[1]Afgrødefordeling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resultat'!H$4,Landbrug!$B$22:$E$22,0),FALSE))*(1-Landbrug!$D$5)*Arealanvendelse!O$26</f>
        <v>0.52979341323357754</v>
      </c>
      <c r="I19" s="11">
        <f>IF(Landbrug!$E$48&gt;0,SUMIF(Landbrug!$B$33:$B$46,$B19,IF(I17=År2,Landbrug!$D$33:$D$46,Landbrug!$E$33:$E$46)),'[1]Afgrødefordeling - jordtype'!$G17)*(1-Landbrug!$E$5)*Arealanvendelse!P$26</f>
        <v>148464.75119808837</v>
      </c>
      <c r="J19" s="11">
        <f>IF($B19&lt;&gt;"Permanent græs",(1-VLOOKUP(J$5,Landbrug!$B$23:$E$24,MATCH(J$4,Landbrug!$B$22:$E$22,0),FALSE))*(VLOOKUP($B19,'[1]Afgrødefordeling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jordtype'!$F$3:$I$3,0),FALSE)),VLOOKUP(J$5,Landbrug!$B$23:$E$24,MATCH(J$4,Landbrug!$B$22:$E$22,0),FALSE))*(1-Landbrug!$E$5)*Arealanvendelse!Q$26</f>
        <v>0.36617748993000948</v>
      </c>
      <c r="K19" s="11">
        <f>IF($B19&lt;&gt;"Permanent græs",(1-VLOOKUP(K$5,Landbrug!$B$23:$E$24,MATCH(K$4,Landbrug!$B$22:$E$22,0),FALSE))*(VLOOKUP($B19,'[1]Afgrødefordeling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jordtype'!$F$3:$I$3,0),FALSE)),VLOOKUP(K$5,Landbrug!$B$23:$E$24,MATCH(K$4,Landbrug!$B$22:$E$22,0),FALSE))*(1-Landbrug!$E$5)*Arealanvendelse!R$26</f>
        <v>0.50529429585861441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IF(Landbrug!$D$48&gt;0,SUMIF(Landbrug!$B$33:$B$46,$B19,IF(F17=År2,Landbrug!$D$33:$D$46,Landbrug!$E$33:$E$46)),'[1]Afgrødefordeling - jordtype'!$G17)*(Landbrug!$D$5)*Arealanvendelse!M$26</f>
        <v>28462.395034704889</v>
      </c>
      <c r="P19" s="11">
        <f>IF($B19&lt;&gt;"Permanent græs",(1-VLOOKUP('Landbrugsareal - resultat'!P$5,Landbrug!$B$23:$E$24,MATCH('Landbrugsareal - resultat'!P$4,Landbrug!$B$22:$E$22,0),FALSE))*(VLOOKUP($B19,'[1]Afgrødefordeling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resultat'!G$5,Landbrug!$B$23:$E$24,MATCH('Landbrugsareal - resultat'!P$4,Landbrug!$B$22:$E$22,0),FALSE))*(Landbrug!$D$5)*Arealanvendelse!N$26</f>
        <v>2358.8088657766393</v>
      </c>
      <c r="Q19" s="11">
        <f>IF($B19&lt;&gt;"Permanent græs",(1-VLOOKUP('Landbrugsareal - resultat'!Q$5,Landbrug!$B$23:$E$24,MATCH('Landbrugsareal - resultat'!Q$4,Landbrug!$B$22:$E$22,0),FALSE))*(VLOOKUP($B19,'[1]Afgrødefordeling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resultat'!H$5,Landbrug!$B$23:$E$24,MATCH('Landbrugsareal - resultat'!Q$4,Landbrug!$B$22:$E$22,0),FALSE))*(Landbrug!$D$5)*Arealanvendelse!O$26</f>
        <v>8.2684521140500539E-2</v>
      </c>
      <c r="R19" s="11">
        <f>IF(Landbrug!$E$48&gt;0,SUMIF(Landbrug!$B$33:$B$46,$B19,IF(I17=År2,Landbrug!$D$33:$D$46,Landbrug!$E$33:$E$46)),'[1]Afgrødefordeling - jordtype'!$G17)*(Landbrug!$E$5)*Arealanvendelse!P$26</f>
        <v>31492.522981412687</v>
      </c>
      <c r="S19" s="11">
        <f>IF($B19&lt;&gt;"Permanent græs",(1-VLOOKUP(S$5,Landbrug!$B$23:$E$24,MATCH(S$4,Landbrug!$B$22:$E$22,0),FALSE))*(VLOOKUP($B19,'[1]Afgrødefordeling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jordtype'!$F$3:$I$3,0),FALSE)),VLOOKUP(S$5,Landbrug!$B$23:$E$24,MATCH(S$4,Landbrug!$B$22:$E$22,0),FALSE))*(Landbrug!$E$5)*Arealanvendelse!Q$26</f>
        <v>7.7674013015456553E-2</v>
      </c>
      <c r="T19" s="11">
        <f>IF($B19&lt;&gt;"Permanent græs",(1-VLOOKUP(T$5,Landbrug!$B$23:$E$24,MATCH(T$4,Landbrug!$B$22:$E$22,0),FALSE))*(VLOOKUP($B19,'[1]Afgrødefordeling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jordtype'!$F$3:$I$3,0),FALSE)),VLOOKUP(T$5,Landbrug!$B$23:$E$24,MATCH(T$4,Landbrug!$B$22:$E$22,0),FALSE))*(Landbrug!$E$5)*Arealanvendelse!R$26</f>
        <v>0.10718363851546366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1403401.946429227</v>
      </c>
      <c r="G20" s="38">
        <f t="shared" si="2"/>
        <v>61477.205584644296</v>
      </c>
      <c r="H20" s="38">
        <f t="shared" si="2"/>
        <v>1.5616828121838626</v>
      </c>
      <c r="I20" s="38">
        <f t="shared" si="2"/>
        <v>1142488.0030744032</v>
      </c>
      <c r="J20" s="38">
        <f t="shared" si="2"/>
        <v>1.489466265955707</v>
      </c>
      <c r="K20" s="39">
        <f t="shared" si="2"/>
        <v>1.489466265955707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219028.04944271178</v>
      </c>
      <c r="P20" s="38">
        <f t="shared" si="2"/>
        <v>9594.708386042752</v>
      </c>
      <c r="Q20" s="38">
        <f t="shared" si="2"/>
        <v>0.24373084352002478</v>
      </c>
      <c r="R20" s="38">
        <f t="shared" si="2"/>
        <v>242345.94004608563</v>
      </c>
      <c r="S20" s="38">
        <f t="shared" si="2"/>
        <v>0.31594738974818026</v>
      </c>
      <c r="T20" s="39">
        <f t="shared" si="2"/>
        <v>0.31594738974818021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3" t="s">
        <v>7</v>
      </c>
      <c r="D22" s="364"/>
      <c r="E22" s="365"/>
      <c r="F22" s="366" t="s">
        <v>8</v>
      </c>
      <c r="G22" s="364"/>
      <c r="H22" s="36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7560938.5185532495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495893.73144674982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658308.32592480641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177170.07407519361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0" t="s">
        <v>24</v>
      </c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1"/>
      <c r="U29" s="372"/>
    </row>
    <row r="30" spans="1:21" x14ac:dyDescent="0.25">
      <c r="A30" s="56"/>
      <c r="B30" s="53"/>
      <c r="C30" s="373" t="s">
        <v>7</v>
      </c>
      <c r="D30" s="374"/>
      <c r="E30" s="374"/>
      <c r="F30" s="374"/>
      <c r="G30" s="374"/>
      <c r="H30" s="374"/>
      <c r="I30" s="374"/>
      <c r="J30" s="374"/>
      <c r="K30" s="375"/>
      <c r="L30" s="373" t="s">
        <v>8</v>
      </c>
      <c r="M30" s="374"/>
      <c r="N30" s="374"/>
      <c r="O30" s="374"/>
      <c r="P30" s="374"/>
      <c r="Q30" s="374"/>
      <c r="R30" s="374"/>
      <c r="S30" s="374"/>
      <c r="T30" s="375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IF(Landbrug!$D$48&gt;0,SUMIF(Landbrug!$B$33:$B$46,$B33,IF(F32=År2,Landbrug!$D$33:$D$46,Landbrug!$E$33:$E$46)),'[1]Afgrødefordeling - jordtype'!$P4)*(1-Landbrug!$D$5)*Arealanvendelse!M$36</f>
        <v>182635.09976023421</v>
      </c>
      <c r="G33" s="11">
        <f>IF($B33&lt;&gt;"Permanent græs",(1-VLOOKUP('Landbrugsareal - resultat'!G$5,Landbrug!$B$23:$E$24,MATCH('Landbrugsareal - resultat'!G$4,Landbrug!$B$22:$E$22,0),FALSE))*(VLOOKUP($B33,'[1]Afgrødefordeling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2543.5266161074505</v>
      </c>
      <c r="H33" s="11">
        <f>IF($B33&lt;&gt;"Permanent græs",(1-VLOOKUP('Landbrugsareal - resultat'!H$5,Landbrug!$B$23:$E$24,MATCH('Landbrugsareal - resultat'!H$4,Landbrug!$B$22:$E$22,0),FALSE))*(VLOOKUP($B33,'[1]Afgrødefordeling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4.5754933628917617E-2</v>
      </c>
      <c r="I33" s="11">
        <f>IF(Landbrug!$E$48&gt;0,SUMIF(Landbrug!$B$33:$B$46,$B33,IF(I32=År2,Landbrug!$D$33:$D$46,Landbrug!$E$33:$E$46)),'[1]Afgrødefordeling - jordtype'!$P4)*(1-Landbrug!$E$5)*Arealanvendelse!P$36</f>
        <v>165742.2609289588</v>
      </c>
      <c r="J33" s="11">
        <f>IF($B33&lt;&gt;"Permanent græs",(1-VLOOKUP(J$5,Landbrug!$B$23:$E$24,MATCH(J$4,Landbrug!$B$22:$E$22,0),FALSE))*(VLOOKUP($B33,'[1]Afgrødefordeling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6.1624419250252083E-2</v>
      </c>
      <c r="K33" s="11">
        <f>IF($B33&lt;&gt;"Permanent græs",(1-VLOOKUP(K$5,Landbrug!$B$23:$E$24,MATCH(K$4,Landbrug!$B$22:$E$22,0),FALSE))*(VLOOKUP($B33,'[1]Afgrødefordeling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4.3639098547811596E-2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IF(Landbrug!$D$48&gt;0,SUMIF(Landbrug!$B$33:$B$46,$B33,IF(O32=År2,Landbrug!$D$33:$D$46,Landbrug!$E$33:$E$46)),'[1]Afgrødefordeling - jordtype'!$P4)*(Landbrug!$D$5)*Arealanvendelse!M$36</f>
        <v>28503.743893215742</v>
      </c>
      <c r="P33" s="11">
        <f>IF($B33&lt;&gt;"Permanent græs",(1-VLOOKUP('Landbrugsareal - resultat'!P$5,Landbrug!$B$23:$E$24,MATCH('Landbrugsareal - resultat'!P$4,Landbrug!$B$22:$E$22,0),FALSE))*(VLOOKUP($B33,'[1]Afgrødefordeling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396.96658170463104</v>
      </c>
      <c r="Q33" s="11">
        <f>IF($B33&lt;&gt;"Permanent græs",(1-VLOOKUP('Landbrugsareal - resultat'!Q$5,Landbrug!$B$23:$E$24,MATCH('Landbrugsareal - resultat'!Q$4,Landbrug!$B$22:$E$22,0),FALSE))*(VLOOKUP($B33,'[1]Afgrødefordeling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7.1409433987328075E-3</v>
      </c>
      <c r="R33" s="11">
        <f>IF(Landbrug!$E$48&gt;0,SUMIF(Landbrug!$B$33:$B$46,$B33,IF(R32=År2,Landbrug!$D$33:$D$46,Landbrug!$E$33:$E$46)),'[1]Afgrødefordeling - jordtype'!$P4)*(Landbrug!$E$5)*Arealanvendelse!P$36</f>
        <v>35157.449287960953</v>
      </c>
      <c r="S33" s="11">
        <f>IF($B33&lt;&gt;"Permanent græs",(1-VLOOKUP(S$5,Landbrug!$B$23:$E$24,MATCH(S$4,Landbrug!$B$22:$E$22,0),FALSE))*(VLOOKUP($B33,'[1]Afgrødefordeling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1.3071846507629228E-2</v>
      </c>
      <c r="T33" s="11">
        <f>IF($B33&lt;&gt;"Permanent græs",(1-VLOOKUP(T$5,Landbrug!$B$23:$E$24,MATCH(T$4,Landbrug!$B$22:$E$22,0),FALSE))*(VLOOKUP($B33,'[1]Afgrødefordeling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9.2567784798388234E-3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IF(Landbrug!$D$48&gt;0,SUMIF(Landbrug!$B$33:$B$46,$B34,IF(F33=År2,Landbrug!$D$33:$D$46,Landbrug!$E$33:$E$46)),'[1]Afgrødefordeling - jordtype'!$P5)*(1-Landbrug!$D$5)*Arealanvendelse!M$36</f>
        <v>41092.897446052695</v>
      </c>
      <c r="G34" s="11">
        <f>IF($B34&lt;&gt;"Permanent græs",(1-VLOOKUP('Landbrugsareal - resultat'!G$5,Landbrug!$B$23:$E$24,MATCH('Landbrugsareal - resultat'!G$4,Landbrug!$B$22:$E$22,0),FALSE))*(VLOOKUP($B34,'[1]Afgrødefordeling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68.781025480452769</v>
      </c>
      <c r="H34" s="11">
        <f>IF($B34&lt;&gt;"Permanent græs",(1-VLOOKUP('Landbrugsareal - resultat'!H$5,Landbrug!$B$23:$E$24,MATCH('Landbrugsareal - resultat'!H$4,Landbrug!$B$22:$E$22,0),FALSE))*(VLOOKUP($B34,'[1]Afgrødefordeling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8.3106047603679744E-4</v>
      </c>
      <c r="I34" s="11">
        <f>IF(Landbrug!$E$48&gt;0,SUMIF(Landbrug!$B$33:$B$46,$B34,IF(I33=År2,Landbrug!$D$33:$D$46,Landbrug!$E$33:$E$46)),'[1]Afgrødefordeling - jordtype'!$P5)*(1-Landbrug!$E$5)*Arealanvendelse!P$36</f>
        <v>37292.008709015725</v>
      </c>
      <c r="J34" s="11">
        <f>IF($B34&lt;&gt;"Permanent græs",(1-VLOOKUP(J$5,Landbrug!$B$23:$E$24,MATCH(J$4,Landbrug!$B$22:$E$22,0),FALSE))*(VLOOKUP($B34,'[1]Afgrødefordeling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1.6664228020370887E-3</v>
      </c>
      <c r="K34" s="11">
        <f>IF($B34&lt;&gt;"Permanent græs",(1-VLOOKUP(K$5,Landbrug!$B$23:$E$24,MATCH(K$4,Landbrug!$B$22:$E$22,0),FALSE))*(VLOOKUP($B34,'[1]Afgrødefordeling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7.9262993379232123E-4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IF(Landbrug!$D$48&gt;0,SUMIF(Landbrug!$B$33:$B$46,$B34,IF(O33=År2,Landbrug!$D$33:$D$46,Landbrug!$E$33:$E$46)),'[1]Afgrødefordeling - jordtype'!$P5)*(Landbrug!$D$5)*Arealanvendelse!M$36</f>
        <v>6413.3423759735424</v>
      </c>
      <c r="P34" s="11">
        <f>IF($B34&lt;&gt;"Permanent græs",(1-VLOOKUP('Landbrugsareal - resultat'!P$5,Landbrug!$B$23:$E$24,MATCH('Landbrugsareal - resultat'!P$4,Landbrug!$B$22:$E$22,0),FALSE))*(VLOOKUP($B34,'[1]Afgrødefordeling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10.734610913134247</v>
      </c>
      <c r="Q34" s="11">
        <f>IF($B34&lt;&gt;"Permanent græs",(1-VLOOKUP('Landbrugsareal - resultat'!Q$5,Landbrug!$B$23:$E$24,MATCH('Landbrugsareal - resultat'!Q$4,Landbrug!$B$22:$E$22,0),FALSE))*(VLOOKUP($B34,'[1]Afgrødefordeling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1.2970308007510711E-4</v>
      </c>
      <c r="R34" s="11">
        <f>IF(Landbrug!$E$48&gt;0,SUMIF(Landbrug!$B$33:$B$46,$B34,IF(R33=År2,Landbrug!$D$33:$D$46,Landbrug!$E$33:$E$46)),'[1]Afgrødefordeling - jordtype'!$P5)*(Landbrug!$E$5)*Arealanvendelse!P$36</f>
        <v>7910.4260897912154</v>
      </c>
      <c r="S34" s="11">
        <f>IF($B34&lt;&gt;"Permanent græs",(1-VLOOKUP(S$5,Landbrug!$B$23:$E$24,MATCH(S$4,Landbrug!$B$22:$E$22,0),FALSE))*(VLOOKUP($B34,'[1]Afgrødefordeling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3.5348362467453397E-4</v>
      </c>
      <c r="T34" s="11">
        <f>IF($B34&lt;&gt;"Permanent græs",(1-VLOOKUP(T$5,Landbrug!$B$23:$E$24,MATCH(T$4,Landbrug!$B$22:$E$22,0),FALSE))*(VLOOKUP($B34,'[1]Afgrødefordeling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1.6813362231958326E-4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IF(Landbrug!$D$48&gt;0,SUMIF(Landbrug!$B$33:$B$46,$B35,IF(F34=År2,Landbrug!$D$33:$D$46,Landbrug!$E$33:$E$46)),'[1]Afgrødefordeling - jordtype'!$P6)*(1-Landbrug!$D$5)*Arealanvendelse!M$36</f>
        <v>45658.774940058553</v>
      </c>
      <c r="G35" s="11">
        <f>IF($B35&lt;&gt;"Permanent græs",(1-VLOOKUP('Landbrugsareal - resultat'!G$5,Landbrug!$B$23:$E$24,MATCH('Landbrugsareal - resultat'!G$4,Landbrug!$B$22:$E$22,0),FALSE))*(VLOOKUP($B35,'[1]Afgrødefordeling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277.81730642917057</v>
      </c>
      <c r="H35" s="11">
        <f>IF($B35&lt;&gt;"Permanent græs",(1-VLOOKUP('Landbrugsareal - resultat'!H$5,Landbrug!$B$23:$E$24,MATCH('Landbrugsareal - resultat'!H$4,Landbrug!$B$22:$E$22,0),FALSE))*(VLOOKUP($B35,'[1]Afgrødefordeling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4.0595359645178462E-3</v>
      </c>
      <c r="I35" s="11">
        <f>IF(Landbrug!$E$48&gt;0,SUMIF(Landbrug!$B$33:$B$46,$B35,IF(I34=År2,Landbrug!$D$33:$D$46,Landbrug!$E$33:$E$46)),'[1]Afgrødefordeling - jordtype'!$P6)*(1-Landbrug!$E$5)*Arealanvendelse!P$36</f>
        <v>41435.5652322397</v>
      </c>
      <c r="J35" s="11">
        <f>IF($B35&lt;&gt;"Permanent græs",(1-VLOOKUP(J$5,Landbrug!$B$23:$E$24,MATCH(J$4,Landbrug!$B$22:$E$22,0),FALSE))*(VLOOKUP($B35,'[1]Afgrødefordeling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6.7309420148972078E-3</v>
      </c>
      <c r="K35" s="11">
        <f>IF($B35&lt;&gt;"Permanent græs",(1-VLOOKUP(K$5,Landbrug!$B$23:$E$24,MATCH(K$4,Landbrug!$B$22:$E$22,0),FALSE))*(VLOOKUP($B35,'[1]Afgrødefordeling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3.8718117580661539E-3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IF(Landbrug!$D$48&gt;0,SUMIF(Landbrug!$B$33:$B$46,$B35,IF(O34=År2,Landbrug!$D$33:$D$46,Landbrug!$E$33:$E$46)),'[1]Afgrødefordeling - jordtype'!$P6)*(Landbrug!$D$5)*Arealanvendelse!M$36</f>
        <v>7125.9359733039355</v>
      </c>
      <c r="P35" s="11">
        <f>IF($B35&lt;&gt;"Permanent græs",(1-VLOOKUP('Landbrugsareal - resultat'!P$5,Landbrug!$B$23:$E$24,MATCH('Landbrugsareal - resultat'!P$4,Landbrug!$B$22:$E$22,0),FALSE))*(VLOOKUP($B35,'[1]Afgrødefordeling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43.358770367558421</v>
      </c>
      <c r="Q35" s="11">
        <f>IF($B35&lt;&gt;"Permanent græs",(1-VLOOKUP('Landbrugsareal - resultat'!Q$5,Landbrug!$B$23:$E$24,MATCH('Landbrugsareal - resultat'!Q$4,Landbrug!$B$22:$E$22,0),FALSE))*(VLOOKUP($B35,'[1]Afgrødefordeling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6.3356919677446158E-4</v>
      </c>
      <c r="R35" s="11">
        <f>IF(Landbrug!$E$48&gt;0,SUMIF(Landbrug!$B$33:$B$46,$B35,IF(R34=År2,Landbrug!$D$33:$D$46,Landbrug!$E$33:$E$46)),'[1]Afgrødefordeling - jordtype'!$P6)*(Landbrug!$E$5)*Arealanvendelse!P$36</f>
        <v>8789.3623219902383</v>
      </c>
      <c r="S35" s="11">
        <f>IF($B35&lt;&gt;"Permanent græs",(1-VLOOKUP(S$5,Landbrug!$B$23:$E$24,MATCH(S$4,Landbrug!$B$22:$E$22,0),FALSE))*(VLOOKUP($B35,'[1]Afgrødefordeling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1.4277755789175895E-3</v>
      </c>
      <c r="T35" s="11">
        <f>IF($B35&lt;&gt;"Permanent græs",(1-VLOOKUP(T$5,Landbrug!$B$23:$E$24,MATCH(T$4,Landbrug!$B$22:$E$22,0),FALSE))*(VLOOKUP($B35,'[1]Afgrødefordeling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8.2129340322615392E-4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IF(Landbrug!$D$48&gt;0,SUMIF(Landbrug!$B$33:$B$46,$B36,IF(F35=År2,Landbrug!$D$33:$D$46,Landbrug!$E$33:$E$46)),'[1]Afgrødefordeling - jordtype'!$P7)*(1-Landbrug!$D$5)*Arealanvendelse!M$36</f>
        <v>45658.774940058553</v>
      </c>
      <c r="G36" s="11">
        <f>IF($B36&lt;&gt;"Permanent græs",(1-VLOOKUP('Landbrugsareal - resultat'!G$5,Landbrug!$B$23:$E$24,MATCH('Landbrugsareal - resultat'!G$4,Landbrug!$B$22:$E$22,0),FALSE))*(VLOOKUP($B36,'[1]Afgrødefordeling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816.89928733229783</v>
      </c>
      <c r="H36" s="11">
        <f>IF($B36&lt;&gt;"Permanent græs",(1-VLOOKUP('Landbrugsareal - resultat'!H$5,Landbrug!$B$23:$E$24,MATCH('Landbrugsareal - resultat'!H$4,Landbrug!$B$22:$E$22,0),FALSE))*(VLOOKUP($B36,'[1]Afgrødefordeling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2.9831848636857054E-2</v>
      </c>
      <c r="I36" s="11">
        <f>IF(Landbrug!$E$48&gt;0,SUMIF(Landbrug!$B$33:$B$46,$B36,IF(I35=År2,Landbrug!$D$33:$D$46,Landbrug!$E$33:$E$46)),'[1]Afgrødefordeling - jordtype'!$P7)*(1-Landbrug!$E$5)*Arealanvendelse!P$36</f>
        <v>41435.5652322397</v>
      </c>
      <c r="J36" s="11">
        <f>IF($B36&lt;&gt;"Permanent græs",(1-VLOOKUP(J$5,Landbrug!$B$23:$E$24,MATCH(J$4,Landbrug!$B$22:$E$22,0),FALSE))*(VLOOKUP($B36,'[1]Afgrødefordeling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1.9791789812224642E-2</v>
      </c>
      <c r="K36" s="11">
        <f>IF($B36&lt;&gt;"Permanent græs",(1-VLOOKUP(K$5,Landbrug!$B$23:$E$24,MATCH(K$4,Landbrug!$B$22:$E$22,0),FALSE))*(VLOOKUP($B36,'[1]Afgrødefordeling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2.8452341185441699E-2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IF(Landbrug!$D$48&gt;0,SUMIF(Landbrug!$B$33:$B$46,$B36,IF(O35=År2,Landbrug!$D$33:$D$46,Landbrug!$E$33:$E$46)),'[1]Afgrødefordeling - jordtype'!$P7)*(Landbrug!$D$5)*Arealanvendelse!M$36</f>
        <v>7125.9359733039355</v>
      </c>
      <c r="P36" s="11">
        <f>IF($B36&lt;&gt;"Permanent græs",(1-VLOOKUP('Landbrugsareal - resultat'!P$5,Landbrug!$B$23:$E$24,MATCH('Landbrugsareal - resultat'!P$4,Landbrug!$B$22:$E$22,0),FALSE))*(VLOOKUP($B36,'[1]Afgrødefordeling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127.4929523582199</v>
      </c>
      <c r="Q36" s="11">
        <f>IF($B36&lt;&gt;"Permanent græs",(1-VLOOKUP('Landbrugsareal - resultat'!Q$5,Landbrug!$B$23:$E$24,MATCH('Landbrugsareal - resultat'!Q$4,Landbrug!$B$22:$E$22,0),FALSE))*(VLOOKUP($B36,'[1]Afgrødefordeling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4.6558376485268237E-3</v>
      </c>
      <c r="R36" s="11">
        <f>IF(Landbrug!$E$48&gt;0,SUMIF(Landbrug!$B$33:$B$46,$B36,IF(R35=År2,Landbrug!$D$33:$D$46,Landbrug!$E$33:$E$46)),'[1]Afgrødefordeling - jordtype'!$P7)*(Landbrug!$E$5)*Arealanvendelse!P$36</f>
        <v>8789.3623219902383</v>
      </c>
      <c r="S36" s="11">
        <f>IF($B36&lt;&gt;"Permanent græs",(1-VLOOKUP(S$5,Landbrug!$B$23:$E$24,MATCH(S$4,Landbrug!$B$22:$E$22,0),FALSE))*(VLOOKUP($B36,'[1]Afgrødefordeling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4.1982584450173483E-3</v>
      </c>
      <c r="T36" s="11">
        <f>IF($B36&lt;&gt;"Permanent græs",(1-VLOOKUP(T$5,Landbrug!$B$23:$E$24,MATCH(T$4,Landbrug!$B$22:$E$22,0),FALSE))*(VLOOKUP($B36,'[1]Afgrødefordeling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6.0353450999421779E-3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IF(Landbrug!$D$48&gt;0,SUMIF(Landbrug!$B$33:$B$46,$B37,IF(F36=År2,Landbrug!$D$33:$D$46,Landbrug!$E$33:$E$46)),'[1]Afgrødefordeling - jordtype'!$P8)*(1-Landbrug!$D$5)*Arealanvendelse!M$36</f>
        <v>4565.8774940058547</v>
      </c>
      <c r="G37" s="11">
        <f>IF($B37&lt;&gt;"Permanent græs",(1-VLOOKUP('Landbrugsareal - resultat'!G$5,Landbrug!$B$23:$E$24,MATCH('Landbrugsareal - resultat'!G$4,Landbrug!$B$22:$E$22,0),FALSE))*(VLOOKUP($B37,'[1]Afgrødefordeling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15.471187824817051</v>
      </c>
      <c r="H37" s="11">
        <f>IF($B37&lt;&gt;"Permanent græs",(1-VLOOKUP('Landbrugsareal - resultat'!H$5,Landbrug!$B$23:$E$24,MATCH('Landbrugsareal - resultat'!H$4,Landbrug!$B$22:$E$22,0),FALSE))*(VLOOKUP($B37,'[1]Afgrødefordeling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1.4040654632499296E-4</v>
      </c>
      <c r="I37" s="11">
        <f>IF(Landbrug!$E$48&gt;0,SUMIF(Landbrug!$B$33:$B$46,$B37,IF(I36=År2,Landbrug!$D$33:$D$46,Landbrug!$E$33:$E$46)),'[1]Afgrødefordeling - jordtype'!$P8)*(1-Landbrug!$E$5)*Arealanvendelse!P$36</f>
        <v>4143.5565232239696</v>
      </c>
      <c r="J37" s="11">
        <f>IF($B37&lt;&gt;"Permanent græs",(1-VLOOKUP(J$5,Landbrug!$B$23:$E$24,MATCH(J$4,Landbrug!$B$22:$E$22,0),FALSE))*(VLOOKUP($B37,'[1]Afgrødefordeling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3.7483506513290803E-4</v>
      </c>
      <c r="K37" s="11">
        <f>IF($B37&lt;&gt;"Permanent græs",(1-VLOOKUP(K$5,Landbrug!$B$23:$E$24,MATCH(K$4,Landbrug!$B$22:$E$22,0),FALSE))*(VLOOKUP($B37,'[1]Afgrødefordeling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1.3391375805562911E-4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IF(Landbrug!$D$48&gt;0,SUMIF(Landbrug!$B$33:$B$46,$B37,IF(O36=År2,Landbrug!$D$33:$D$46,Landbrug!$E$33:$E$46)),'[1]Afgrødefordeling - jordtype'!$P8)*(Landbrug!$D$5)*Arealanvendelse!M$36</f>
        <v>712.59359733039355</v>
      </c>
      <c r="P37" s="11">
        <f>IF($B37&lt;&gt;"Permanent græs",(1-VLOOKUP('Landbrugsareal - resultat'!P$5,Landbrug!$B$23:$E$24,MATCH('Landbrugsareal - resultat'!P$4,Landbrug!$B$22:$E$22,0),FALSE))*(VLOOKUP($B37,'[1]Afgrødefordeling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2.4145784466477478</v>
      </c>
      <c r="Q37" s="11">
        <f>IF($B37&lt;&gt;"Permanent græs",(1-VLOOKUP('Landbrugsareal - resultat'!Q$5,Landbrug!$B$23:$E$24,MATCH('Landbrugsareal - resultat'!Q$4,Landbrug!$B$22:$E$22,0),FALSE))*(VLOOKUP($B37,'[1]Afgrødefordeling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2.1913160409102947E-5</v>
      </c>
      <c r="R37" s="11">
        <f>IF(Landbrug!$E$48&gt;0,SUMIF(Landbrug!$B$33:$B$46,$B37,IF(R36=År2,Landbrug!$D$33:$D$46,Landbrug!$E$33:$E$46)),'[1]Afgrødefordeling - jordtype'!$P8)*(Landbrug!$E$5)*Arealanvendelse!P$36</f>
        <v>878.93623219902383</v>
      </c>
      <c r="S37" s="11">
        <f>IF($B37&lt;&gt;"Permanent græs",(1-VLOOKUP(S$5,Landbrug!$B$23:$E$24,MATCH(S$4,Landbrug!$B$22:$E$22,0),FALSE))*(VLOOKUP($B37,'[1]Afgrødefordeling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7.9510468361525957E-5</v>
      </c>
      <c r="T37" s="11">
        <f>IF($B37&lt;&gt;"Permanent græs",(1-VLOOKUP(T$5,Landbrug!$B$23:$E$24,MATCH(T$4,Landbrug!$B$22:$E$22,0),FALSE))*(VLOOKUP($B37,'[1]Afgrødefordeling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2.8405948678466784E-5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IF(Landbrug!$D$48&gt;0,SUMIF(Landbrug!$B$33:$B$46,$B38,IF(F37=År2,Landbrug!$D$33:$D$46,Landbrug!$E$33:$E$46)),'[1]Afgrødefordeling - jordtype'!$P9)*(1-Landbrug!$D$5)*Arealanvendelse!M$36</f>
        <v>11414.693735014638</v>
      </c>
      <c r="G38" s="11">
        <f>IF($B38&lt;&gt;"Permanent græs",(1-VLOOKUP('Landbrugsareal - resultat'!G$5,Landbrug!$B$23:$E$24,MATCH('Landbrugsareal - resultat'!G$4,Landbrug!$B$22:$E$22,0),FALSE))*(VLOOKUP($B38,'[1]Afgrødefordeling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26.302435262527187</v>
      </c>
      <c r="H38" s="11">
        <f>IF($B38&lt;&gt;"Permanent græs",(1-VLOOKUP('Landbrugsareal - resultat'!H$5,Landbrug!$B$23:$E$24,MATCH('Landbrugsareal - resultat'!H$4,Landbrug!$B$22:$E$22,0),FALSE))*(VLOOKUP($B38,'[1]Afgrødefordeling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8.0030056464171814E-4</v>
      </c>
      <c r="I38" s="11">
        <f>IF(Landbrug!$E$48&gt;0,SUMIF(Landbrug!$B$33:$B$46,$B38,IF(I37=År2,Landbrug!$D$33:$D$46,Landbrug!$E$33:$E$46)),'[1]Afgrødefordeling - jordtype'!$P9)*(1-Landbrug!$E$5)*Arealanvendelse!P$36</f>
        <v>10358.891308059925</v>
      </c>
      <c r="J38" s="11">
        <f>IF($B38&lt;&gt;"Permanent græs",(1-VLOOKUP(J$5,Landbrug!$B$23:$E$24,MATCH(J$4,Landbrug!$B$22:$E$22,0),FALSE))*(VLOOKUP($B38,'[1]Afgrødefordeling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6.37253916533074E-4</v>
      </c>
      <c r="K38" s="11">
        <f>IF($B38&lt;&gt;"Permanent græs",(1-VLOOKUP(K$5,Landbrug!$B$23:$E$24,MATCH(K$4,Landbrug!$B$22:$E$22,0),FALSE))*(VLOOKUP($B38,'[1]Afgrødefordeling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7.6329244604556935E-4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IF(Landbrug!$D$48&gt;0,SUMIF(Landbrug!$B$33:$B$46,$B38,IF(O37=År2,Landbrug!$D$33:$D$46,Landbrug!$E$33:$E$46)),'[1]Afgrødefordeling - jordtype'!$P9)*(Landbrug!$D$5)*Arealanvendelse!M$36</f>
        <v>1781.4839933259839</v>
      </c>
      <c r="P38" s="11">
        <f>IF($B38&lt;&gt;"Permanent græs",(1-VLOOKUP('Landbrugsareal - resultat'!P$5,Landbrug!$B$23:$E$24,MATCH('Landbrugsareal - resultat'!P$4,Landbrug!$B$22:$E$22,0),FALSE))*(VLOOKUP($B38,'[1]Afgrødefordeling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4.1050043473308326</v>
      </c>
      <c r="Q38" s="11">
        <f>IF($B38&lt;&gt;"Permanent græs",(1-VLOOKUP('Landbrugsareal - resultat'!Q$5,Landbrug!$B$23:$E$24,MATCH('Landbrugsareal - resultat'!Q$4,Landbrug!$B$22:$E$22,0),FALSE))*(VLOOKUP($B38,'[1]Afgrødefordeling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1.2490240026200229E-4</v>
      </c>
      <c r="R38" s="11">
        <f>IF(Landbrug!$E$48&gt;0,SUMIF(Landbrug!$B$33:$B$46,$B38,IF(R37=År2,Landbrug!$D$33:$D$46,Landbrug!$E$33:$E$46)),'[1]Afgrødefordeling - jordtype'!$P9)*(Landbrug!$E$5)*Arealanvendelse!P$36</f>
        <v>2197.3405804975596</v>
      </c>
      <c r="S38" s="11">
        <f>IF($B38&lt;&gt;"Permanent græs",(1-VLOOKUP(S$5,Landbrug!$B$23:$E$24,MATCH(S$4,Landbrug!$B$22:$E$22,0),FALSE))*(VLOOKUP($B38,'[1]Afgrødefordeling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1.351750732039854E-4</v>
      </c>
      <c r="T38" s="11">
        <f>IF($B38&lt;&gt;"Permanent græs",(1-VLOOKUP(T$5,Landbrug!$B$23:$E$24,MATCH(T$4,Landbrug!$B$22:$E$22,0),FALSE))*(VLOOKUP($B38,'[1]Afgrødefordeling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1.6191051885815108E-4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IF(Landbrug!$D$48&gt;0,SUMIF(Landbrug!$B$33:$B$46,$B39,IF(F38=År2,Landbrug!$D$33:$D$46,Landbrug!$E$33:$E$46)),'[1]Afgrødefordeling - jordtype'!$P10)*(1-Landbrug!$D$5)*Arealanvendelse!M$36</f>
        <v>4565.8774940058547</v>
      </c>
      <c r="G39" s="11">
        <f>IF($B39&lt;&gt;"Permanent græs",(1-VLOOKUP('Landbrugsareal - resultat'!G$5,Landbrug!$B$23:$E$24,MATCH('Landbrugsareal - resultat'!G$4,Landbrug!$B$22:$E$22,0),FALSE))*(VLOOKUP($B39,'[1]Afgrødefordeling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73.48347036613049</v>
      </c>
      <c r="H39" s="11">
        <f>IF($B39&lt;&gt;"Permanent græs",(1-VLOOKUP('Landbrugsareal - resultat'!H$5,Landbrug!$B$23:$E$24,MATCH('Landbrugsareal - resultat'!H$4,Landbrug!$B$22:$E$22,0),FALSE))*(VLOOKUP($B39,'[1]Afgrødefordeling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9.2161460426674424E-4</v>
      </c>
      <c r="I39" s="11">
        <f>IF(Landbrug!$E$48&gt;0,SUMIF(Landbrug!$B$33:$B$46,$B39,IF(I38=År2,Landbrug!$D$33:$D$46,Landbrug!$E$33:$E$46)),'[1]Afgrødefordeling - jordtype'!$P10)*(1-Landbrug!$E$5)*Arealanvendelse!P$36</f>
        <v>4143.5565232239696</v>
      </c>
      <c r="J39" s="11">
        <f>IF($B39&lt;&gt;"Permanent græs",(1-VLOOKUP(J$5,Landbrug!$B$23:$E$24,MATCH(J$4,Landbrug!$B$22:$E$22,0),FALSE))*(VLOOKUP($B39,'[1]Afgrødefordeling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1.7803533712322671E-3</v>
      </c>
      <c r="K39" s="11">
        <f>IF($B39&lt;&gt;"Permanent græs",(1-VLOOKUP(K$5,Landbrug!$B$23:$E$24,MATCH(K$4,Landbrug!$B$22:$E$22,0),FALSE))*(VLOOKUP($B39,'[1]Afgrødefordeling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8.7899658788446707E-4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IF(Landbrug!$D$48&gt;0,SUMIF(Landbrug!$B$33:$B$46,$B39,IF(O38=År2,Landbrug!$D$33:$D$46,Landbrug!$E$33:$E$46)),'[1]Afgrødefordeling - jordtype'!$P10)*(Landbrug!$D$5)*Arealanvendelse!M$36</f>
        <v>712.59359733039355</v>
      </c>
      <c r="P39" s="11">
        <f>IF($B39&lt;&gt;"Permanent græs",(1-VLOOKUP('Landbrugsareal - resultat'!P$5,Landbrug!$B$23:$E$24,MATCH('Landbrugsareal - resultat'!P$4,Landbrug!$B$22:$E$22,0),FALSE))*(VLOOKUP($B39,'[1]Afgrødefordeling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11.468518496448112</v>
      </c>
      <c r="Q39" s="11">
        <f>IF($B39&lt;&gt;"Permanent græs",(1-VLOOKUP('Landbrugsareal - resultat'!Q$5,Landbrug!$B$23:$E$24,MATCH('Landbrugsareal - resultat'!Q$4,Landbrug!$B$22:$E$22,0),FALSE))*(VLOOKUP($B39,'[1]Afgrødefordeling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1.4383580529018554E-4</v>
      </c>
      <c r="R39" s="11">
        <f>IF(Landbrug!$E$48&gt;0,SUMIF(Landbrug!$B$33:$B$46,$B39,IF(R38=År2,Landbrug!$D$33:$D$46,Landbrug!$E$33:$E$46)),'[1]Afgrødefordeling - jordtype'!$P10)*(Landbrug!$E$5)*Arealanvendelse!P$36</f>
        <v>878.93623219902383</v>
      </c>
      <c r="S39" s="11">
        <f>IF($B39&lt;&gt;"Permanent græs",(1-VLOOKUP(S$5,Landbrug!$B$23:$E$24,MATCH(S$4,Landbrug!$B$22:$E$22,0),FALSE))*(VLOOKUP($B39,'[1]Afgrødefordeling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3.7765071510987484E-4</v>
      </c>
      <c r="T39" s="11">
        <f>IF($B39&lt;&gt;"Permanent græs",(1-VLOOKUP(T$5,Landbrug!$B$23:$E$24,MATCH(T$4,Landbrug!$B$22:$E$22,0),FALSE))*(VLOOKUP($B39,'[1]Afgrødefordeling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1.8645382167246271E-4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IF(Landbrug!$D$48&gt;0,SUMIF(Landbrug!$B$33:$B$46,$B40,IF(F39=År2,Landbrug!$D$33:$D$46,Landbrug!$E$33:$E$46)),'[1]Afgrødefordeling - jordtype'!$P11)*(1-Landbrug!$D$5)*Arealanvendelse!M$36</f>
        <v>22829.387470029276</v>
      </c>
      <c r="G40" s="11">
        <f>IF($B40&lt;&gt;"Permanent græs",(1-VLOOKUP('Landbrugsareal - resultat'!G$5,Landbrug!$B$23:$E$24,MATCH('Landbrugsareal - resultat'!G$4,Landbrug!$B$22:$E$22,0),FALSE))*(VLOOKUP($B40,'[1]Afgrødefordeling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78.344719162303662</v>
      </c>
      <c r="H40" s="11">
        <f>IF($B40&lt;&gt;"Permanent græs",(1-VLOOKUP('Landbrugsareal - resultat'!H$5,Landbrug!$B$23:$E$24,MATCH('Landbrugsareal - resultat'!H$4,Landbrug!$B$22:$E$22,0),FALSE))*(VLOOKUP($B40,'[1]Afgrødefordeling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9.466157148310761E-4</v>
      </c>
      <c r="I40" s="11">
        <f>IF(Landbrug!$E$48&gt;0,SUMIF(Landbrug!$B$33:$B$46,$B40,IF(I39=År2,Landbrug!$D$33:$D$46,Landbrug!$E$33:$E$46)),'[1]Afgrødefordeling - jordtype'!$P11)*(1-Landbrug!$E$5)*Arealanvendelse!P$36</f>
        <v>20717.78261611985</v>
      </c>
      <c r="J40" s="11">
        <f>IF($B40&lt;&gt;"Permanent græs",(1-VLOOKUP(J$5,Landbrug!$B$23:$E$24,MATCH(J$4,Landbrug!$B$22:$E$22,0),FALSE))*(VLOOKUP($B40,'[1]Afgrødefordeling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1.8981314326050301E-3</v>
      </c>
      <c r="K40" s="11">
        <f>IF($B40&lt;&gt;"Permanent græs",(1-VLOOKUP(K$5,Landbrug!$B$23:$E$24,MATCH(K$4,Landbrug!$B$22:$E$22,0),FALSE))*(VLOOKUP($B40,'[1]Afgrødefordeling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9.0284157772906114E-4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IF(Landbrug!$D$48&gt;0,SUMIF(Landbrug!$B$33:$B$46,$B40,IF(O39=År2,Landbrug!$D$33:$D$46,Landbrug!$E$33:$E$46)),'[1]Afgrødefordeling - jordtype'!$P11)*(Landbrug!$D$5)*Arealanvendelse!M$36</f>
        <v>3562.9679866519677</v>
      </c>
      <c r="P40" s="11">
        <f>IF($B40&lt;&gt;"Permanent græs",(1-VLOOKUP('Landbrugsareal - resultat'!P$5,Landbrug!$B$23:$E$24,MATCH('Landbrugsareal - resultat'!P$4,Landbrug!$B$22:$E$22,0),FALSE))*(VLOOKUP($B40,'[1]Afgrødefordeling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12.227210505099418</v>
      </c>
      <c r="Q40" s="11">
        <f>IF($B40&lt;&gt;"Permanent græs",(1-VLOOKUP('Landbrugsareal - resultat'!Q$5,Landbrug!$B$23:$E$24,MATCH('Landbrugsareal - resultat'!Q$4,Landbrug!$B$22:$E$22,0),FALSE))*(VLOOKUP($B40,'[1]Afgrødefordeling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1.4773771271930092E-4</v>
      </c>
      <c r="R40" s="11">
        <f>IF(Landbrug!$E$48&gt;0,SUMIF(Landbrug!$B$33:$B$46,$B40,IF(R39=År2,Landbrug!$D$33:$D$46,Landbrug!$E$33:$E$46)),'[1]Afgrødefordeling - jordtype'!$P11)*(Landbrug!$E$5)*Arealanvendelse!P$36</f>
        <v>4394.6811609951192</v>
      </c>
      <c r="S40" s="11">
        <f>IF($B40&lt;&gt;"Permanent græs",(1-VLOOKUP(S$5,Landbrug!$B$23:$E$24,MATCH(S$4,Landbrug!$B$22:$E$22,0),FALSE))*(VLOOKUP($B40,'[1]Afgrødefordeling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4.0263394024955173E-4</v>
      </c>
      <c r="T40" s="11">
        <f>IF($B40&lt;&gt;"Permanent græs",(1-VLOOKUP(T$5,Landbrug!$B$23:$E$24,MATCH(T$4,Landbrug!$B$22:$E$22,0),FALSE))*(VLOOKUP($B40,'[1]Afgrødefordeling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1.9151184982131597E-4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IF(Landbrug!$D$48&gt;0,SUMIF(Landbrug!$B$33:$B$46,$B41,IF(F40=År2,Landbrug!$D$33:$D$46,Landbrug!$E$33:$E$46)),'[1]Afgrødefordeling - jordtype'!$P12)*(1-Landbrug!$D$5)*Arealanvendelse!M$36</f>
        <v>2282.9387470029274</v>
      </c>
      <c r="G41" s="11">
        <f>IF($B41&lt;&gt;"Permanent græs",(1-VLOOKUP('Landbrugsareal - resultat'!G$5,Landbrug!$B$23:$E$24,MATCH('Landbrugsareal - resultat'!G$4,Landbrug!$B$22:$E$22,0),FALSE))*(VLOOKUP($B41,'[1]Afgrødefordeling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16.900566419398675</v>
      </c>
      <c r="H41" s="11">
        <f>IF($B41&lt;&gt;"Permanent græs",(1-VLOOKUP('Landbrugsareal - resultat'!H$5,Landbrug!$B$23:$E$24,MATCH('Landbrugsareal - resultat'!H$4,Landbrug!$B$22:$E$22,0),FALSE))*(VLOOKUP($B41,'[1]Afgrødefordeling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3.4350362462884858E-4</v>
      </c>
      <c r="I41" s="11">
        <f>IF(Landbrug!$E$48&gt;0,SUMIF(Landbrug!$B$33:$B$46,$B41,IF(I40=År2,Landbrug!$D$33:$D$46,Landbrug!$E$33:$E$46)),'[1]Afgrødefordeling - jordtype'!$P12)*(1-Landbrug!$E$5)*Arealanvendelse!P$36</f>
        <v>2071.7782616119848</v>
      </c>
      <c r="J41" s="11">
        <f>IF($B41&lt;&gt;"Permanent græs",(1-VLOOKUP(J$5,Landbrug!$B$23:$E$24,MATCH(J$4,Landbrug!$B$22:$E$22,0),FALSE))*(VLOOKUP($B41,'[1]Afgrødefordeling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4.094659690212412E-4</v>
      </c>
      <c r="K41" s="11">
        <f>IF($B41&lt;&gt;"Permanent græs",(1-VLOOKUP(K$5,Landbrug!$B$23:$E$24,MATCH(K$4,Landbrug!$B$22:$E$22,0),FALSE))*(VLOOKUP($B41,'[1]Afgrødefordeling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3.2761906395237006E-4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IF(Landbrug!$D$48&gt;0,SUMIF(Landbrug!$B$33:$B$46,$B41,IF(O40=År2,Landbrug!$D$33:$D$46,Landbrug!$E$33:$E$46)),'[1]Afgrødefordeling - jordtype'!$P12)*(Landbrug!$D$5)*Arealanvendelse!M$36</f>
        <v>356.29679866519677</v>
      </c>
      <c r="P41" s="11">
        <f>IF($B41&lt;&gt;"Permanent græs",(1-VLOOKUP('Landbrugsareal - resultat'!P$5,Landbrug!$B$23:$E$24,MATCH('Landbrugsareal - resultat'!P$4,Landbrug!$B$22:$E$22,0),FALSE))*(VLOOKUP($B41,'[1]Afgrødefordeling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2.6376606550506607</v>
      </c>
      <c r="Q41" s="11">
        <f>IF($B41&lt;&gt;"Permanent græs",(1-VLOOKUP('Landbrugsareal - resultat'!Q$5,Landbrug!$B$23:$E$24,MATCH('Landbrugsareal - resultat'!Q$4,Landbrug!$B$22:$E$22,0),FALSE))*(VLOOKUP($B41,'[1]Afgrødefordeling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5.36103922831151E-5</v>
      </c>
      <c r="R41" s="11">
        <f>IF(Landbrug!$E$48&gt;0,SUMIF(Landbrug!$B$33:$B$46,$B41,IF(R40=År2,Landbrug!$D$33:$D$46,Landbrug!$E$33:$E$46)),'[1]Afgrødefordeling - jordtype'!$P12)*(Landbrug!$E$5)*Arealanvendelse!P$36</f>
        <v>439.46811609951192</v>
      </c>
      <c r="S41" s="11">
        <f>IF($B41&lt;&gt;"Permanent græs",(1-VLOOKUP(S$5,Landbrug!$B$23:$E$24,MATCH(S$4,Landbrug!$B$22:$E$22,0),FALSE))*(VLOOKUP($B41,'[1]Afgrødefordeling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8.6856417671172357E-5</v>
      </c>
      <c r="T41" s="11">
        <f>IF($B41&lt;&gt;"Permanent græs",(1-VLOOKUP(T$5,Landbrug!$B$23:$E$24,MATCH(T$4,Landbrug!$B$22:$E$22,0),FALSE))*(VLOOKUP($B41,'[1]Afgrødefordeling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6.9494952959593638E-5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IF(Landbrug!$D$48&gt;0,SUMIF(Landbrug!$B$33:$B$46,$B42,IF(F41=År2,Landbrug!$D$33:$D$46,Landbrug!$E$33:$E$46)),'[1]Afgrødefordeling - jordtype'!$P13)*(1-Landbrug!$D$5)*Arealanvendelse!M$36</f>
        <v>11414.693735014638</v>
      </c>
      <c r="G42" s="11">
        <f>IF($B42&lt;&gt;"Permanent græs",(1-VLOOKUP('Landbrugsareal - resultat'!G$5,Landbrug!$B$23:$E$24,MATCH('Landbrugsareal - resultat'!G$4,Landbrug!$B$22:$E$22,0),FALSE))*(VLOOKUP($B42,'[1]Afgrødefordeling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120.67824120695344</v>
      </c>
      <c r="H42" s="11">
        <f>IF($B42&lt;&gt;"Permanent græs",(1-VLOOKUP('Landbrugsareal - resultat'!H$5,Landbrug!$B$23:$E$24,MATCH('Landbrugsareal - resultat'!H$4,Landbrug!$B$22:$E$22,0),FALSE))*(VLOOKUP($B42,'[1]Afgrødefordeling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2.452782483126852E-3</v>
      </c>
      <c r="I42" s="11">
        <f>IF(Landbrug!$E$48&gt;0,SUMIF(Landbrug!$B$33:$B$46,$B42,IF(I41=År2,Landbrug!$D$33:$D$46,Landbrug!$E$33:$E$46)),'[1]Afgrødefordeling - jordtype'!$P13)*(1-Landbrug!$E$5)*Arealanvendelse!P$36</f>
        <v>10358.891308059925</v>
      </c>
      <c r="J42" s="11">
        <f>IF($B42&lt;&gt;"Permanent græs",(1-VLOOKUP(J$5,Landbrug!$B$23:$E$24,MATCH(J$4,Landbrug!$B$22:$E$22,0),FALSE))*(VLOOKUP($B42,'[1]Afgrødefordeling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2.9237856145973122E-3</v>
      </c>
      <c r="K42" s="11">
        <f>IF($B42&lt;&gt;"Permanent græs",(1-VLOOKUP(K$5,Landbrug!$B$23:$E$24,MATCH(K$4,Landbrug!$B$22:$E$22,0),FALSE))*(VLOOKUP($B42,'[1]Afgrødefordeling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2.3393590156990207E-3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IF(Landbrug!$D$48&gt;0,SUMIF(Landbrug!$B$33:$B$46,$B42,IF(O41=År2,Landbrug!$D$33:$D$46,Landbrug!$E$33:$E$46)),'[1]Afgrødefordeling - jordtype'!$P13)*(Landbrug!$D$5)*Arealanvendelse!M$36</f>
        <v>1781.4839933259839</v>
      </c>
      <c r="P42" s="11">
        <f>IF($B42&lt;&gt;"Permanent græs",(1-VLOOKUP('Landbrugsareal - resultat'!P$5,Landbrug!$B$23:$E$24,MATCH('Landbrugsareal - resultat'!P$4,Landbrug!$B$22:$E$22,0),FALSE))*(VLOOKUP($B42,'[1]Afgrødefordeling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18.834176373339556</v>
      </c>
      <c r="Q42" s="11">
        <f>IF($B42&lt;&gt;"Permanent græs",(1-VLOOKUP('Landbrugsareal - resultat'!Q$5,Landbrug!$B$23:$E$24,MATCH('Landbrugsareal - resultat'!Q$4,Landbrug!$B$22:$E$22,0),FALSE))*(VLOOKUP($B42,'[1]Afgrødefordeling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3.8280420256893069E-4</v>
      </c>
      <c r="R42" s="11">
        <f>IF(Landbrug!$E$48&gt;0,SUMIF(Landbrug!$B$33:$B$46,$B42,IF(R41=År2,Landbrug!$D$33:$D$46,Landbrug!$E$33:$E$46)),'[1]Afgrødefordeling - jordtype'!$P13)*(Landbrug!$E$5)*Arealanvendelse!P$36</f>
        <v>2197.3405804975596</v>
      </c>
      <c r="S42" s="11">
        <f>IF($B42&lt;&gt;"Permanent græs",(1-VLOOKUP(S$5,Landbrug!$B$23:$E$24,MATCH(S$4,Landbrug!$B$22:$E$22,0),FALSE))*(VLOOKUP($B42,'[1]Afgrødefordeling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6.2019694855094509E-4</v>
      </c>
      <c r="T42" s="11">
        <f>IF($B42&lt;&gt;"Permanent græs",(1-VLOOKUP(T$5,Landbrug!$B$23:$E$24,MATCH(T$4,Landbrug!$B$22:$E$22,0),FALSE))*(VLOOKUP($B42,'[1]Afgrødefordeling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4.9622766999676197E-4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IF(Landbrug!$D$48&gt;0,SUMIF(Landbrug!$B$33:$B$46,$B43,IF(F42=År2,Landbrug!$D$33:$D$46,Landbrug!$E$33:$E$46)),'[1]Afgrødefordeling - jordtype'!$P14)*(1-Landbrug!$D$5)*Arealanvendelse!M$36</f>
        <v>18444.002451504257</v>
      </c>
      <c r="G43" s="11">
        <f>IF($B43&lt;&gt;"Permanent græs",(1-VLOOKUP('Landbrugsareal - resultat'!G$5,Landbrug!$B$23:$E$24,MATCH('Landbrugsareal - resultat'!G$4,Landbrug!$B$22:$E$22,0),FALSE))*(VLOOKUP($B43,'[1]Afgrødefordeling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876.11830838913772</v>
      </c>
      <c r="H43" s="11">
        <f>IF($B43&lt;&gt;"Permanent græs",(1-VLOOKUP('Landbrugsareal - resultat'!H$5,Landbrug!$B$23:$E$24,MATCH('Landbrugsareal - resultat'!H$4,Landbrug!$B$22:$E$22,0),FALSE))*(VLOOKUP($B43,'[1]Afgrødefordeling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2.2953573895167008E-2</v>
      </c>
      <c r="I43" s="11">
        <f>IF(Landbrug!$E$48&gt;0,SUMIF(Landbrug!$B$33:$B$46,$B43,IF(I42=År2,Landbrug!$D$33:$D$46,Landbrug!$E$33:$E$46)),'[1]Afgrødefordeling - jordtype'!$P14)*(1-Landbrug!$E$5)*Arealanvendelse!P$36</f>
        <v>16738.023911640095</v>
      </c>
      <c r="J43" s="11">
        <f>IF($B43&lt;&gt;"Permanent græs",(1-VLOOKUP(J$5,Landbrug!$B$23:$E$24,MATCH(J$4,Landbrug!$B$22:$E$22,0),FALSE))*(VLOOKUP($B43,'[1]Afgrødefordeling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2.1226544910947009E-2</v>
      </c>
      <c r="K43" s="11">
        <f>IF($B43&lt;&gt;"Permanent græs",(1-VLOOKUP(K$5,Landbrug!$B$23:$E$24,MATCH(K$4,Landbrug!$B$22:$E$22,0),FALSE))*(VLOOKUP($B43,'[1]Afgrødefordeling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2.1892136952037899E-2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IF(Landbrug!$D$48&gt;0,SUMIF(Landbrug!$B$33:$B$46,$B43,IF(O42=År2,Landbrug!$D$33:$D$46,Landbrug!$E$33:$E$46)),'[1]Afgrødefordeling - jordtype'!$P14)*(Landbrug!$D$5)*Arealanvendelse!M$36</f>
        <v>2878.5437352058666</v>
      </c>
      <c r="P43" s="11">
        <f>IF($B43&lt;&gt;"Permanent græs",(1-VLOOKUP('Landbrugsareal - resultat'!P$5,Landbrug!$B$23:$E$24,MATCH('Landbrugsareal - resultat'!P$4,Landbrug!$B$22:$E$22,0),FALSE))*(VLOOKUP($B43,'[1]Afgrødefordeling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136.73522732084808</v>
      </c>
      <c r="Q43" s="11">
        <f>IF($B43&lt;&gt;"Permanent græs",(1-VLOOKUP('Landbrugsareal - resultat'!Q$5,Landbrug!$B$23:$E$24,MATCH('Landbrugsareal - resultat'!Q$4,Landbrug!$B$22:$E$22,0),FALSE))*(VLOOKUP($B43,'[1]Afgrødefordeling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3.5823496830607472E-3</v>
      </c>
      <c r="R43" s="11">
        <f>IF(Landbrug!$E$48&gt;0,SUMIF(Landbrug!$B$33:$B$46,$B43,IF(R42=År2,Landbrug!$D$33:$D$46,Landbrug!$E$33:$E$46)),'[1]Afgrødefordeling - jordtype'!$P14)*(Landbrug!$E$5)*Arealanvendelse!P$36</f>
        <v>3550.4899206509294</v>
      </c>
      <c r="S43" s="11">
        <f>IF($B43&lt;&gt;"Permanent græs",(1-VLOOKUP(S$5,Landbrug!$B$23:$E$24,MATCH(S$4,Landbrug!$B$22:$E$22,0),FALSE))*(VLOOKUP($B43,'[1]Afgrødefordeling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4.5026004356554256E-3</v>
      </c>
      <c r="T43" s="11">
        <f>IF($B43&lt;&gt;"Permanent græs",(1-VLOOKUP(T$5,Landbrug!$B$23:$E$24,MATCH(T$4,Landbrug!$B$22:$E$22,0),FALSE))*(VLOOKUP($B43,'[1]Afgrødefordeling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4.6437866261898574E-3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IF(Landbrug!$D$48&gt;0,SUMIF(Landbrug!$B$33:$B$46,$B44,IF(F43=År2,Landbrug!$D$33:$D$46,Landbrug!$E$33:$E$46)),'[1]Afgrødefordeling - jordtype'!$P15)*(1-Landbrug!$D$5)*Arealanvendelse!M$36</f>
        <v>4565.8774940058547</v>
      </c>
      <c r="G44" s="11">
        <f>IF($B44&lt;&gt;"Permanent græs",(1-VLOOKUP('Landbrugsareal - resultat'!G$5,Landbrug!$B$23:$E$24,MATCH('Landbrugsareal - resultat'!G$4,Landbrug!$B$22:$E$22,0),FALSE))*(VLOOKUP($B44,'[1]Afgrødefordeling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26.483091404220694</v>
      </c>
      <c r="H44" s="11">
        <f>IF($B44&lt;&gt;"Permanent græs",(1-VLOOKUP('Landbrugsareal - resultat'!H$5,Landbrug!$B$23:$E$24,MATCH('Landbrugsareal - resultat'!H$4,Landbrug!$B$22:$E$22,0),FALSE))*(VLOOKUP($B44,'[1]Afgrødefordeling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5.3826822503920445E-4</v>
      </c>
      <c r="I44" s="11">
        <f>IF(Landbrug!$E$48&gt;0,SUMIF(Landbrug!$B$33:$B$46,$B44,IF(I43=År2,Landbrug!$D$33:$D$46,Landbrug!$E$33:$E$46)),'[1]Afgrødefordeling - jordtype'!$P15)*(1-Landbrug!$E$5)*Arealanvendelse!P$36</f>
        <v>4143.5565232239696</v>
      </c>
      <c r="J44" s="11">
        <f>IF($B44&lt;&gt;"Permanent græs",(1-VLOOKUP(J$5,Landbrug!$B$23:$E$24,MATCH(J$4,Landbrug!$B$22:$E$22,0),FALSE))*(VLOOKUP($B44,'[1]Afgrødefordeling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6.4163084333437122E-4</v>
      </c>
      <c r="K44" s="11">
        <f>IF($B44&lt;&gt;"Permanent græs",(1-VLOOKUP(K$5,Landbrug!$B$23:$E$24,MATCH(K$4,Landbrug!$B$22:$E$22,0),FALSE))*(VLOOKUP($B44,'[1]Afgrødefordeling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5.1337720885242047E-4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IF(Landbrug!$D$48&gt;0,SUMIF(Landbrug!$B$33:$B$46,$B44,IF(O43=År2,Landbrug!$D$33:$D$46,Landbrug!$E$33:$E$46)),'[1]Afgrødefordeling - jordtype'!$P15)*(Landbrug!$D$5)*Arealanvendelse!M$36</f>
        <v>712.59359733039355</v>
      </c>
      <c r="P44" s="11">
        <f>IF($B44&lt;&gt;"Permanent græs",(1-VLOOKUP('Landbrugsareal - resultat'!P$5,Landbrug!$B$23:$E$24,MATCH('Landbrugsareal - resultat'!P$4,Landbrug!$B$22:$E$22,0),FALSE))*(VLOOKUP($B44,'[1]Afgrødefordeling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4.1331992364968713</v>
      </c>
      <c r="Q44" s="11">
        <f>IF($B44&lt;&gt;"Permanent græs",(1-VLOOKUP('Landbrugsareal - resultat'!Q$5,Landbrug!$B$23:$E$24,MATCH('Landbrugsareal - resultat'!Q$4,Landbrug!$B$22:$E$22,0),FALSE))*(VLOOKUP($B44,'[1]Afgrødefordeling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8.4007179630396072E-5</v>
      </c>
      <c r="R44" s="11">
        <f>IF(Landbrug!$E$48&gt;0,SUMIF(Landbrug!$B$33:$B$46,$B44,IF(R43=År2,Landbrug!$D$33:$D$46,Landbrug!$E$33:$E$46)),'[1]Afgrødefordeling - jordtype'!$P15)*(Landbrug!$E$5)*Arealanvendelse!P$36</f>
        <v>878.93623219902383</v>
      </c>
      <c r="S44" s="11">
        <f>IF($B44&lt;&gt;"Permanent græs",(1-VLOOKUP(S$5,Landbrug!$B$23:$E$24,MATCH(S$4,Landbrug!$B$22:$E$22,0),FALSE))*(VLOOKUP($B44,'[1]Afgrødefordeling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1.3610351222244238E-4</v>
      </c>
      <c r="T44" s="11">
        <f>IF($B44&lt;&gt;"Permanent græs",(1-VLOOKUP(T$5,Landbrug!$B$23:$E$24,MATCH(T$4,Landbrug!$B$22:$E$22,0),FALSE))*(VLOOKUP($B44,'[1]Afgrødefordeling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1.0889819581718008E-4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IF(Landbrug!$D$48&gt;0,SUMIF(Landbrug!$B$33:$B$46,$B45,IF(F44=År2,Landbrug!$D$33:$D$46,Landbrug!$E$33:$E$46)),'[1]Afgrødefordeling - jordtype'!$P16)*(1-Landbrug!$D$5)*Arealanvendelse!M$36</f>
        <v>2282.9387470029274</v>
      </c>
      <c r="G45" s="11">
        <f>IF($B45&lt;&gt;"Permanent græs",(1-VLOOKUP('Landbrugsareal - resultat'!G$5,Landbrug!$B$23:$E$24,MATCH('Landbrugsareal - resultat'!G$4,Landbrug!$B$22:$E$22,0),FALSE))*(VLOOKUP($B45,'[1]Afgrødefordeling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56.207011126951372</v>
      </c>
      <c r="H45" s="11">
        <f>IF($B45&lt;&gt;"Permanent græs",(1-VLOOKUP('Landbrugsareal - resultat'!H$5,Landbrug!$B$23:$E$24,MATCH('Landbrugsareal - resultat'!H$4,Landbrug!$B$22:$E$22,0),FALSE))*(VLOOKUP($B45,'[1]Afgrødefordeling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1.6419437573988649E-3</v>
      </c>
      <c r="I45" s="11">
        <f>IF(Landbrug!$E$48&gt;0,SUMIF(Landbrug!$B$33:$B$46,$B45,IF(I44=År2,Landbrug!$D$33:$D$46,Landbrug!$E$33:$E$46)),'[1]Afgrødefordeling - jordtype'!$P16)*(1-Landbrug!$E$5)*Arealanvendelse!P$36</f>
        <v>2071.7782616119848</v>
      </c>
      <c r="J45" s="11">
        <f>IF($B45&lt;&gt;"Permanent græs",(1-VLOOKUP(J$5,Landbrug!$B$23:$E$24,MATCH(J$4,Landbrug!$B$22:$E$22,0),FALSE))*(VLOOKUP($B45,'[1]Afgrødefordeling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1.3617802921958929E-3</v>
      </c>
      <c r="K45" s="11">
        <f>IF($B45&lt;&gt;"Permanent græs",(1-VLOOKUP(K$5,Landbrug!$B$23:$E$24,MATCH(K$4,Landbrug!$B$22:$E$22,0),FALSE))*(VLOOKUP($B45,'[1]Afgrødefordeling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1.56601572237464E-3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IF(Landbrug!$D$48&gt;0,SUMIF(Landbrug!$B$33:$B$46,$B45,IF(O44=År2,Landbrug!$D$33:$D$46,Landbrug!$E$33:$E$46)),'[1]Afgrødefordeling - jordtype'!$P16)*(Landbrug!$D$5)*Arealanvendelse!M$36</f>
        <v>356.29679866519677</v>
      </c>
      <c r="P45" s="11">
        <f>IF($B45&lt;&gt;"Permanent græs",(1-VLOOKUP('Landbrugsareal - resultat'!P$5,Landbrug!$B$23:$E$24,MATCH('Landbrugsareal - resultat'!P$4,Landbrug!$B$22:$E$22,0),FALSE))*(VLOOKUP($B45,'[1]Afgrødefordeling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8.7721924880213127</v>
      </c>
      <c r="Q45" s="11">
        <f>IF($B45&lt;&gt;"Permanent græs",(1-VLOOKUP('Landbrugsareal - resultat'!Q$5,Landbrug!$B$23:$E$24,MATCH('Landbrugsareal - resultat'!Q$4,Landbrug!$B$22:$E$22,0),FALSE))*(VLOOKUP($B45,'[1]Afgrødefordeling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2.5625711820675929E-4</v>
      </c>
      <c r="R45" s="11">
        <f>IF(Landbrug!$E$48&gt;0,SUMIF(Landbrug!$B$33:$B$46,$B45,IF(R44=År2,Landbrug!$D$33:$D$46,Landbrug!$E$33:$E$46)),'[1]Afgrødefordeling - jordtype'!$P16)*(Landbrug!$E$5)*Arealanvendelse!P$36</f>
        <v>439.46811609951192</v>
      </c>
      <c r="S45" s="11">
        <f>IF($B45&lt;&gt;"Permanent græs",(1-VLOOKUP(S$5,Landbrug!$B$23:$E$24,MATCH(S$4,Landbrug!$B$22:$E$22,0),FALSE))*(VLOOKUP($B45,'[1]Afgrødefordeling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2.8886248622337122E-4</v>
      </c>
      <c r="T45" s="11">
        <f>IF($B45&lt;&gt;"Permanent græs",(1-VLOOKUP(T$5,Landbrug!$B$23:$E$24,MATCH(T$4,Landbrug!$B$22:$E$22,0),FALSE))*(VLOOKUP($B45,'[1]Afgrødefordeling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3.3218515323098425E-4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IF(Landbrug!$D$48&gt;0,SUMIF(Landbrug!$B$33:$B$46,$B46,IF(F45=År2,Landbrug!$D$33:$D$46,Landbrug!$E$33:$E$46)),'[1]Afgrødefordeling - jordtype'!$P17)*(1-Landbrug!$D$5)*Arealanvendelse!M$36</f>
        <v>59356.407422076118</v>
      </c>
      <c r="G46" s="11">
        <f>IF($B46&lt;&gt;"Permanent græs",(1-VLOOKUP('Landbrugsareal - resultat'!G$5,Landbrug!$B$23:$E$24,MATCH('Landbrugsareal - resultat'!G$4,Landbrug!$B$22:$E$22,0),FALSE))*(VLOOKUP($B46,'[1]Afgrødefordeling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resultat'!G$5,Landbrug!$B$23:$E$24,MATCH('Landbrugsareal - resultat'!G$4,Landbrug!$B$22:$E$22,0),FALSE))*(1-Landbrug!$D$5)*Arealanvendelse!N$36</f>
        <v>1628.961148843877</v>
      </c>
      <c r="H46" s="11">
        <f>IF($B46&lt;&gt;"Permanent græs",(1-VLOOKUP('Landbrugsareal - resultat'!H$5,Landbrug!$B$23:$E$24,MATCH('Landbrugsareal - resultat'!H$4,Landbrug!$B$22:$E$22,0),FALSE))*(VLOOKUP($B46,'[1]Afgrødefordeling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resultat'!H$5,Landbrug!$B$23:$E$24,MATCH('Landbrugsareal - resultat'!H$4,Landbrug!$B$22:$E$22,0),FALSE))*(1-Landbrug!$D$5)*Arealanvendelse!O$36</f>
        <v>5.7100799688875818E-2</v>
      </c>
      <c r="I46" s="11">
        <f>IF(Landbrug!$E$48&gt;0,SUMIF(Landbrug!$B$33:$B$46,$B46,IF(I45=År2,Landbrug!$D$33:$D$46,Landbrug!$E$33:$E$46)),'[1]Afgrødefordeling - jordtype'!$P17)*(1-Landbrug!$E$5)*Arealanvendelse!P$36</f>
        <v>53866.234801911611</v>
      </c>
      <c r="J46" s="11">
        <f>IF($B46&lt;&gt;"Permanent græs",(1-VLOOKUP(J$5,Landbrug!$B$23:$E$24,MATCH(J$4,Landbrug!$B$22:$E$22,0),FALSE))*(VLOOKUP($B46,'[1]Afgrødefordeling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jordtype'!$O$3:$R$3,0),FALSE)),VLOOKUP(J$5,Landbrug!$B$23:$E$24,MATCH(J$4,Landbrug!$B$22:$E$22,0),FALSE))*(1-Landbrug!$E$5)*Arealanvendelse!Q$36</f>
        <v>3.9466378744780817E-2</v>
      </c>
      <c r="K46" s="11">
        <f>IF($B46&lt;&gt;"Permanent græs",(1-VLOOKUP(K$5,Landbrug!$B$23:$E$24,MATCH(K$4,Landbrug!$B$22:$E$22,0),FALSE))*(VLOOKUP($B46,'[1]Afgrødefordeling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jordtype'!$O$3:$R$3,0),FALSE)),VLOOKUP(K$5,Landbrug!$B$23:$E$24,MATCH(K$4,Landbrug!$B$22:$E$22,0),FALSE))*(1-Landbrug!$E$5)*Arealanvendelse!R$36</f>
        <v>5.4460300281297752E-2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IF(Landbrug!$D$48&gt;0,SUMIF(Landbrug!$B$33:$B$46,$B46,IF(O45=År2,Landbrug!$D$33:$D$46,Landbrug!$E$33:$E$46)),'[1]Afgrødefordeling - jordtype'!$P17)*(Landbrug!$D$5)*Arealanvendelse!M$36</f>
        <v>9263.7167652951175</v>
      </c>
      <c r="P46" s="11">
        <f>IF($B46&lt;&gt;"Permanent græs",(1-VLOOKUP('Landbrugsareal - resultat'!P$5,Landbrug!$B$23:$E$24,MATCH('Landbrugsareal - resultat'!P$4,Landbrug!$B$22:$E$22,0),FALSE))*(VLOOKUP($B46,'[1]Afgrødefordeling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resultat'!P$5,Landbrug!$B$23:$E$24,MATCH('Landbrugsareal - resultat'!P$4,Landbrug!$B$22:$E$22,0),FALSE))*(Landbrug!$D$5)*Arealanvendelse!N$36</f>
        <v>254.23093074442014</v>
      </c>
      <c r="Q46" s="11">
        <f>IF($B46&lt;&gt;"Permanent græs",(1-VLOOKUP('Landbrugsareal - resultat'!Q$5,Landbrug!$B$23:$E$24,MATCH('Landbrugsareal - resultat'!Q$4,Landbrug!$B$22:$E$22,0),FALSE))*(VLOOKUP($B46,'[1]Afgrødefordeling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resultat'!Q$5,Landbrug!$B$23:$E$24,MATCH('Landbrugsareal - resultat'!Q$4,Landbrug!$B$22:$E$22,0),FALSE))*(Landbrug!$D$5)*Arealanvendelse!O$36</f>
        <v>8.9116855005759964E-3</v>
      </c>
      <c r="R46" s="11">
        <f>IF(Landbrug!$E$48&gt;0,SUMIF(Landbrug!$B$33:$B$46,$B46,IF(R45=År2,Landbrug!$D$33:$D$46,Landbrug!$E$33:$E$46)),'[1]Afgrødefordeling - jordtype'!$P17)*(Landbrug!$E$5)*Arealanvendelse!P$36</f>
        <v>11426.171018587311</v>
      </c>
      <c r="S46" s="11">
        <f>IF($B46&lt;&gt;"Permanent græs",(1-VLOOKUP(S$5,Landbrug!$B$23:$E$24,MATCH(S$4,Landbrug!$B$22:$E$22,0),FALSE))*(VLOOKUP($B46,'[1]Afgrødefordeling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jordtype'!$O$3:$R$3,0),FALSE)),VLOOKUP(S$5,Landbrug!$B$23:$E$24,MATCH(S$4,Landbrug!$B$22:$E$22,0),FALSE))*(Landbrug!$E$5)*Arealanvendelse!Q$36</f>
        <v>8.3716560973777481E-3</v>
      </c>
      <c r="T46" s="11">
        <f>IF($B46&lt;&gt;"Permanent græs",(1-VLOOKUP(T$5,Landbrug!$B$23:$E$24,MATCH(T$4,Landbrug!$B$22:$E$22,0),FALSE))*(VLOOKUP($B46,'[1]Afgrødefordeling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jordtype'!$O$3:$R$3,0),FALSE)),VLOOKUP(T$5,Landbrug!$B$23:$E$24,MATCH(T$4,Landbrug!$B$22:$E$22,0),FALSE))*(Landbrug!$E$5)*Arealanvendelse!R$36</f>
        <v>1.1552184908154068E-2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456768.24187606625</v>
      </c>
      <c r="G47" s="38">
        <f t="shared" si="3"/>
        <v>6625.9744153556876</v>
      </c>
      <c r="H47" s="38">
        <f t="shared" si="3"/>
        <v>0.16831718781063046</v>
      </c>
      <c r="I47" s="38">
        <f t="shared" si="3"/>
        <v>414519.45014114131</v>
      </c>
      <c r="J47" s="38">
        <f t="shared" si="3"/>
        <v>0.16053373403979093</v>
      </c>
      <c r="K47" s="39">
        <f t="shared" si="3"/>
        <v>0.16053373403904062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71287.529078923661</v>
      </c>
      <c r="P47" s="38">
        <f t="shared" si="3"/>
        <v>1034.1116139572466</v>
      </c>
      <c r="Q47" s="38">
        <f t="shared" si="3"/>
        <v>2.6269156479115735E-2</v>
      </c>
      <c r="R47" s="38">
        <f t="shared" si="3"/>
        <v>87928.368211757217</v>
      </c>
      <c r="S47" s="38">
        <f t="shared" si="3"/>
        <v>3.4052610250864743E-2</v>
      </c>
      <c r="T47" s="39">
        <f t="shared" si="3"/>
        <v>3.4052610250705585E-2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3" t="s">
        <v>7</v>
      </c>
      <c r="D49" s="364"/>
      <c r="E49" s="365"/>
      <c r="F49" s="366" t="s">
        <v>8</v>
      </c>
      <c r="G49" s="364"/>
      <c r="H49" s="36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M37"/>
  <sheetViews>
    <sheetView topLeftCell="A2" workbookViewId="0">
      <selection activeCell="C6" sqref="C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28515625" bestFit="1" customWidth="1"/>
    <col min="40" max="40" width="12" bestFit="1" customWidth="1"/>
    <col min="41" max="41" width="11.28515625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9" x14ac:dyDescent="0.25">
      <c r="A3" s="77" t="s">
        <v>175</v>
      </c>
      <c r="B3" s="77" t="s">
        <v>62</v>
      </c>
    </row>
    <row r="4" spans="1:39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206</v>
      </c>
      <c r="AG4" s="171" t="s">
        <v>205</v>
      </c>
      <c r="AH4" s="171" t="s">
        <v>210</v>
      </c>
      <c r="AI4" s="171" t="s">
        <v>240</v>
      </c>
      <c r="AJ4" s="171" t="s">
        <v>233</v>
      </c>
      <c r="AK4" s="171" t="s">
        <v>111</v>
      </c>
      <c r="AL4" s="171" t="s">
        <v>116</v>
      </c>
      <c r="AM4" s="171" t="s">
        <v>61</v>
      </c>
    </row>
    <row r="5" spans="1:39" x14ac:dyDescent="0.25">
      <c r="A5" s="78" t="s">
        <v>110</v>
      </c>
      <c r="B5" s="242"/>
      <c r="C5" s="242"/>
      <c r="D5" s="242">
        <v>1462906</v>
      </c>
      <c r="E5" s="242">
        <v>3998809.3361577736</v>
      </c>
      <c r="F5" s="242"/>
      <c r="G5" s="242">
        <v>19628.463153389632</v>
      </c>
      <c r="H5" s="242"/>
      <c r="I5" s="242"/>
      <c r="J5" s="242">
        <v>428226</v>
      </c>
      <c r="K5" s="242">
        <v>257031</v>
      </c>
      <c r="L5" s="242"/>
      <c r="M5" s="242">
        <v>75934</v>
      </c>
      <c r="N5" s="242">
        <v>234</v>
      </c>
      <c r="O5" s="242"/>
      <c r="P5" s="242">
        <v>2444654.0000000005</v>
      </c>
      <c r="Q5" s="242"/>
      <c r="R5" s="242">
        <v>11357.999999999998</v>
      </c>
      <c r="S5" s="242">
        <v>20063185.168080315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14951571.037226994</v>
      </c>
      <c r="AB5" s="242">
        <v>20058701.79781311</v>
      </c>
      <c r="AC5" s="242"/>
      <c r="AD5" s="242"/>
      <c r="AE5" s="242"/>
      <c r="AF5" s="242"/>
      <c r="AG5" s="242"/>
      <c r="AH5" s="242">
        <v>3730057.5242502624</v>
      </c>
      <c r="AI5" s="242"/>
      <c r="AJ5" s="242"/>
      <c r="AK5" s="242"/>
      <c r="AL5" s="242"/>
      <c r="AM5" s="242">
        <v>68578309.326681852</v>
      </c>
    </row>
    <row r="6" spans="1:39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>
        <v>0</v>
      </c>
      <c r="AI6" s="242"/>
      <c r="AJ6" s="242"/>
      <c r="AK6" s="242"/>
      <c r="AL6" s="242"/>
      <c r="AM6" s="242">
        <v>13090417.500000002</v>
      </c>
    </row>
    <row r="7" spans="1:39" x14ac:dyDescent="0.25">
      <c r="A7" s="79">
        <v>2030</v>
      </c>
      <c r="B7" s="242"/>
      <c r="C7" s="242"/>
      <c r="D7" s="242">
        <v>363995</v>
      </c>
      <c r="E7" s="242">
        <v>1732260.3299588533</v>
      </c>
      <c r="F7" s="242"/>
      <c r="G7" s="242">
        <v>6782.1960455237531</v>
      </c>
      <c r="H7" s="242"/>
      <c r="I7" s="242"/>
      <c r="J7" s="242">
        <v>142742</v>
      </c>
      <c r="K7" s="242">
        <v>85677</v>
      </c>
      <c r="L7" s="242"/>
      <c r="M7" s="242">
        <v>0</v>
      </c>
      <c r="N7" s="242">
        <v>78</v>
      </c>
      <c r="O7" s="242"/>
      <c r="P7" s="242">
        <v>725968.00000000023</v>
      </c>
      <c r="Q7" s="242"/>
      <c r="R7" s="242">
        <v>3785.9999999999995</v>
      </c>
      <c r="S7" s="242">
        <v>8343771.5304011963</v>
      </c>
      <c r="T7" s="242"/>
      <c r="U7" s="242">
        <v>330026</v>
      </c>
      <c r="V7" s="242"/>
      <c r="W7" s="242"/>
      <c r="X7" s="242"/>
      <c r="Y7" s="242">
        <v>28644.999999999993</v>
      </c>
      <c r="Z7" s="242"/>
      <c r="AA7" s="242">
        <v>5468911.5938238055</v>
      </c>
      <c r="AB7" s="242">
        <v>9708262.3203322031</v>
      </c>
      <c r="AC7" s="242"/>
      <c r="AD7" s="242"/>
      <c r="AE7" s="242"/>
      <c r="AF7" s="242"/>
      <c r="AG7" s="242"/>
      <c r="AH7" s="242">
        <v>2024782.3534998517</v>
      </c>
      <c r="AI7" s="242"/>
      <c r="AJ7" s="242"/>
      <c r="AK7" s="242"/>
      <c r="AL7" s="242"/>
      <c r="AM7" s="242">
        <v>28965687.324061435</v>
      </c>
    </row>
    <row r="8" spans="1:39" x14ac:dyDescent="0.25">
      <c r="A8" s="79">
        <v>2050</v>
      </c>
      <c r="B8" s="242"/>
      <c r="C8" s="242"/>
      <c r="D8" s="242">
        <v>369777</v>
      </c>
      <c r="E8" s="242">
        <v>1509462.0061989203</v>
      </c>
      <c r="F8" s="242"/>
      <c r="G8" s="242">
        <v>8404.7671078658768</v>
      </c>
      <c r="H8" s="242"/>
      <c r="I8" s="242"/>
      <c r="J8" s="242">
        <v>142742</v>
      </c>
      <c r="K8" s="242">
        <v>85677</v>
      </c>
      <c r="L8" s="242"/>
      <c r="M8" s="242">
        <v>0</v>
      </c>
      <c r="N8" s="242">
        <v>78</v>
      </c>
      <c r="O8" s="242"/>
      <c r="P8" s="242">
        <v>723032.00000000012</v>
      </c>
      <c r="Q8" s="242"/>
      <c r="R8" s="242">
        <v>3785.9999999999995</v>
      </c>
      <c r="S8" s="242">
        <v>7365903.9710124508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6813825.4434031872</v>
      </c>
      <c r="AB8" s="242">
        <v>7435570.144147574</v>
      </c>
      <c r="AC8" s="242"/>
      <c r="AD8" s="242"/>
      <c r="AE8" s="242"/>
      <c r="AF8" s="242"/>
      <c r="AG8" s="242"/>
      <c r="AH8" s="242">
        <v>1705275.170750411</v>
      </c>
      <c r="AI8" s="242"/>
      <c r="AJ8" s="242"/>
      <c r="AK8" s="242"/>
      <c r="AL8" s="242"/>
      <c r="AM8" s="242">
        <v>26522204.50262041</v>
      </c>
    </row>
    <row r="9" spans="1:39" x14ac:dyDescent="0.25">
      <c r="A9" s="78" t="s">
        <v>113</v>
      </c>
      <c r="B9" s="242"/>
      <c r="C9" s="242">
        <v>162278.76819490135</v>
      </c>
      <c r="D9" s="242"/>
      <c r="E9" s="242"/>
      <c r="F9" s="242"/>
      <c r="G9" s="242"/>
      <c r="H9" s="242"/>
      <c r="I9" s="242"/>
      <c r="J9" s="242"/>
      <c r="K9" s="242">
        <v>31768738.399713621</v>
      </c>
      <c r="L9" s="242"/>
      <c r="M9" s="242">
        <v>1995006.4784964744</v>
      </c>
      <c r="N9" s="242"/>
      <c r="O9" s="242">
        <v>5421074.2654714445</v>
      </c>
      <c r="P9" s="242"/>
      <c r="Q9" s="242">
        <v>0</v>
      </c>
      <c r="R9" s="242">
        <v>15255401.624850161</v>
      </c>
      <c r="S9" s="242"/>
      <c r="T9" s="242">
        <v>3924970.9845600724</v>
      </c>
      <c r="U9" s="242">
        <v>14656263.673024215</v>
      </c>
      <c r="V9" s="242"/>
      <c r="W9" s="242"/>
      <c r="X9" s="242"/>
      <c r="Y9" s="242">
        <v>2222928.5207287632</v>
      </c>
      <c r="Z9" s="242">
        <v>100895.01474875628</v>
      </c>
      <c r="AA9" s="242"/>
      <c r="AB9" s="242"/>
      <c r="AC9" s="242"/>
      <c r="AD9" s="242"/>
      <c r="AE9" s="242"/>
      <c r="AF9" s="242">
        <v>3146487.2537104073</v>
      </c>
      <c r="AG9" s="242">
        <v>1571797.3868956801</v>
      </c>
      <c r="AH9" s="242"/>
      <c r="AI9" s="242">
        <v>549319.99589894968</v>
      </c>
      <c r="AJ9" s="242"/>
      <c r="AK9" s="242"/>
      <c r="AL9" s="242"/>
      <c r="AM9" s="242">
        <v>80775162.36629343</v>
      </c>
    </row>
    <row r="10" spans="1:39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0</v>
      </c>
      <c r="AG10" s="242">
        <v>0</v>
      </c>
      <c r="AH10" s="242"/>
      <c r="AI10" s="242">
        <v>240377.87559326066</v>
      </c>
      <c r="AJ10" s="242"/>
      <c r="AK10" s="242"/>
      <c r="AL10" s="242"/>
      <c r="AM10" s="242">
        <v>35984266.24676016</v>
      </c>
    </row>
    <row r="11" spans="1:39" x14ac:dyDescent="0.25">
      <c r="A11" s="79">
        <v>2030</v>
      </c>
      <c r="B11" s="242"/>
      <c r="C11" s="242">
        <v>52803.99598320001</v>
      </c>
      <c r="D11" s="242"/>
      <c r="E11" s="242"/>
      <c r="F11" s="242"/>
      <c r="G11" s="242"/>
      <c r="H11" s="242"/>
      <c r="I11" s="242"/>
      <c r="J11" s="242"/>
      <c r="K11" s="242">
        <v>10593848.951226842</v>
      </c>
      <c r="L11" s="242"/>
      <c r="M11" s="242">
        <v>662244.75002954563</v>
      </c>
      <c r="N11" s="242"/>
      <c r="O11" s="242">
        <v>0</v>
      </c>
      <c r="P11" s="242"/>
      <c r="Q11" s="242">
        <v>0</v>
      </c>
      <c r="R11" s="242">
        <v>5085431.9147653691</v>
      </c>
      <c r="S11" s="242"/>
      <c r="T11" s="242">
        <v>1306364.3816064557</v>
      </c>
      <c r="U11" s="242">
        <v>4879942.9933971986</v>
      </c>
      <c r="V11" s="242"/>
      <c r="W11" s="242"/>
      <c r="X11" s="242"/>
      <c r="Y11" s="242">
        <v>751256.85194279999</v>
      </c>
      <c r="Z11" s="242">
        <v>33282.518680320005</v>
      </c>
      <c r="AA11" s="242"/>
      <c r="AB11" s="242"/>
      <c r="AC11" s="242"/>
      <c r="AD11" s="242"/>
      <c r="AE11" s="242"/>
      <c r="AF11" s="242">
        <v>1848879.4111764706</v>
      </c>
      <c r="AG11" s="242">
        <v>923589.89337887999</v>
      </c>
      <c r="AH11" s="242"/>
      <c r="AI11" s="242">
        <v>181534.73363186989</v>
      </c>
      <c r="AJ11" s="242"/>
      <c r="AK11" s="242"/>
      <c r="AL11" s="242"/>
      <c r="AM11" s="242">
        <v>26319180.395818949</v>
      </c>
    </row>
    <row r="12" spans="1:39" x14ac:dyDescent="0.25">
      <c r="A12" s="79">
        <v>2050</v>
      </c>
      <c r="B12" s="242"/>
      <c r="C12" s="242">
        <v>37059.67998276923</v>
      </c>
      <c r="D12" s="242"/>
      <c r="E12" s="242"/>
      <c r="F12" s="242"/>
      <c r="G12" s="242"/>
      <c r="H12" s="242"/>
      <c r="I12" s="242"/>
      <c r="J12" s="242"/>
      <c r="K12" s="242">
        <v>7435131.4632167686</v>
      </c>
      <c r="L12" s="242"/>
      <c r="M12" s="242">
        <v>464786.38688959018</v>
      </c>
      <c r="N12" s="242"/>
      <c r="O12" s="242">
        <v>0</v>
      </c>
      <c r="P12" s="242"/>
      <c r="Q12" s="242">
        <v>0</v>
      </c>
      <c r="R12" s="242">
        <v>3569132.9003836643</v>
      </c>
      <c r="S12" s="242"/>
      <c r="T12" s="242">
        <v>916851.93557371269</v>
      </c>
      <c r="U12" s="242">
        <v>3424913.6320477659</v>
      </c>
      <c r="V12" s="242"/>
      <c r="W12" s="242"/>
      <c r="X12" s="242"/>
      <c r="Y12" s="242">
        <v>527258.17430030764</v>
      </c>
      <c r="Z12" s="242">
        <v>23358.828595200001</v>
      </c>
      <c r="AA12" s="242"/>
      <c r="AB12" s="242"/>
      <c r="AC12" s="242"/>
      <c r="AD12" s="242"/>
      <c r="AE12" s="242"/>
      <c r="AF12" s="242">
        <v>1297607.8425339367</v>
      </c>
      <c r="AG12" s="242">
        <v>648207.49351680011</v>
      </c>
      <c r="AH12" s="242"/>
      <c r="AI12" s="242">
        <v>127407.3866738191</v>
      </c>
      <c r="AJ12" s="242"/>
      <c r="AK12" s="242"/>
      <c r="AL12" s="242"/>
      <c r="AM12" s="242">
        <v>18471715.723714329</v>
      </c>
    </row>
    <row r="13" spans="1:39" x14ac:dyDescent="0.25">
      <c r="A13" s="78" t="s">
        <v>128</v>
      </c>
      <c r="B13" s="242">
        <v>182574.19618217932</v>
      </c>
      <c r="C13" s="242">
        <v>271198.07895647816</v>
      </c>
      <c r="D13" s="242"/>
      <c r="E13" s="242"/>
      <c r="F13" s="242">
        <v>281468.55244752642</v>
      </c>
      <c r="G13" s="242"/>
      <c r="H13" s="242">
        <v>153719.02470026657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261440.58739406872</v>
      </c>
      <c r="X13" s="242"/>
      <c r="Y13" s="242"/>
      <c r="Z13" s="242"/>
      <c r="AA13" s="242"/>
      <c r="AB13" s="242"/>
      <c r="AC13" s="242">
        <v>530803.61683038203</v>
      </c>
      <c r="AD13" s="242"/>
      <c r="AE13" s="242"/>
      <c r="AF13" s="242"/>
      <c r="AG13" s="242"/>
      <c r="AH13" s="242"/>
      <c r="AI13" s="242"/>
      <c r="AJ13" s="242"/>
      <c r="AK13" s="242"/>
      <c r="AL13" s="242"/>
      <c r="AM13" s="242">
        <v>9638396.1067842171</v>
      </c>
    </row>
    <row r="14" spans="1:39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/>
      <c r="AK14" s="242"/>
      <c r="AL14" s="242"/>
      <c r="AM14" s="242">
        <v>3083197.0190696353</v>
      </c>
    </row>
    <row r="15" spans="1:39" x14ac:dyDescent="0.25">
      <c r="A15" s="79">
        <v>2030</v>
      </c>
      <c r="B15" s="242">
        <v>60789.12467762841</v>
      </c>
      <c r="C15" s="242">
        <v>81052.166236837889</v>
      </c>
      <c r="D15" s="242"/>
      <c r="E15" s="242"/>
      <c r="F15" s="242">
        <v>93716.56721134379</v>
      </c>
      <c r="G15" s="242"/>
      <c r="H15" s="242">
        <v>52683.90805394463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89603.169774824273</v>
      </c>
      <c r="X15" s="242"/>
      <c r="Y15" s="242"/>
      <c r="Z15" s="242"/>
      <c r="AA15" s="242"/>
      <c r="AB15" s="242"/>
      <c r="AC15" s="242">
        <v>181921.58711858263</v>
      </c>
      <c r="AD15" s="242"/>
      <c r="AE15" s="242"/>
      <c r="AF15" s="242"/>
      <c r="AG15" s="242"/>
      <c r="AH15" s="242"/>
      <c r="AI15" s="242"/>
      <c r="AJ15" s="242"/>
      <c r="AK15" s="242"/>
      <c r="AL15" s="242"/>
      <c r="AM15" s="242">
        <v>3209159.2069398002</v>
      </c>
    </row>
    <row r="16" spans="1:39" x14ac:dyDescent="0.25">
      <c r="A16" s="79">
        <v>2050</v>
      </c>
      <c r="B16" s="242">
        <v>63381.970906546776</v>
      </c>
      <c r="C16" s="242">
        <v>190145.9127196403</v>
      </c>
      <c r="D16" s="242"/>
      <c r="E16" s="242"/>
      <c r="F16" s="242">
        <v>97713.871814259604</v>
      </c>
      <c r="G16" s="242"/>
      <c r="H16" s="242">
        <v>37765.090998484113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64229.704767421834</v>
      </c>
      <c r="X16" s="242"/>
      <c r="Y16" s="242"/>
      <c r="Z16" s="242"/>
      <c r="AA16" s="242"/>
      <c r="AB16" s="242"/>
      <c r="AC16" s="242">
        <v>130405.76422476556</v>
      </c>
      <c r="AD16" s="242"/>
      <c r="AE16" s="242"/>
      <c r="AF16" s="242"/>
      <c r="AG16" s="242"/>
      <c r="AH16" s="242"/>
      <c r="AI16" s="242"/>
      <c r="AJ16" s="242"/>
      <c r="AK16" s="242"/>
      <c r="AL16" s="242"/>
      <c r="AM16" s="242">
        <v>3346039.8807747816</v>
      </c>
    </row>
    <row r="17" spans="1:39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4910427.0950728757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722757.37181777391</v>
      </c>
      <c r="AE17" s="242">
        <v>8804035.0696769245</v>
      </c>
      <c r="AF17" s="242"/>
      <c r="AG17" s="242"/>
      <c r="AH17" s="242"/>
      <c r="AI17" s="242"/>
      <c r="AJ17" s="242">
        <v>683756.27188228979</v>
      </c>
      <c r="AK17" s="242"/>
      <c r="AL17" s="242"/>
      <c r="AM17" s="242">
        <v>18069168.808449864</v>
      </c>
    </row>
    <row r="18" spans="1:39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/>
      <c r="AH18" s="242"/>
      <c r="AI18" s="242"/>
      <c r="AJ18" s="242">
        <v>112887.06079513082</v>
      </c>
      <c r="AK18" s="242"/>
      <c r="AL18" s="242"/>
      <c r="AM18" s="242">
        <v>6209404.1530503789</v>
      </c>
    </row>
    <row r="19" spans="1:39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1533965.0585556475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284902.69682753459</v>
      </c>
      <c r="AE19" s="242">
        <v>2869600.5520822164</v>
      </c>
      <c r="AF19" s="242"/>
      <c r="AG19" s="242"/>
      <c r="AH19" s="242"/>
      <c r="AI19" s="242"/>
      <c r="AJ19" s="242">
        <v>308543.842245968</v>
      </c>
      <c r="AK19" s="242"/>
      <c r="AL19" s="242"/>
      <c r="AM19" s="242">
        <v>5979743.1497113667</v>
      </c>
    </row>
    <row r="20" spans="1:39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1482696.8239816672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228072.28759523929</v>
      </c>
      <c r="AE20" s="242">
        <v>2924196.0252700225</v>
      </c>
      <c r="AF20" s="242"/>
      <c r="AG20" s="242"/>
      <c r="AH20" s="242"/>
      <c r="AI20" s="242"/>
      <c r="AJ20" s="242">
        <v>262325.36884119094</v>
      </c>
      <c r="AK20" s="242"/>
      <c r="AL20" s="242"/>
      <c r="AM20" s="242">
        <v>5880021.5056881197</v>
      </c>
    </row>
    <row r="21" spans="1:39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/>
      <c r="AH21" s="242"/>
      <c r="AI21" s="242"/>
      <c r="AJ21" s="242">
        <v>104203.4407339669</v>
      </c>
      <c r="AK21" s="242"/>
      <c r="AL21" s="242"/>
      <c r="AM21" s="242">
        <v>104203.4407339669</v>
      </c>
    </row>
    <row r="22" spans="1:39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/>
      <c r="AH22" s="242"/>
      <c r="AI22" s="242"/>
      <c r="AJ22" s="242">
        <v>104203.4407339669</v>
      </c>
      <c r="AK22" s="242"/>
      <c r="AL22" s="242"/>
      <c r="AM22" s="242">
        <v>104203.4407339669</v>
      </c>
    </row>
    <row r="23" spans="1:39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/>
      <c r="AH23" s="242"/>
      <c r="AI23" s="242"/>
      <c r="AJ23" s="242">
        <v>0</v>
      </c>
      <c r="AK23" s="242"/>
      <c r="AL23" s="242"/>
      <c r="AM23" s="242">
        <v>0</v>
      </c>
    </row>
    <row r="24" spans="1:39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/>
      <c r="AH24" s="242"/>
      <c r="AI24" s="242"/>
      <c r="AJ24" s="242">
        <v>0</v>
      </c>
      <c r="AK24" s="242"/>
      <c r="AL24" s="242"/>
      <c r="AM24" s="242">
        <v>0</v>
      </c>
    </row>
    <row r="25" spans="1:39" x14ac:dyDescent="0.25">
      <c r="A25" s="78" t="s">
        <v>115</v>
      </c>
      <c r="B25" s="242"/>
      <c r="C25" s="242"/>
      <c r="D25" s="242"/>
      <c r="E25" s="242">
        <v>1105852.9918984133</v>
      </c>
      <c r="F25" s="242"/>
      <c r="G25" s="242">
        <v>5781.6148062780449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8808720.1011075675</v>
      </c>
      <c r="T25" s="242"/>
      <c r="U25" s="242"/>
      <c r="V25" s="242"/>
      <c r="W25" s="242"/>
      <c r="X25" s="242"/>
      <c r="Y25" s="242"/>
      <c r="Z25" s="242"/>
      <c r="AA25" s="242"/>
      <c r="AB25" s="242">
        <v>18804392.567238241</v>
      </c>
      <c r="AC25" s="242"/>
      <c r="AD25" s="242"/>
      <c r="AE25" s="242"/>
      <c r="AF25" s="242"/>
      <c r="AG25" s="242"/>
      <c r="AH25" s="242"/>
      <c r="AI25" s="242"/>
      <c r="AJ25" s="242"/>
      <c r="AK25" s="242">
        <v>45940972.624016747</v>
      </c>
      <c r="AL25" s="242">
        <v>2884146.0219089705</v>
      </c>
      <c r="AM25" s="242">
        <v>77549865.920976222</v>
      </c>
    </row>
    <row r="26" spans="1:39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/>
      <c r="AI26" s="242"/>
      <c r="AJ26" s="242"/>
      <c r="AK26" s="242">
        <v>8803491.7355084848</v>
      </c>
      <c r="AL26" s="242">
        <v>1108490.5539925825</v>
      </c>
      <c r="AM26" s="242">
        <v>31905165.644858211</v>
      </c>
    </row>
    <row r="27" spans="1:39" x14ac:dyDescent="0.25">
      <c r="A27" s="79">
        <v>2030</v>
      </c>
      <c r="B27" s="242"/>
      <c r="C27" s="242"/>
      <c r="D27" s="242"/>
      <c r="E27" s="242">
        <v>218594.75592337913</v>
      </c>
      <c r="F27" s="242"/>
      <c r="G27" s="242">
        <v>1711.6970972036138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1842582.8796302641</v>
      </c>
      <c r="T27" s="242"/>
      <c r="U27" s="242"/>
      <c r="V27" s="242"/>
      <c r="W27" s="242"/>
      <c r="X27" s="242"/>
      <c r="Y27" s="242"/>
      <c r="Z27" s="242"/>
      <c r="AA27" s="242"/>
      <c r="AB27" s="242">
        <v>3236087.4401107342</v>
      </c>
      <c r="AC27" s="242"/>
      <c r="AD27" s="242"/>
      <c r="AE27" s="242"/>
      <c r="AF27" s="242"/>
      <c r="AG27" s="242"/>
      <c r="AH27" s="242"/>
      <c r="AI27" s="242"/>
      <c r="AJ27" s="242"/>
      <c r="AK27" s="242">
        <v>20438564.431791671</v>
      </c>
      <c r="AL27" s="242">
        <v>883927.86943286215</v>
      </c>
      <c r="AM27" s="242">
        <v>26621469.073986117</v>
      </c>
    </row>
    <row r="28" spans="1:39" x14ac:dyDescent="0.25">
      <c r="A28" s="79">
        <v>2050</v>
      </c>
      <c r="B28" s="242"/>
      <c r="C28" s="242"/>
      <c r="D28" s="242"/>
      <c r="E28" s="242">
        <v>63493.243117891077</v>
      </c>
      <c r="F28" s="242"/>
      <c r="G28" s="242">
        <v>707.0677090744307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542212.37564397184</v>
      </c>
      <c r="T28" s="242"/>
      <c r="U28" s="242"/>
      <c r="V28" s="242"/>
      <c r="W28" s="242"/>
      <c r="X28" s="242"/>
      <c r="Y28" s="242"/>
      <c r="Z28" s="242"/>
      <c r="AA28" s="242"/>
      <c r="AB28" s="242">
        <v>826174.46046084131</v>
      </c>
      <c r="AC28" s="242"/>
      <c r="AD28" s="242"/>
      <c r="AE28" s="242"/>
      <c r="AF28" s="242"/>
      <c r="AG28" s="242"/>
      <c r="AH28" s="242"/>
      <c r="AI28" s="242"/>
      <c r="AJ28" s="242"/>
      <c r="AK28" s="242">
        <v>16698916.456716588</v>
      </c>
      <c r="AL28" s="242">
        <v>891727.59848352592</v>
      </c>
      <c r="AM28" s="242">
        <v>19023231.20213189</v>
      </c>
    </row>
    <row r="29" spans="1:39" x14ac:dyDescent="0.25">
      <c r="A29" s="78" t="s">
        <v>211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>
        <v>9402310.8248935807</v>
      </c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/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/>
      <c r="AK29" s="242"/>
      <c r="AL29" s="242"/>
      <c r="AM29" s="242">
        <v>9402310.8248935807</v>
      </c>
    </row>
    <row r="30" spans="1:39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>
        <v>0</v>
      </c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/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/>
      <c r="AK30" s="242"/>
      <c r="AL30" s="242"/>
      <c r="AM30" s="242">
        <v>0</v>
      </c>
    </row>
    <row r="31" spans="1:39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>
        <v>5524808.3020606898</v>
      </c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/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/>
      <c r="AK31" s="242"/>
      <c r="AL31" s="242"/>
      <c r="AM31" s="242">
        <v>5524808.3020606898</v>
      </c>
    </row>
    <row r="32" spans="1:39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>
        <v>3877502.5228328914</v>
      </c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/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/>
      <c r="AK32" s="242"/>
      <c r="AL32" s="242"/>
      <c r="AM32" s="242">
        <v>3877502.5228328914</v>
      </c>
    </row>
    <row r="33" spans="1:39" x14ac:dyDescent="0.25">
      <c r="A33" s="78" t="s">
        <v>239</v>
      </c>
      <c r="B33" s="242"/>
      <c r="C33" s="242"/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42"/>
      <c r="X33" s="242">
        <v>2462374.101925802</v>
      </c>
      <c r="Y33" s="242"/>
      <c r="Z33" s="242"/>
      <c r="AA33" s="242"/>
      <c r="AB33" s="242"/>
      <c r="AC33" s="242"/>
      <c r="AD33" s="242"/>
      <c r="AE33" s="242"/>
      <c r="AF33" s="242"/>
      <c r="AG33" s="242"/>
      <c r="AH33" s="242"/>
      <c r="AI33" s="242"/>
      <c r="AJ33" s="242"/>
      <c r="AK33" s="242"/>
      <c r="AL33" s="242"/>
      <c r="AM33" s="242">
        <v>2462374.101925802</v>
      </c>
    </row>
    <row r="34" spans="1:39" x14ac:dyDescent="0.25">
      <c r="A34" s="79">
        <v>2019</v>
      </c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42"/>
      <c r="X34" s="242">
        <v>678407.81727843033</v>
      </c>
      <c r="Y34" s="242"/>
      <c r="Z34" s="242"/>
      <c r="AA34" s="242"/>
      <c r="AB34" s="242"/>
      <c r="AC34" s="242"/>
      <c r="AD34" s="242"/>
      <c r="AE34" s="242"/>
      <c r="AF34" s="242"/>
      <c r="AG34" s="242"/>
      <c r="AH34" s="242"/>
      <c r="AI34" s="242"/>
      <c r="AJ34" s="242"/>
      <c r="AK34" s="242"/>
      <c r="AL34" s="242"/>
      <c r="AM34" s="242">
        <v>678407.81727843033</v>
      </c>
    </row>
    <row r="35" spans="1:39" x14ac:dyDescent="0.25">
      <c r="A35" s="79">
        <v>2030</v>
      </c>
      <c r="B35" s="242"/>
      <c r="C35" s="242"/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242"/>
      <c r="X35" s="242">
        <v>964199.50701865007</v>
      </c>
      <c r="Y35" s="242"/>
      <c r="Z35" s="242"/>
      <c r="AA35" s="242"/>
      <c r="AB35" s="242"/>
      <c r="AC35" s="242"/>
      <c r="AD35" s="242"/>
      <c r="AE35" s="242"/>
      <c r="AF35" s="242"/>
      <c r="AG35" s="242"/>
      <c r="AH35" s="242"/>
      <c r="AI35" s="242"/>
      <c r="AJ35" s="242"/>
      <c r="AK35" s="242"/>
      <c r="AL35" s="242"/>
      <c r="AM35" s="242">
        <v>964199.50701865007</v>
      </c>
    </row>
    <row r="36" spans="1:39" x14ac:dyDescent="0.25">
      <c r="A36" s="79">
        <v>2050</v>
      </c>
      <c r="B36" s="242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>
        <v>819766.77762872155</v>
      </c>
      <c r="Y36" s="242"/>
      <c r="Z36" s="242"/>
      <c r="AA36" s="242"/>
      <c r="AB36" s="242"/>
      <c r="AC36" s="242"/>
      <c r="AD36" s="242"/>
      <c r="AE36" s="242"/>
      <c r="AF36" s="242"/>
      <c r="AG36" s="242"/>
      <c r="AH36" s="242"/>
      <c r="AI36" s="242"/>
      <c r="AJ36" s="242"/>
      <c r="AK36" s="242"/>
      <c r="AL36" s="242"/>
      <c r="AM36" s="242">
        <v>819766.77762872155</v>
      </c>
    </row>
    <row r="37" spans="1:39" x14ac:dyDescent="0.25">
      <c r="A37" s="78" t="s">
        <v>61</v>
      </c>
      <c r="B37" s="242">
        <v>182574.19618217932</v>
      </c>
      <c r="C37" s="242">
        <v>433476.84715137957</v>
      </c>
      <c r="D37" s="242">
        <v>1462906</v>
      </c>
      <c r="E37" s="242">
        <v>5104662.3280561874</v>
      </c>
      <c r="F37" s="242">
        <v>281468.55244752642</v>
      </c>
      <c r="G37" s="242">
        <v>25410.077959667677</v>
      </c>
      <c r="H37" s="242">
        <v>153719.02470026657</v>
      </c>
      <c r="I37" s="242">
        <v>1445379.0531089196</v>
      </c>
      <c r="J37" s="242">
        <v>428226</v>
      </c>
      <c r="K37" s="242">
        <v>41428080.224607207</v>
      </c>
      <c r="L37" s="242">
        <v>1513844.376677237</v>
      </c>
      <c r="M37" s="242">
        <v>6981367.5735693509</v>
      </c>
      <c r="N37" s="242">
        <v>2948427</v>
      </c>
      <c r="O37" s="242">
        <v>5421074.2654714445</v>
      </c>
      <c r="P37" s="242">
        <v>2444654.0000000005</v>
      </c>
      <c r="Q37" s="242">
        <v>692260.49385742994</v>
      </c>
      <c r="R37" s="242">
        <v>16925141.90683829</v>
      </c>
      <c r="S37" s="242">
        <v>28871905.269187883</v>
      </c>
      <c r="T37" s="242">
        <v>3924970.9845600724</v>
      </c>
      <c r="U37" s="242">
        <v>15646341.673024215</v>
      </c>
      <c r="V37" s="242">
        <v>2647325.8446415998</v>
      </c>
      <c r="W37" s="242">
        <v>261440.58739406872</v>
      </c>
      <c r="X37" s="242">
        <v>2462374.101925802</v>
      </c>
      <c r="Y37" s="242">
        <v>2308863.5207287632</v>
      </c>
      <c r="Z37" s="242">
        <v>100895.01474875628</v>
      </c>
      <c r="AA37" s="242">
        <v>14951571.037226994</v>
      </c>
      <c r="AB37" s="242">
        <v>38863094.365051351</v>
      </c>
      <c r="AC37" s="242">
        <v>530803.61683038203</v>
      </c>
      <c r="AD37" s="242">
        <v>722757.37181777391</v>
      </c>
      <c r="AE37" s="242">
        <v>8804035.0696769245</v>
      </c>
      <c r="AF37" s="242">
        <v>3146487.2537104073</v>
      </c>
      <c r="AG37" s="242">
        <v>1571797.3868956801</v>
      </c>
      <c r="AH37" s="242">
        <v>3730057.5242502624</v>
      </c>
      <c r="AI37" s="242">
        <v>549319.99589894968</v>
      </c>
      <c r="AJ37" s="242">
        <v>787959.71261625667</v>
      </c>
      <c r="AK37" s="242">
        <v>45940972.624016747</v>
      </c>
      <c r="AL37" s="242">
        <v>2884146.0219089705</v>
      </c>
      <c r="AM37" s="242">
        <v>266579790.89673901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0" width="11.28515625" bestFit="1" customWidth="1"/>
    <col min="11" max="11" width="8.42578125" bestFit="1" customWidth="1"/>
    <col min="12" max="12" width="8.85546875" bestFit="1" customWidth="1"/>
    <col min="13" max="13" width="14.5703125" bestFit="1" customWidth="1"/>
    <col min="14" max="14" width="9.28515625" bestFit="1" customWidth="1"/>
    <col min="15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288</v>
      </c>
      <c r="B2" s="78">
        <v>1</v>
      </c>
    </row>
    <row r="4" spans="1:9" x14ac:dyDescent="0.25">
      <c r="A4" s="77" t="s">
        <v>316</v>
      </c>
      <c r="B4" s="77" t="s">
        <v>62</v>
      </c>
    </row>
    <row r="5" spans="1:9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159</v>
      </c>
      <c r="G5" s="171" t="s">
        <v>54</v>
      </c>
      <c r="H5" s="171" t="s">
        <v>160</v>
      </c>
      <c r="I5" s="171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142742</v>
      </c>
      <c r="G6" s="76">
        <v>420629.98984142789</v>
      </c>
      <c r="H6" s="76">
        <v>5421074.2654714445</v>
      </c>
      <c r="I6" s="76">
        <v>7949378.1351335607</v>
      </c>
    </row>
    <row r="7" spans="1:9" x14ac:dyDescent="0.25">
      <c r="A7" s="78">
        <v>2030</v>
      </c>
      <c r="B7" s="76">
        <v>2.825725611182861E-2</v>
      </c>
      <c r="C7" s="76">
        <v>4118.8931238114455</v>
      </c>
      <c r="D7" s="76">
        <v>83024.745280252944</v>
      </c>
      <c r="E7" s="76">
        <v>883927.86943286215</v>
      </c>
      <c r="F7" s="76">
        <v>142742</v>
      </c>
      <c r="G7" s="76">
        <v>388130.57209764107</v>
      </c>
      <c r="H7" s="76">
        <v>0</v>
      </c>
      <c r="I7" s="76">
        <v>1501944.1081918236</v>
      </c>
    </row>
    <row r="8" spans="1:9" x14ac:dyDescent="0.25">
      <c r="A8" s="78">
        <v>2050</v>
      </c>
      <c r="B8" s="76">
        <v>0.18489040050189942</v>
      </c>
      <c r="C8" s="76">
        <v>97174.294589048761</v>
      </c>
      <c r="D8" s="76">
        <v>164805.50168615792</v>
      </c>
      <c r="E8" s="76">
        <v>891727.59848352592</v>
      </c>
      <c r="F8" s="76">
        <v>142742</v>
      </c>
      <c r="G8" s="76">
        <v>422384.60108931462</v>
      </c>
      <c r="H8" s="76">
        <v>0</v>
      </c>
      <c r="I8" s="76">
        <v>1718834.1807384479</v>
      </c>
    </row>
    <row r="9" spans="1:9" x14ac:dyDescent="0.25">
      <c r="A9" s="78" t="s">
        <v>61</v>
      </c>
      <c r="B9" s="76">
        <v>370459.88762915425</v>
      </c>
      <c r="C9" s="76">
        <v>304942.80871836632</v>
      </c>
      <c r="D9" s="76">
        <v>530162.27730751317</v>
      </c>
      <c r="E9" s="76">
        <v>2884146.0219089705</v>
      </c>
      <c r="F9" s="76">
        <v>428226</v>
      </c>
      <c r="G9" s="76">
        <v>1231145.1630283836</v>
      </c>
      <c r="H9" s="76">
        <v>5421074.2654714445</v>
      </c>
      <c r="I9" s="76">
        <v>11170156.424063832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8554687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6" width="11" style="171" bestFit="1" customWidth="1"/>
    <col min="17" max="17" width="9.85546875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7.140625" style="171" bestFit="1" customWidth="1"/>
    <col min="22" max="22" width="13.85546875" style="171" bestFit="1" customWidth="1"/>
    <col min="23" max="23" width="10.140625" style="171" bestFit="1" customWidth="1"/>
    <col min="24" max="24" width="12.140625" style="171" bestFit="1" customWidth="1"/>
    <col min="25" max="25" width="16" style="171" bestFit="1" customWidth="1"/>
    <col min="26" max="26" width="8.85546875" style="171" bestFit="1" customWidth="1"/>
    <col min="27" max="27" width="12.5703125" style="171" bestFit="1" customWidth="1"/>
    <col min="28" max="29" width="9.85546875" style="171" bestFit="1" customWidth="1"/>
    <col min="30" max="30" width="9.28515625" style="171" bestFit="1" customWidth="1"/>
    <col min="31" max="33" width="11.28515625" style="171" bestFit="1" customWidth="1"/>
    <col min="34" max="34" width="12" style="171" bestFit="1" customWidth="1"/>
    <col min="35" max="35" width="11.285156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210</v>
      </c>
      <c r="AA5" s="171" t="s">
        <v>206</v>
      </c>
      <c r="AB5" s="171" t="s">
        <v>56</v>
      </c>
      <c r="AC5" s="171" t="s">
        <v>55</v>
      </c>
      <c r="AD5" s="171" t="s">
        <v>240</v>
      </c>
      <c r="AE5" s="171" t="s">
        <v>61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/>
      <c r="AA6" s="98"/>
      <c r="AB6" s="98">
        <v>911574.64248506655</v>
      </c>
      <c r="AC6" s="98">
        <v>2005102.1714007764</v>
      </c>
      <c r="AD6" s="98">
        <v>98826.033045954537</v>
      </c>
      <c r="AE6" s="98">
        <v>38726531.363933533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628934.09553717356</v>
      </c>
      <c r="D7" s="98">
        <v>6189591.9252180122</v>
      </c>
      <c r="E7" s="98">
        <v>358825.35406290524</v>
      </c>
      <c r="F7" s="98">
        <v>144189.02716916322</v>
      </c>
      <c r="G7" s="98">
        <v>1327159.1732761196</v>
      </c>
      <c r="H7" s="98">
        <v>514637.88978790143</v>
      </c>
      <c r="I7" s="98">
        <v>2142740.1436914308</v>
      </c>
      <c r="J7" s="98">
        <v>736833.87579610466</v>
      </c>
      <c r="K7" s="98">
        <v>82599.137801749035</v>
      </c>
      <c r="L7" s="98">
        <v>52304.337322308449</v>
      </c>
      <c r="M7" s="98">
        <v>1798536.4273682984</v>
      </c>
      <c r="N7" s="98">
        <v>148232.6739623498</v>
      </c>
      <c r="O7" s="98">
        <v>1367.9773147687811</v>
      </c>
      <c r="P7" s="98">
        <v>4173274.1072842204</v>
      </c>
      <c r="Q7" s="98">
        <v>995547.37754959601</v>
      </c>
      <c r="R7" s="98">
        <v>163985.49277150354</v>
      </c>
      <c r="S7" s="98">
        <v>78069.291964914431</v>
      </c>
      <c r="T7" s="98">
        <v>1001340.7662389905</v>
      </c>
      <c r="U7" s="98">
        <v>14400</v>
      </c>
      <c r="V7" s="98">
        <v>790297.95420758065</v>
      </c>
      <c r="W7" s="98">
        <v>938674.29717013566</v>
      </c>
      <c r="X7" s="98">
        <v>549.03491797097047</v>
      </c>
      <c r="Y7" s="98">
        <v>1822970.5312746018</v>
      </c>
      <c r="Z7" s="98">
        <v>674927.4511666171</v>
      </c>
      <c r="AA7" s="98">
        <v>52629.192838870717</v>
      </c>
      <c r="AB7" s="98">
        <v>1109978.928910428</v>
      </c>
      <c r="AC7" s="98">
        <v>1669863.0461094584</v>
      </c>
      <c r="AD7" s="98">
        <v>300565.01987745514</v>
      </c>
      <c r="AE7" s="98">
        <v>28083970.835203782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422496.48545524228</v>
      </c>
      <c r="D8" s="98">
        <v>7682946.1425423622</v>
      </c>
      <c r="E8" s="98">
        <v>104224.75757087779</v>
      </c>
      <c r="F8" s="98">
        <v>150468.77514425677</v>
      </c>
      <c r="G8" s="98">
        <v>1079479.3223754542</v>
      </c>
      <c r="H8" s="98">
        <v>1875918.1983914766</v>
      </c>
      <c r="I8" s="98">
        <v>1745389.9877746685</v>
      </c>
      <c r="J8" s="98">
        <v>1194602.6584375831</v>
      </c>
      <c r="K8" s="98">
        <v>105520.42689115535</v>
      </c>
      <c r="L8" s="98">
        <v>611948.68599171343</v>
      </c>
      <c r="M8" s="98">
        <v>1053609.4810519114</v>
      </c>
      <c r="N8" s="98">
        <v>243411.82603765032</v>
      </c>
      <c r="O8" s="98">
        <v>1826.5028031360962</v>
      </c>
      <c r="P8" s="98">
        <v>3071815.8170889309</v>
      </c>
      <c r="Q8" s="98">
        <v>963691.1640460029</v>
      </c>
      <c r="R8" s="98">
        <v>110975.48450445863</v>
      </c>
      <c r="S8" s="98">
        <v>49288.996098064177</v>
      </c>
      <c r="T8" s="98">
        <v>636761.67101253849</v>
      </c>
      <c r="U8" s="98">
        <v>18000</v>
      </c>
      <c r="V8" s="98">
        <v>847372.33144122665</v>
      </c>
      <c r="W8" s="98">
        <v>276221.39891296637</v>
      </c>
      <c r="X8" s="98">
        <v>226.79530291066658</v>
      </c>
      <c r="Y8" s="98">
        <v>757091.71593368752</v>
      </c>
      <c r="Z8" s="98">
        <v>189475.01897226786</v>
      </c>
      <c r="AA8" s="98">
        <v>36936.997059475485</v>
      </c>
      <c r="AB8" s="98">
        <v>935092.89794509683</v>
      </c>
      <c r="AC8" s="98">
        <v>1393099.5132312838</v>
      </c>
      <c r="AD8" s="98">
        <v>282476.00214054168</v>
      </c>
      <c r="AE8" s="98">
        <v>26002686.421834216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1264141.5907481627</v>
      </c>
      <c r="D9" s="98">
        <v>17103067.140001886</v>
      </c>
      <c r="E9" s="98">
        <v>1815268.1187766404</v>
      </c>
      <c r="F9" s="98">
        <v>432933.08234231913</v>
      </c>
      <c r="G9" s="98">
        <v>3909196.5312597882</v>
      </c>
      <c r="H9" s="98">
        <v>6508559.7984795449</v>
      </c>
      <c r="I9" s="98">
        <v>5929003.8823322337</v>
      </c>
      <c r="J9" s="98">
        <v>3906106.8635451067</v>
      </c>
      <c r="K9" s="98">
        <v>240011.69731300074</v>
      </c>
      <c r="L9" s="98">
        <v>1930515.2695815139</v>
      </c>
      <c r="M9" s="98">
        <v>5388929.1497491496</v>
      </c>
      <c r="N9" s="98">
        <v>392524.60000000009</v>
      </c>
      <c r="O9" s="98">
        <v>11258.686458001441</v>
      </c>
      <c r="P9" s="98">
        <v>12514089.92437315</v>
      </c>
      <c r="Q9" s="98">
        <v>3615603.1830965136</v>
      </c>
      <c r="R9" s="98">
        <v>491971.34471148538</v>
      </c>
      <c r="S9" s="98">
        <v>233304.59963493387</v>
      </c>
      <c r="T9" s="98">
        <v>3020753.8684304357</v>
      </c>
      <c r="U9" s="98">
        <v>32476.5</v>
      </c>
      <c r="V9" s="98">
        <v>2465363.4905710118</v>
      </c>
      <c r="W9" s="98">
        <v>4487461.1835831031</v>
      </c>
      <c r="X9" s="98">
        <v>1854.4802208816368</v>
      </c>
      <c r="Y9" s="98">
        <v>6948386.1488869488</v>
      </c>
      <c r="Z9" s="98">
        <v>864402.47013888496</v>
      </c>
      <c r="AA9" s="98">
        <v>89566.189898346202</v>
      </c>
      <c r="AB9" s="98">
        <v>2956646.4693405912</v>
      </c>
      <c r="AC9" s="98">
        <v>5068064.7307415185</v>
      </c>
      <c r="AD9" s="98">
        <v>681867.05506395129</v>
      </c>
      <c r="AE9" s="98">
        <v>92813188.620971531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C6" sqref="C6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18.836987441618376</v>
      </c>
      <c r="C7" s="240">
        <v>0</v>
      </c>
      <c r="D7" s="240">
        <v>3.8365973630253083</v>
      </c>
      <c r="E7" s="240">
        <v>18.378318644089127</v>
      </c>
      <c r="F7" s="240">
        <v>0.14596282488120896</v>
      </c>
      <c r="G7" s="240">
        <v>1.2483155607676215</v>
      </c>
      <c r="H7" s="240">
        <v>10.799034478608881</v>
      </c>
      <c r="I7" s="240">
        <v>46.832962940933136</v>
      </c>
      <c r="J7" s="240">
        <v>0</v>
      </c>
      <c r="K7" s="240">
        <v>100.07817925392366</v>
      </c>
    </row>
    <row r="8" spans="1:11" x14ac:dyDescent="0.25">
      <c r="A8" s="79">
        <v>2050</v>
      </c>
      <c r="B8" s="240">
        <v>18.029353613375168</v>
      </c>
      <c r="C8" s="240">
        <v>0</v>
      </c>
      <c r="D8" s="240">
        <v>8.2638471448431829</v>
      </c>
      <c r="E8" s="240">
        <v>19.416214093100645</v>
      </c>
      <c r="F8" s="240">
        <v>0.23461711386879117</v>
      </c>
      <c r="G8" s="240">
        <v>0.36442729728643131</v>
      </c>
      <c r="H8" s="240">
        <v>9.1813879094416802</v>
      </c>
      <c r="I8" s="240">
        <v>46.578566663376805</v>
      </c>
      <c r="J8" s="240">
        <v>0</v>
      </c>
      <c r="K8" s="240">
        <v>102.06841383529272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7.7932580681222383</v>
      </c>
      <c r="C11" s="240">
        <v>2.1694819870080004</v>
      </c>
      <c r="D11" s="240">
        <v>1.420171986175</v>
      </c>
      <c r="E11" s="240">
        <v>1.2966519959999999E-2</v>
      </c>
      <c r="F11" s="240">
        <v>0</v>
      </c>
      <c r="G11" s="240">
        <v>12.140331468282515</v>
      </c>
      <c r="H11" s="240">
        <v>0</v>
      </c>
      <c r="I11" s="240">
        <v>0</v>
      </c>
      <c r="J11" s="240">
        <v>0</v>
      </c>
      <c r="K11" s="240">
        <v>23.536210029547753</v>
      </c>
    </row>
    <row r="12" spans="1:11" x14ac:dyDescent="0.25">
      <c r="A12" s="79">
        <v>2050</v>
      </c>
      <c r="B12" s="240">
        <v>8.2917801110217866</v>
      </c>
      <c r="C12" s="240">
        <v>2.1694819870080004</v>
      </c>
      <c r="D12" s="240">
        <v>1.4201719861750004</v>
      </c>
      <c r="E12" s="240">
        <v>1.2966519960000001E-2</v>
      </c>
      <c r="F12" s="240">
        <v>0</v>
      </c>
      <c r="G12" s="240">
        <v>10.187124388461202</v>
      </c>
      <c r="H12" s="240">
        <v>0</v>
      </c>
      <c r="I12" s="240">
        <v>0</v>
      </c>
      <c r="J12" s="240">
        <v>0</v>
      </c>
      <c r="K12" s="240">
        <v>22.08152499262599</v>
      </c>
    </row>
    <row r="13" spans="1:11" x14ac:dyDescent="0.25">
      <c r="A13" s="78" t="s">
        <v>296</v>
      </c>
      <c r="B13" s="240">
        <v>54.410271579495841</v>
      </c>
      <c r="C13" s="240">
        <v>0</v>
      </c>
      <c r="D13" s="240">
        <v>12.100444507868492</v>
      </c>
      <c r="E13" s="240">
        <v>57.36812322574697</v>
      </c>
      <c r="F13" s="240">
        <v>0.38057993875000012</v>
      </c>
      <c r="G13" s="240">
        <v>1.6127428580540528</v>
      </c>
      <c r="H13" s="240">
        <v>23.931469515880138</v>
      </c>
      <c r="I13" s="240">
        <v>140.9006245286518</v>
      </c>
      <c r="J13" s="240">
        <v>0</v>
      </c>
      <c r="K13" s="240">
        <v>290.70425615444731</v>
      </c>
    </row>
    <row r="14" spans="1:11" x14ac:dyDescent="0.25">
      <c r="A14" s="78" t="s">
        <v>248</v>
      </c>
      <c r="B14" s="240">
        <v>23.568192883351024</v>
      </c>
      <c r="C14" s="240">
        <v>6.5084459610240017</v>
      </c>
      <c r="D14" s="240">
        <v>4.2605159585250005</v>
      </c>
      <c r="E14" s="240">
        <v>0.47670007423999994</v>
      </c>
      <c r="F14" s="240">
        <v>0</v>
      </c>
      <c r="G14" s="240">
        <v>27.419738814748719</v>
      </c>
      <c r="H14" s="240">
        <v>0</v>
      </c>
      <c r="I14" s="240">
        <v>0</v>
      </c>
      <c r="J14" s="240">
        <v>0</v>
      </c>
      <c r="K14" s="240">
        <v>62.233593691888743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1254629.5241782644</v>
      </c>
      <c r="C4" s="241">
        <v>128467.8</v>
      </c>
      <c r="D4" s="241">
        <v>487625.7458472242</v>
      </c>
      <c r="E4" s="241">
        <v>1533462.4612690927</v>
      </c>
      <c r="F4" s="241">
        <v>24394.90109435247</v>
      </c>
      <c r="G4" s="241">
        <v>1818666.5716692591</v>
      </c>
      <c r="H4" s="241">
        <v>1537491.225567423</v>
      </c>
      <c r="I4" s="241">
        <v>6784738.2296256162</v>
      </c>
    </row>
    <row r="5" spans="1:9" x14ac:dyDescent="0.25">
      <c r="A5" s="78">
        <v>2050</v>
      </c>
      <c r="B5" s="241">
        <v>1237334.6662498123</v>
      </c>
      <c r="C5" s="241">
        <v>128467.8</v>
      </c>
      <c r="D5" s="241">
        <v>1030306.2941563282</v>
      </c>
      <c r="E5" s="241">
        <v>1631792.7845000676</v>
      </c>
      <c r="F5" s="241">
        <v>39211.773905647548</v>
      </c>
      <c r="G5" s="241">
        <v>1437229.8528845287</v>
      </c>
      <c r="H5" s="241">
        <v>1540908.6168501563</v>
      </c>
      <c r="I5" s="241">
        <v>7045251.7885465408</v>
      </c>
    </row>
    <row r="6" spans="1:9" x14ac:dyDescent="0.25">
      <c r="A6" s="78" t="s">
        <v>61</v>
      </c>
      <c r="B6" s="241">
        <v>3569269.1304280767</v>
      </c>
      <c r="C6" s="241">
        <v>385403.4</v>
      </c>
      <c r="D6" s="241">
        <v>1646658.4000035524</v>
      </c>
      <c r="E6" s="241">
        <v>4840673.2364243884</v>
      </c>
      <c r="F6" s="241">
        <v>63606.675000000017</v>
      </c>
      <c r="G6" s="241">
        <v>3959912.5403871215</v>
      </c>
      <c r="H6" s="241">
        <v>4654273.3208487555</v>
      </c>
      <c r="I6" s="241">
        <v>19119796.703091893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321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7667567.563848136</v>
      </c>
      <c r="C4" s="98">
        <v>-24610.813181900667</v>
      </c>
      <c r="D4" s="98">
        <v>4339884.9871648429</v>
      </c>
      <c r="E4" s="98">
        <v>5949704.8654248454</v>
      </c>
      <c r="F4" s="98">
        <v>-2228321.8146494417</v>
      </c>
      <c r="G4" s="98">
        <v>-369089.66091020632</v>
      </c>
      <c r="H4" s="98">
        <v>0</v>
      </c>
      <c r="I4" s="98">
        <v>15335135.127696276</v>
      </c>
    </row>
    <row r="5" spans="1:9" x14ac:dyDescent="0.25">
      <c r="A5" s="78">
        <v>2050</v>
      </c>
      <c r="B5" s="98">
        <v>2333635.8702758867</v>
      </c>
      <c r="C5" s="98">
        <v>-40179.115818099352</v>
      </c>
      <c r="D5" s="98">
        <v>3158676.7220455515</v>
      </c>
      <c r="E5" s="98">
        <v>4212625.0730231646</v>
      </c>
      <c r="F5" s="98">
        <v>-4686098.1428047884</v>
      </c>
      <c r="G5" s="98">
        <v>-311388.66616994032</v>
      </c>
      <c r="H5" s="98">
        <v>0</v>
      </c>
      <c r="I5" s="98">
        <v>4667271.7405517744</v>
      </c>
    </row>
    <row r="6" spans="1:9" x14ac:dyDescent="0.25">
      <c r="A6" s="78" t="s">
        <v>61</v>
      </c>
      <c r="B6" s="98">
        <v>24518665.876499869</v>
      </c>
      <c r="C6" s="98">
        <v>-64948.366200000019</v>
      </c>
      <c r="D6" s="98">
        <v>13017823.609947111</v>
      </c>
      <c r="E6" s="98">
        <v>19887796.128182191</v>
      </c>
      <c r="F6" s="98">
        <v>-7476319.9574542306</v>
      </c>
      <c r="G6" s="98">
        <v>-845685.53797520627</v>
      </c>
      <c r="H6" s="98">
        <v>0</v>
      </c>
      <c r="I6" s="98">
        <v>49037331.75299973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321</v>
      </c>
      <c r="E10" s="171" t="s">
        <v>321</v>
      </c>
      <c r="G10" s="171" t="s">
        <v>321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6367940.7825627206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3989123.5513910227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3621395.668038561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1037730.0552441035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65.998469138771299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-1919279.3129950634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-337159.06470198173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1585822.0720701516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2906994.7497571907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3091029.9808261245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26.361074410417238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65.998469138771299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-4095155.4515479961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-285028.35517326626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1299626.7812854154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350761.43577381992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1178659.3551214598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111846.67809052247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7.1104610596313274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-309042.50165437843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-31930.596208224615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747813.79820573539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251681.97228836064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1121492.780992459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2.8411999718285972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7.1104610596313282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-590942.69125679252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-26360.310996674041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762790.25775721145</v>
      </c>
      <c r="C6" s="98">
        <v>1327159.1732761196</v>
      </c>
      <c r="D6" s="98">
        <v>93116.664933583816</v>
      </c>
      <c r="E6" s="98">
        <v>16718972.143075433</v>
      </c>
      <c r="F6" s="98">
        <v>499924.26566152414</v>
      </c>
      <c r="G6" s="98">
        <v>1109978.928910428</v>
      </c>
      <c r="H6" s="98">
        <v>2373232.2414274383</v>
      </c>
      <c r="I6" s="98">
        <v>6378219.6730499323</v>
      </c>
      <c r="J6" s="98">
        <v>5262273.3307195064</v>
      </c>
      <c r="K6" s="98">
        <v>1669863.0461094584</v>
      </c>
      <c r="L6" s="98">
        <v>284902.69682753459</v>
      </c>
      <c r="M6" s="98">
        <v>964199.50701865007</v>
      </c>
      <c r="N6" s="98">
        <v>1775449.2294923961</v>
      </c>
      <c r="O6" s="98">
        <v>39220081.15825922</v>
      </c>
    </row>
    <row r="7" spans="1:15" x14ac:dyDescent="0.25">
      <c r="A7" s="78">
        <v>2050</v>
      </c>
      <c r="B7" s="98">
        <v>649702.07815765182</v>
      </c>
      <c r="C7" s="98">
        <v>1079479.3223754542</v>
      </c>
      <c r="D7" s="98">
        <v>79389.335254180667</v>
      </c>
      <c r="E7" s="98">
        <v>13274229.184441138</v>
      </c>
      <c r="F7" s="98">
        <v>428367.88084440154</v>
      </c>
      <c r="G7" s="98">
        <v>935092.89794509683</v>
      </c>
      <c r="H7" s="98">
        <v>1985713.2941286585</v>
      </c>
      <c r="I7" s="98">
        <v>5343241.1278890474</v>
      </c>
      <c r="J7" s="98">
        <v>4366888.3180394787</v>
      </c>
      <c r="K7" s="98">
        <v>1393099.5132312838</v>
      </c>
      <c r="L7" s="98">
        <v>228072.28759523929</v>
      </c>
      <c r="M7" s="98">
        <v>819766.77762872155</v>
      </c>
      <c r="N7" s="98">
        <v>1519594.3383463104</v>
      </c>
      <c r="O7" s="98">
        <v>32102636.355876666</v>
      </c>
    </row>
    <row r="8" spans="1:15" x14ac:dyDescent="0.25">
      <c r="A8" s="78" t="s">
        <v>61</v>
      </c>
      <c r="B8" s="98">
        <v>1697618.437899542</v>
      </c>
      <c r="C8" s="98">
        <v>3909196.5312597882</v>
      </c>
      <c r="D8" s="98">
        <v>214233.89008053602</v>
      </c>
      <c r="E8" s="98">
        <v>47936640.023086756</v>
      </c>
      <c r="F8" s="98">
        <v>1208901.5679588704</v>
      </c>
      <c r="G8" s="98">
        <v>2956646.4693405912</v>
      </c>
      <c r="H8" s="98">
        <v>6621264.376189664</v>
      </c>
      <c r="I8" s="98">
        <v>20831248.770383395</v>
      </c>
      <c r="J8" s="98">
        <v>17576856.942605726</v>
      </c>
      <c r="K8" s="98">
        <v>5068064.7307415185</v>
      </c>
      <c r="L8" s="98">
        <v>722757.37181777391</v>
      </c>
      <c r="M8" s="98">
        <v>2462374.101925802</v>
      </c>
      <c r="N8" s="98">
        <v>5924466.7038252763</v>
      </c>
      <c r="O8" s="98">
        <v>117130269.91711526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4836920.0011490174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577252.6136078448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728642.31006080401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12888299.417168394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377350.81919472688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1805737.9339992611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1333999.0253631743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4026803.5120526911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70289.623650350084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1267791.6894289495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1001970.2375971108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841621.76621839835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217981.68444215492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3920720.3662957777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476733.07017285493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601521.71713762206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9740273.2021653466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314324.23534293834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1457061.1613346946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1115035.1111116486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3204301.4084430053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58253.649751305209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1022217.4078862639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792091.46065631567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686144.91909286368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167353.17803041782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1541299.6719009152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185537.64414936668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235557.19695784606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3830672.7259070398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122573.44646679725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567494.30742817745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441450.20412922179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1235469.8186668158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22827.041283233735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402071.35668050894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325188.93567900889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268357.16269202955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66921.012385379698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1422520.7615932694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172969.00798479689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218245.06049109949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3533955.982275791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114043.64550146319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528652.13279396389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404559.22723466193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1162586.9095964739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21135.685502875454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370882.10534501984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287387.86171913851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248947.97885223315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60719.109564821476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2869600.5520822164</v>
      </c>
      <c r="C7" s="241">
        <v>790297.95420758065</v>
      </c>
      <c r="D7" s="241">
        <v>3659898.5062897969</v>
      </c>
    </row>
    <row r="8" spans="1:4" x14ac:dyDescent="0.25">
      <c r="A8" s="78">
        <v>2050</v>
      </c>
      <c r="B8" s="241">
        <v>2924196.0252700225</v>
      </c>
      <c r="C8" s="241">
        <v>847372.33144122665</v>
      </c>
      <c r="D8" s="241">
        <v>3771568.3567112489</v>
      </c>
    </row>
    <row r="9" spans="1:4" x14ac:dyDescent="0.25">
      <c r="A9" s="78" t="s">
        <v>61</v>
      </c>
      <c r="B9" s="241">
        <v>8804035.0696769245</v>
      </c>
      <c r="C9" s="241">
        <v>2465363.4905710118</v>
      </c>
      <c r="D9" s="241">
        <v>11269398.560247935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2228369.9999999995</v>
      </c>
      <c r="E6" s="241">
        <v>572920</v>
      </c>
      <c r="F6" s="241">
        <v>811900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1886540</v>
      </c>
      <c r="E7" s="241">
        <v>651650.00000000012</v>
      </c>
      <c r="F7" s="241">
        <v>1075000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6693280</v>
      </c>
      <c r="E8" s="241">
        <v>1697490</v>
      </c>
      <c r="F8" s="241">
        <v>2448800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195329.51145368532</v>
      </c>
      <c r="C7" s="241">
        <v>10842.764766009097</v>
      </c>
      <c r="D7" s="241">
        <v>233524.82675097883</v>
      </c>
      <c r="E7" s="241">
        <v>21596.638291457013</v>
      </c>
      <c r="F7" s="241">
        <v>21903.374142358447</v>
      </c>
      <c r="G7" s="241">
        <v>55072.095689989801</v>
      </c>
      <c r="H7" s="241">
        <v>883591.45920908672</v>
      </c>
      <c r="I7" s="241">
        <v>111977.52639575016</v>
      </c>
      <c r="J7" s="241">
        <v>55207.673917376364</v>
      </c>
      <c r="K7" s="241">
        <v>217193.72878896073</v>
      </c>
      <c r="L7" s="241">
        <v>21615.439065585892</v>
      </c>
      <c r="M7" s="241">
        <v>298809.20883502002</v>
      </c>
      <c r="N7" s="241">
        <v>11431.349184084851</v>
      </c>
      <c r="O7" s="241">
        <v>91124.170336585928</v>
      </c>
      <c r="P7" s="241">
        <v>2229219.7668269291</v>
      </c>
    </row>
    <row r="8" spans="1:16" x14ac:dyDescent="0.25">
      <c r="A8" s="78">
        <v>2050</v>
      </c>
      <c r="B8" s="241">
        <v>169788.308019955</v>
      </c>
      <c r="C8" s="241">
        <v>9432.6841985048559</v>
      </c>
      <c r="D8" s="241">
        <v>188654.69591750181</v>
      </c>
      <c r="E8" s="241">
        <v>18865.363395327251</v>
      </c>
      <c r="F8" s="241">
        <v>18865.377976726155</v>
      </c>
      <c r="G8" s="241">
        <v>47163.471034252521</v>
      </c>
      <c r="H8" s="241">
        <v>754615.39892948361</v>
      </c>
      <c r="I8" s="241">
        <v>94326.964105956184</v>
      </c>
      <c r="J8" s="241">
        <v>47163.464832684054</v>
      </c>
      <c r="K8" s="241">
        <v>188653.68692287465</v>
      </c>
      <c r="L8" s="241">
        <v>18865.364482821919</v>
      </c>
      <c r="M8" s="241">
        <v>245250.85017995731</v>
      </c>
      <c r="N8" s="241">
        <v>9432.7158120801651</v>
      </c>
      <c r="O8" s="241">
        <v>76207.415665262117</v>
      </c>
      <c r="P8" s="241">
        <v>1887285.7614733877</v>
      </c>
    </row>
    <row r="9" spans="1:16" x14ac:dyDescent="0.25">
      <c r="A9" s="78" t="s">
        <v>61</v>
      </c>
      <c r="B9" s="241">
        <v>441971.03234006261</v>
      </c>
      <c r="C9" s="241">
        <v>25390.229857619859</v>
      </c>
      <c r="D9" s="241">
        <v>711110.93832412851</v>
      </c>
      <c r="E9" s="241">
        <v>53214.080255612258</v>
      </c>
      <c r="F9" s="241">
        <v>59711.448585830818</v>
      </c>
      <c r="G9" s="241">
        <v>157311.08752622383</v>
      </c>
      <c r="H9" s="241">
        <v>2976028.1908215717</v>
      </c>
      <c r="I9" s="241">
        <v>386445.16638481076</v>
      </c>
      <c r="J9" s="241">
        <v>172309.7748192008</v>
      </c>
      <c r="K9" s="241">
        <v>567279.03804452857</v>
      </c>
      <c r="L9" s="241">
        <v>74447.160412126832</v>
      </c>
      <c r="M9" s="241">
        <v>765065.07409128337</v>
      </c>
      <c r="N9" s="241">
        <v>29443.692382739424</v>
      </c>
      <c r="O9" s="241">
        <v>275148.61445457692</v>
      </c>
      <c r="P9" s="241">
        <v>6694875.528300317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1.8054136557038873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146236.7006988691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0.19458634429065569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15761.299301130884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7560938.5185532495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658308.32592480641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495893.73144674982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561138.95623976586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3933584.0832407586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1276448.0350116263</v>
      </c>
      <c r="J16" s="76">
        <f t="shared" si="2"/>
        <v>1276448.0350116263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126256.2651539473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487349.18349423661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143842.50032724062</v>
      </c>
      <c r="J17" s="76">
        <f t="shared" si="2"/>
        <v>143842.50032724062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140284.73905994146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617252.85186374246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327761.26433964726</v>
      </c>
      <c r="J18" s="76">
        <f t="shared" si="2"/>
        <v>327761.26433964726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177170.07407519361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140284.73905994146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6960928.7521542953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6960928.7521542953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14028.473905994144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291090.8335493785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291090.8335493785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35071.184764985366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1489504.7624790345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1489504.7624790345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14028.473905994144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1139865.8499139121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1139865.8499139121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70142.369529970732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3122036.8677789979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3122036.8677789979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7014.236952997072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59550.871730945146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59550.871730945146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35071.184764985366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1044979.0400226681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1044979.0400226681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133737.54543094253</v>
      </c>
      <c r="J26" s="76">
        <f t="shared" si="2"/>
        <v>133737.54543094253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14028.473905994144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701423.69529970724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701423.69529970724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7014.236952997072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171078.95007309935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171078.95007309935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182370.16077792388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2514884.5171275707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2514884.5171275707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1039136.7706587557</v>
      </c>
      <c r="J30" s="76">
        <f t="shared" si="2"/>
        <v>1039136.7706587557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102783.28929098426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396743.49666319927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117099.97365632544</v>
      </c>
      <c r="J31" s="76">
        <f t="shared" si="2"/>
        <v>117099.97365632544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114203.65476776029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502496.0809781453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266825.41899939516</v>
      </c>
      <c r="J32" s="76">
        <f t="shared" si="2"/>
        <v>266825.41899939516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114203.65476776029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5666785.3495762656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5666785.3495762656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11420.365476776029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236972.58364310261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236972.58364310261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28550.913691940073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1212582.9852127142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1212582.9852127142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11420.365476776029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927947.30829207005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927947.30829207005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5710.1827383880145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48479.451448914246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48479.451448914246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28550.913691940073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850701.41147214919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850701.41147214919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108873.68483721506</v>
      </c>
      <c r="J40" s="76">
        <f t="shared" si="2"/>
        <v>108873.68483721506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11420.365476776029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571018.27383880154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571018.27383880154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5710.1827383880145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139272.74971678085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139272.74971678085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148464.75119808837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2047328.919021639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2047328.919021639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87576.600106784259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411321.01772153366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133473.67025063766</v>
      </c>
      <c r="J58" s="76">
        <f t="shared" si="2"/>
        <v>133473.67025063766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19704.73502402646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43354.357999863023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12796.16231234817</v>
      </c>
      <c r="J59" s="76">
        <f t="shared" si="2"/>
        <v>12796.16231234817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21894.150026696065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52983.84306460448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28134.420667304985</v>
      </c>
      <c r="J60" s="76">
        <f t="shared" si="2"/>
        <v>28134.420667304985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21894.150026696065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847382.42497323384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847382.42497323384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2189.4150026696066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25895.305944074775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25895.305944074775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5473.5375066740162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132505.65488180541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132505.65488180541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2189.4150026696066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101401.9389027463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101401.9389027463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10947.075013348032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404421.07634062041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404421.07634062041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1094.7075013348033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5297.6180112095135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5297.6180112095135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5473.5375066740162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92960.852173114792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92960.852173114792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11897.230197585002</v>
      </c>
      <c r="J68" s="76">
        <f t="shared" si="2"/>
        <v>11897.230197585002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2189.4150026696066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62398.327576083771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62398.327576083771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1094.7075013348033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15219.104286849706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15219.104286849706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28462.395034704889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392496.42752858042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392496.42752858042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147683.37740574437</v>
      </c>
      <c r="J72" s="76">
        <f t="shared" ref="J72:J139" si="15">IF(I72&lt;&gt;0,I72,H72)</f>
        <v>147683.37740574437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21802.515910208782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47969.895505641362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14158.451360264802</v>
      </c>
      <c r="J73" s="76">
        <f t="shared" si="15"/>
        <v>14158.451360264802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24225.017678009757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58624.542780783624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31129.632216596103</v>
      </c>
      <c r="J74" s="76">
        <f t="shared" si="15"/>
        <v>31129.632216596103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24225.017678009757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937595.39420261851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937595.39420261851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2422.5017678009758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28652.139658666041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28652.139658666041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6056.2544195024393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146612.30639390086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146612.30639390086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2422.5017678009758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112197.26545713212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112197.26545713212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1211.2508839004879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5861.6064024596308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5861.6064024596308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6056.2544195024393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102857.53429617804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102857.53429617804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13163.818257590547</v>
      </c>
      <c r="J82" s="76">
        <f t="shared" si="15"/>
        <v>13163.818257590547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2422.5017678009758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69041.300382327798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69041.300382327798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1211.2508839004879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16839.34155666532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16839.34155666532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31492.522981412687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434281.89191368106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434281.89191368106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17988.68709801232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151320.83586847963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49103.611239321639</v>
      </c>
      <c r="J100" s="76">
        <f t="shared" si="15"/>
        <v>49103.611239321639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1542.0658644465243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7142.8490841163002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2108.2322624463368</v>
      </c>
      <c r="J101" s="76">
        <f t="shared" si="15"/>
        <v>2108.2322624463368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1651.2179103063932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8718.4305664177573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4629.4866307678276</v>
      </c>
      <c r="J102" s="76">
        <f t="shared" si="15"/>
        <v>4629.4866307678276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15238.021720870902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907332.76534753689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907332.76534753689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71.268800751408534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1774.5931387100727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1774.5931387100727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1125.1496418632635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57343.340795151846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57343.340795151846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29.518660249897398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2878.2015474705927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2878.2015474705927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3810.4154462517859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203521.90981520037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203521.90981520037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64.91370276951497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661.34080381581862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661.34080381581862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1148.0573462747577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41048.942200513149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41048.942200513149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2833.7440917610315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48589.16970625348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8025.1632678672395</v>
      </c>
      <c r="J110" s="76">
        <f t="shared" si="15"/>
        <v>8025.1632678672395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325.57753513414758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19534.652108048856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19534.652108048856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534.71836671684468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15650.293660005213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15650.293660005213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15113.849399235503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250103.97985854914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250103.97985854914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0.43582889538516162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3.6661926679799794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1.1896795207595032</v>
      </c>
      <c r="J114" s="76">
        <f t="shared" si="15"/>
        <v>1.1896795207595032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3.7361084700125495E-2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0.1730565443309813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5.107813222560717E-2</v>
      </c>
      <c r="J115" s="76">
        <f t="shared" si="15"/>
        <v>5.107813222560717E-2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4.0005614304589723E-2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0.21122964352823376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0.11216294071349212</v>
      </c>
      <c r="J116" s="76">
        <f t="shared" si="15"/>
        <v>0.11216294071349212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0.36918592992793164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21.982807011628761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21.982807011628761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1.7266964808312041E-3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4.2994742372696987E-2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4.2994742372696987E-2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2.7260061998102159E-2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1.3893112232302602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1.3893112232302602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7.1517643393687155E-4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6.9732904591384981E-2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6.9732904591384981E-2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9.2318530299077425E-2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4.9309173403343243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4.9309173403343243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1.5727255257291396E-3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1.6022927656128474E-2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1.6022927656128474E-2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2.7815068567234969E-2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0.99453145404679411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0.99453145404679411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6.8655791864482674E-2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1.1772156603412456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0.19443320256021493</v>
      </c>
      <c r="J124" s="76">
        <f t="shared" si="15"/>
        <v>0.19443320256021493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7.888074139408327E-3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0.47328444836449962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0.47328444836449962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1.2955126399086169E-2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0.37917443119276595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0.37917443119276595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0.36617748993000948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6.059505103361797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6.059505103361797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2807.4829574932523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15823.086247750271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5134.5914873949623</v>
      </c>
      <c r="J142" s="76">
        <f t="shared" si="29"/>
        <v>5134.5914873949623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240.66923895986218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635.42455147138662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187.54736716213364</v>
      </c>
      <c r="J143" s="76">
        <f t="shared" si="29"/>
        <v>187.54736716213364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257.704529354177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748.37395324453018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397.3865691728455</v>
      </c>
      <c r="J144" s="76">
        <f t="shared" si="29"/>
        <v>397.3865691728455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2378.1883610607765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110453.34126138227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110453.34126138227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11.122876417849888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157.86698499854344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157.86698499854344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175.60138919253245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5101.237079984895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5101.237079984895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4.6069585361111542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256.04347870273068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256.04347870273068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594.6891158890071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26363.734098026827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26363.734098026827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10.131040316629504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58.832572085118187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58.832572085118187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179.17658005444198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3651.6949159878468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3651.6949159878468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442.26063859854253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4322.4700680880987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713.91481325131133</v>
      </c>
      <c r="J152" s="76">
        <f t="shared" si="29"/>
        <v>713.91481325131133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50.812678893768705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1737.7936181668899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1737.7936181668899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83.453155499160744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1392.2428868640475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1392.2428868640475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2358.8088657766393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39033.569110871831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39033.569110871831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9.2448553566549435E-2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0.52104374584321522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0.16907869552612334</v>
      </c>
      <c r="J156" s="76">
        <f t="shared" si="29"/>
        <v>0.16907869552612334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7.9250785727538933E-3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2.0924109450927736E-2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6.1758105327325025E-3</v>
      </c>
      <c r="J157" s="76">
        <f t="shared" si="29"/>
        <v>6.1758105327325025E-3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8.4860393979432746E-3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2.464345841162727E-2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1.3085676416574083E-2</v>
      </c>
      <c r="J158" s="76">
        <f t="shared" si="29"/>
        <v>1.3085676416574083E-2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7.8312166954409748E-2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3.6371553419240317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3.6371553419240317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3.6626895047934632E-4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5.1984552141533628E-3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5.1984552141533628E-3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5.7824373935368217E-3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0.16798035699056785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0.16798035699056785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1.5170409204721518E-4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8.4313421005947301E-3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8.4313421005947301E-3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1.9582718548289149E-2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0.86814029537401272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0.86814029537401272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3.3360844485163561E-4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1.9373176166046242E-3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1.9373176166046242E-3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5.9001660597165087E-3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0.1202478939892942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0.1202478939892942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1.4563349789435716E-2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0.14233607529580511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2.3508741764098708E-2</v>
      </c>
      <c r="J166" s="76">
        <f t="shared" si="29"/>
        <v>2.3508741764098708E-2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1.6732278477532812E-3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5.722439239316221E-2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5.722439239316221E-2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2.7480571149576727E-3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4.584563577148898E-2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4.584563577148898E-2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7.7674013015456553E-2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1.2853495673797752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1.2853495673797752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0.29674680641973877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2.9122731582033161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0.94503263983697616</v>
      </c>
      <c r="J184" s="76">
        <f t="shared" si="29"/>
        <v>0.94503263983697616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1.7086450333499009E-2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9.2335177602228646E-2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2.7252990800632915E-2</v>
      </c>
      <c r="J185" s="76">
        <f t="shared" si="29"/>
        <v>2.7252990800632915E-2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2.2126179468366147E-2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0.13629726552513546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7.2373847993846926E-2</v>
      </c>
      <c r="J186" s="76">
        <f t="shared" si="29"/>
        <v>7.2373847993846926E-2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0.51029954485989426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35.44948878232713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35.44948878232713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5.9312754358377721E-4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1.7230355141108728E-2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1.7230355141108728E-2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3.1394414813143305E-2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1.8666886496674167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1.8666886496674167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3.3950117003646611E-4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3.8620031605222829E-2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3.8620031605222829E-2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4.2220294070089238E-2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2.6309154046835412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2.6309154046835412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1.2099053290264164E-3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1.4380934740807986E-2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1.4380934740807986E-2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2.1398266344745977E-2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0.89261414925364546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0.89261414925364546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6.8082129291564208E-2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1.3619424919198089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0.22494335517932812</v>
      </c>
      <c r="J194" s="76">
        <f t="shared" si="29"/>
        <v>0.22494335517932812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6.0683334637179846E-3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0.42478334246025895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0.42478334246025895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1.4324445842879414E-2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0.48912741902515072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0.48912741902515072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0.52979341323357754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10.228191635887448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10.228191635887448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0.28302441074714974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2.7776015670725269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0.90133170851503497</v>
      </c>
      <c r="J198" s="76">
        <f t="shared" si="29"/>
        <v>0.90133170851503497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1.6296325462585758E-2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8.8065342799813429E-2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2.5992736890777059E-2</v>
      </c>
      <c r="J199" s="76">
        <f t="shared" si="29"/>
        <v>2.5992736890777059E-2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2.1103003539193144E-2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0.12999450180142977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6.9027080456559198E-2</v>
      </c>
      <c r="J200" s="76">
        <f t="shared" si="29"/>
        <v>6.9027080456559198E-2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0.48670187804556381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33.810206064069227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33.810206064069227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5.6569968029666602E-4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1.6433575712618147E-2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1.6433575712618147E-2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2.9942649966292749E-2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1.780367787255051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1.780367787255051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3.2380169396541565E-4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3.6834134189952412E-2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3.6834134189952412E-2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4.0267910529275863E-2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2.5092545767212968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2.5092545767212968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1.1539559496494725E-3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1.3715920417533629E-2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1.3715920417533629E-2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2.040875113805252E-2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0.85133719437486421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0.85133719437486421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6.4933822734728863E-2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1.2989624922934593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0.21454135031554414</v>
      </c>
      <c r="J208" s="76">
        <f t="shared" si="29"/>
        <v>0.21454135031554414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5.7877168873610831E-3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0.4051401821152758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0.4051401821152758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1.3662043722977473E-2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0.4665088100528893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0.4665088100528893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0.50529429585861441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9.7552116758464091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9.7552116758464091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4.6313085394988143E-2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0.30452613544449708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9.881873095173932E-2</v>
      </c>
      <c r="J226" s="76">
        <f t="shared" si="42"/>
        <v>9.881873095173932E-2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2.6666714393322154E-3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8.2140947011462347E-3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2.4244134590852054E-3</v>
      </c>
      <c r="J227" s="76">
        <f t="shared" si="42"/>
        <v>2.4244134590852054E-3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3.4532187609588785E-3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1.1699505162128679E-2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6.2124372410903295E-3</v>
      </c>
      <c r="J228" s="76">
        <f t="shared" si="42"/>
        <v>6.2124372410903295E-3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7.9642125498364996E-2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4.3154117558139271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4.3154117558139271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9.2569038593999904E-5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1.5328044255587476E-3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1.5328044255587476E-3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4.8997063581206323E-3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0.16605975906578929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0.16605975906578929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5.2985731739795291E-5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3.4356201526264695E-3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3.4356201526264695E-3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6.5892944502451414E-3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0.34080239432923787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0.34080239432923787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1.8882915539718639E-4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1.2793213043990458E-3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1.2793213043990458E-3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3.3396138225904128E-3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7.940654194805552E-2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7.940654194805552E-2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1.0625534629319271E-2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0.12115777428118996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2.0010856856704395E-2</v>
      </c>
      <c r="J236" s="76">
        <f t="shared" si="42"/>
        <v>2.0010856856704395E-2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9.4708094520454093E-4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3.778852971366118E-2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3.778852971366118E-2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2.2356071546690416E-3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4.3512549010387688E-2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4.3512549010387688E-2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8.2684521140500539E-2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1.5963073651385034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1.5963073651385034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6.0035481067577209E-2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0.39475610150212581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0.12809835493743982</v>
      </c>
      <c r="J240" s="76">
        <f t="shared" si="42"/>
        <v>0.12809835493743982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3.4567963102454641E-3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1.06479005385229E-2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3.1427581877030439E-3</v>
      </c>
      <c r="J241" s="76">
        <f t="shared" si="42"/>
        <v>3.1427581877030439E-3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4.4763946901318786E-3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1.5166025210166807E-2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8.053159386598575E-3</v>
      </c>
      <c r="J242" s="76">
        <f t="shared" si="42"/>
        <v>8.053159386598575E-3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0.10323979231269535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5.5940522760550913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5.5940522760550913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1.1999690188111097E-4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1.9869686997983755E-3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1.9869686997983755E-3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6.3514712049711885E-3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0.21526265064083791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0.21526265064083791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6.8685207810845745E-5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4.4535816793306099E-3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4.4535816793306099E-3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8.5416779910585158E-3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0.4417808815379009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0.4417808815379009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2.4477853477413049E-4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1.6583794686654296E-3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1.6583794686654296E-3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4.329129029283868E-3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0.10293440622896084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0.10293440622896084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1.3773841186154611E-2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0.15705637406820919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2.5939999629061253E-2</v>
      </c>
      <c r="J250" s="76">
        <f t="shared" si="42"/>
        <v>2.5939999629061253E-2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1.2276975215614421E-3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4.8985131110301533E-2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4.8985131110301533E-2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2.8980092745709792E-3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5.6405156124576618E-2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5.6405156124576618E-2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0.10718363851546366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2.0692873251795416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2.0692873251795416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182635.09976023421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1280272.0493192419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415448.28000409401</v>
      </c>
      <c r="J268" s="76">
        <f t="shared" si="42"/>
        <v>415448.28000409401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41092.897446052695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158618.58414176342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46816.727131313375</v>
      </c>
      <c r="J269" s="76">
        <f t="shared" si="42"/>
        <v>46816.727131313375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45658.774940058553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200898.60973625764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106677.16176995281</v>
      </c>
      <c r="J270" s="76">
        <f t="shared" si="42"/>
        <v>106677.16176995281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45658.774940058553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2265588.4125257055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2265588.4125257055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4565.8774940058547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94741.958000621496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94741.958000621496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11414.693735014638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484792.31011091266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484792.31011091266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4565.8774940058547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370994.58324429661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370994.58324429661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22829.387470029276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1016136.0362910032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1016136.0362910032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2282.9387470029274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19382.149962054853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19382.149962054853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11414.693735014638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340111.56969174428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340111.56969174428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43527.845785550046</v>
      </c>
      <c r="J278" s="76">
        <f t="shared" si="55"/>
        <v>43527.845785550046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4565.8774940058547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228293.87470029277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228293.87470029277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2282.9387470029274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55681.432853729944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55681.432853729944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59356.407422076118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818524.85835042968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818524.85835042968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377021.37933684443</v>
      </c>
      <c r="J282" s="76">
        <f t="shared" si="55"/>
        <v>377021.37933684443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37292.008709015725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143947.1536168007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42486.412602094526</v>
      </c>
      <c r="J283" s="76">
        <f t="shared" si="55"/>
        <v>42486.412602094526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41435.5652322397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182316.4870218547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96810.054608604842</v>
      </c>
      <c r="J284" s="76">
        <f t="shared" si="55"/>
        <v>96810.054608604842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41435.5652322397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2056032.7468237341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2056032.7468237341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4143.5565232239696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85978.797856897378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85978.797856897378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10358.891308059925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439951.43137458741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439951.43137458741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4143.5565232239696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336679.4285437506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336679.4285437506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2071.7782616119848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17589.397441085752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17589.397441085752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10358.891308059925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308652.94022239564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308652.94022239564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39501.736431470628</v>
      </c>
      <c r="J292" s="76">
        <f t="shared" si="55"/>
        <v>39501.736431470628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4143.5565232239696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207177.82616119849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207177.82616119849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2071.7782616119848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50531.177112487436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50531.177112487436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53866.234801911611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742815.37791836122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742815.37791836122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28503.743893215742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133873.53394326637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43441.961764589942</v>
      </c>
      <c r="J310" s="76">
        <f t="shared" si="55"/>
        <v>43441.961764589942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6413.3423759735424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14110.63589561699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4164.7943962480504</v>
      </c>
      <c r="J311" s="76">
        <f t="shared" si="55"/>
        <v>4164.7943962480504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7125.9359733039355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17244.765055395525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9156.9702444150244</v>
      </c>
      <c r="J312" s="76">
        <f t="shared" si="55"/>
        <v>9156.9702444150244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7125.9359733039355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275799.37553636619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275799.37553636619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712.59359733039355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8428.2007724252289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8428.2007724252289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1781.4839933259839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43126.899726051706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43126.899726051706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712.59359733039355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33003.506567223834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33003.506567223834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3562.9679866519677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131627.79522127967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131627.79522127967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356.29679866519677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1724.2270977804867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1724.2270977804867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1781.4839933259839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30256.167962751118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30256.167962751118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3872.2170325989314</v>
      </c>
      <c r="J320" s="76">
        <f t="shared" si="55"/>
        <v>3872.2170325989314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712.59359733039355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20308.917523916214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20308.917523916214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356.29679866519677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4953.3945180283454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4953.3945180283454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9263.7167652951175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127746.65419341969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127746.65419341969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53582.735426963634</v>
      </c>
      <c r="J324" s="76">
        <f t="shared" si="55"/>
        <v>53582.735426963634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7910.4260897912154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17404.519482758635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5136.9935237077916</v>
      </c>
      <c r="J325" s="76">
        <f t="shared" si="55"/>
        <v>5136.9935237077916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8789.3623219902383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21270.256819216378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11294.506371003898</v>
      </c>
      <c r="J326" s="76">
        <f t="shared" si="55"/>
        <v>11294.506371003898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8789.3623219902383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340179.96356538142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340179.96356538142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878.93623219902383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10395.618286333955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10395.618286333955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2197.3405804975596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53194.127611654651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53194.127611654651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878.93623219902383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40707.603633017112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40707.603633017112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439.46811609951192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2126.718054240368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2126.718054240368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2197.3405804975596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37318.94640870783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37318.94640870783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4776.1190412596297</v>
      </c>
      <c r="J334" s="76">
        <f t="shared" si="55"/>
        <v>4776.1190412596297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878.93623219902383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25049.682617672181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25049.682617672181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439.46811609951192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6109.6786872371167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6109.6786872371167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11426.171018587311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157566.89834631904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157566.89834631904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2543.5266161074505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21396.145894695874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6943.04934282881</v>
      </c>
      <c r="J352" s="76">
        <f t="shared" si="60"/>
        <v>6943.04934282881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68.781025480452769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318.59371002545726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94.03384142355003</v>
      </c>
      <c r="J353" s="76">
        <f t="shared" si="60"/>
        <v>94.03384142355003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277.81730642917057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1466.8753779460208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778.91082568933689</v>
      </c>
      <c r="J354" s="76">
        <f t="shared" si="60"/>
        <v>778.91082568933689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816.89928733229783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48641.451164914346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48641.451164914346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15.471187824817051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385.23257683794458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385.23257683794458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26.302435262527187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1340.5057006495601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1340.5057006495601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73.48347036613049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7164.9673911620484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7164.9673911620484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78.344719162303662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4184.5481398969632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4184.5481398969632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16.900566419398675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172.18297068083373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172.18297068083373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120.67824120695344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4314.8664692035982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4314.8664692035982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876.11830838913772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15022.479020898631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2481.1670493580382</v>
      </c>
      <c r="J362" s="76">
        <f t="shared" si="60"/>
        <v>2481.1670493580382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26.483091404220694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1588.9854842532416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1588.9854842532416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56.207011126951372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1645.0832524961379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1645.0832524961379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1628.961148843877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26956.049091068475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26956.049091068475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6.1624419250252083E-2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0.51838461473312047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0.16821580748089759</v>
      </c>
      <c r="J366" s="76">
        <f t="shared" si="60"/>
        <v>0.16821580748089759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1.6664228020370887E-3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7.7188704190357948E-3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2.2782466009594014E-3</v>
      </c>
      <c r="J367" s="76">
        <f t="shared" si="60"/>
        <v>2.2782466009594014E-3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6.7309420148972078E-3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3.5539373838657261E-2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1.8871407508327002E-2</v>
      </c>
      <c r="J368" s="76">
        <f t="shared" si="60"/>
        <v>1.8871407508327002E-2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1.9791789812224642E-2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1.1784823325791041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1.1784823325791041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3.7483506513290803E-4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9.3333931218094104E-3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9.3333931218094104E-3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6.37253916533074E-4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3.2477696431815778E-2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3.2477696431815778E-2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1.7803533712322671E-3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0.17359242542665901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0.17359242542665901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1.8981314326050301E-3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0.10138299607829987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0.10138299607829987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4.094659690212412E-4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4.1716392923884056E-3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4.1716392923884056E-3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2.9237856145973122E-3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0.10454034120310714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0.10454034120310714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2.1226544910947009E-2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0.36396377356519294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6.0113575187801929E-2</v>
      </c>
      <c r="J376" s="76">
        <f t="shared" si="60"/>
        <v>6.0113575187801929E-2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6.4163084333437122E-4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3.8497850600062278E-2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3.8497850600062278E-2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1.3617802921958929E-3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3.9856984161831012E-2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3.9856984161831012E-2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3.9466378744780817E-2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0.65308963546863297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0.65308963546863297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396.96658170463104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2237.319533150569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726.01018850735954</v>
      </c>
      <c r="J394" s="76">
        <f t="shared" si="60"/>
        <v>726.01018850735954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10.734610913134247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28.341949117293566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8.3652070491817039</v>
      </c>
      <c r="J395" s="76">
        <f t="shared" si="60"/>
        <v>8.3652070491817039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43.358770367558421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125.91386914738968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66.860264517263914</v>
      </c>
      <c r="J396" s="76">
        <f t="shared" si="60"/>
        <v>66.860264517263914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127.4929523582199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5921.32347706992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5921.32347706992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2.4145784466477478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34.270111893271483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34.270111893271483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4.1050043473308326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119.25076724275564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119.25076724275564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11.468518496448112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637.39218583805734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637.39218583805734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12.227210505099418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542.05620702364729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542.05620702364729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2.6376606550506607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15.317317449583994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15.317317449583994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18.834176373339556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383.84852578637788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383.84852578637788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136.73522732084808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1336.3927868880339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220.72347335040578</v>
      </c>
      <c r="J404" s="76">
        <f t="shared" si="60"/>
        <v>220.72347335040578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4.1331992364968713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141.35541388819297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141.35541388819297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8.7721924880213127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146.34584540991651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146.34584540991651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254.23093074442014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4207.0134419586639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4207.0134419586639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1.3071846507629228E-2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7.3673449790858631E-2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2.3907034457133627E-2</v>
      </c>
      <c r="J408" s="76">
        <f t="shared" si="64"/>
        <v>2.3907034457133627E-2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3.5348362467453397E-4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9.3328160521069156E-4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2.7546072538872765E-4</v>
      </c>
      <c r="J409" s="76">
        <f t="shared" si="64"/>
        <v>2.7546072538872765E-4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1.4277755789175895E-3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4.1462602811766806E-3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2.2016642093048173E-3</v>
      </c>
      <c r="J410" s="76">
        <f t="shared" si="64"/>
        <v>2.2016642093048173E-3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4.1982584450173483E-3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0.19498525866308813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0.19498525866308813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7.9510468361525957E-5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1.1284920774551376E-3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1.1284920774551376E-3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1.351750732039854E-4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3.926848750392271E-3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3.926848750392271E-3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3.7765071510987484E-4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2.0988902347041496E-2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2.0988902347041496E-2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4.0263394024955173E-4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1.784955173378552E-2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1.784955173378552E-2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8.6856417671172357E-5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5.0438911444332531E-4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5.0438911444332531E-4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6.2019694855094509E-4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1.2639877618193865E-2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1.2639877618193865E-2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4.5026004356554256E-3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4.400652898560968E-2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7.268277727252412E-3</v>
      </c>
      <c r="J418" s="76">
        <f t="shared" si="64"/>
        <v>7.268277727252412E-3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1.3610351222244238E-4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4.6547401180075292E-3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4.6547401180075292E-3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2.8886248622337122E-4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4.8190717213850223E-3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4.8190717213850223E-3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8.3716560973777481E-3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0.13853416509940697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0.13853416509940697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4.5754933628917617E-2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0.44903891863419743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0.14571312909679709</v>
      </c>
      <c r="J436" s="76">
        <f t="shared" si="64"/>
        <v>0.14571312909679709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8.3106047603679744E-4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4.4910508125028531E-3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1.3255464456415479E-3</v>
      </c>
      <c r="J437" s="76">
        <f t="shared" si="64"/>
        <v>1.3255464456415479E-3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4.0595359645178462E-3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2.5006741541429935E-2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1.3278579758499293E-2</v>
      </c>
      <c r="J438" s="76">
        <f t="shared" si="64"/>
        <v>1.3278579758499293E-2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2.9831848636857054E-2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2.0723588611051857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2.0723588611051857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1.4040654632499296E-4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4.078810170741045E-3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4.078810170741045E-3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8.0030056464171814E-4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4.7585278758363492E-2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4.7585278758363492E-2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9.2161460426674424E-4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0.1048384756399913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0.1048384756399913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9.466157148310761E-4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5.8987411653983683E-2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5.8987411653983683E-2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3.4350362462884858E-4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4.0828840823384947E-3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4.0828840823384947E-3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2.452782483126852E-3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0.10231615562716326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0.10231615562716326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2.2953573895167008E-2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0.45917258984910614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7.5838608149631781E-2</v>
      </c>
      <c r="J446" s="76">
        <f t="shared" si="64"/>
        <v>7.5838608149631781E-2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5.3826822503920445E-4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3.7678775752744309E-2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3.7678775752744309E-2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1.6419437573988649E-3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5.6066372203863679E-2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5.6066372203863679E-2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5.7100799688875818E-2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1.1023880387934366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1.1023880387934366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4.3639098547811596E-2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0.42827411314822295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0.13897494971659835</v>
      </c>
      <c r="J450" s="76">
        <f t="shared" si="64"/>
        <v>0.13897494971659835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7.9262993379232123E-4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4.283372162213704E-3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1.264249500178355E-3</v>
      </c>
      <c r="J451" s="76">
        <f t="shared" si="64"/>
        <v>1.264249500178355E-3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3.8718117580661539E-3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2.3850360429687509E-2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1.2664541388164067E-2</v>
      </c>
      <c r="J452" s="76">
        <f t="shared" si="64"/>
        <v>1.2664541388164067E-2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2.8452341185441699E-2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1.9765272374702638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1.9765272374702638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1.3391375805562911E-4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3.8901946715160251E-3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3.8901946715160251E-3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7.6329244604556935E-4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4.5384803440057665E-2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4.5384803440057665E-2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8.7899658788446707E-4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9.99904536450784E-2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9.99904536450784E-2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9.0284157772906114E-4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5.625967007460872E-2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5.625967007460872E-2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3.2761906395237006E-4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3.894080194137871E-3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3.894080194137871E-3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2.3393590156990207E-3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9.7584772707988071E-2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9.7584772707988071E-2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2.1892136952037899E-2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0.43793917528960996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7.2331620489533219E-2</v>
      </c>
      <c r="J460" s="76">
        <f t="shared" si="64"/>
        <v>7.2331620489533219E-2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5.1337720885242047E-4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3.5936404619669425E-2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3.5936404619669425E-2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1.56601572237464E-3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5.3473707593280385E-2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5.3473707593280385E-2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5.4460300281297752E-2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1.0514105572307344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1.0514105572307344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7.1409433987328075E-3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4.6954416405159731E-2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1.523670812347433E-2</v>
      </c>
      <c r="J478" s="76">
        <f t="shared" si="68"/>
        <v>1.523670812347433E-2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1.2970308007510711E-4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3.9952180349375088E-4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1.1791999883481743E-4</v>
      </c>
      <c r="J479" s="76">
        <f t="shared" si="68"/>
        <v>1.1791999883481743E-4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6.3356919677446158E-4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2.1465324386718758E-3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1.139808724934766E-3</v>
      </c>
      <c r="J480" s="76">
        <f t="shared" si="68"/>
        <v>1.139808724934766E-3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4.6558376485268237E-3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0.25227674921893189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0.25227674921893189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2.1913160409102947E-5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3.628490666341311E-4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3.628490666341311E-4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1.2490240026200229E-4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4.2331643935908337E-3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4.2331643935908337E-3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1.4383580529018554E-4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9.3263823127136773E-3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9.3263823127136773E-3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1.4773771271930092E-4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7.6410860992241307E-3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7.6410860992241307E-3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5.36103922831151E-5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3.6321147992595049E-4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3.6321147992595049E-4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3.8280420256893069E-4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9.1019978907632502E-3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9.1019978907632502E-3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3.5823496830607472E-3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4.0847781258830901E-2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6.746567511114643E-3</v>
      </c>
      <c r="J488" s="76">
        <f t="shared" ref="J488:J505" si="70">IF(I488&lt;&gt;0,I488,H488)</f>
        <v>6.746567511114643E-3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8.4007179630396072E-5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3.351886467252803E-3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3.351886467252803E-3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2.5625711820675929E-4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4.9876385446096065E-3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4.9876385446096065E-3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8.9116855005759964E-3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0.17204900027412021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0.17204900027412021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9.2567784798388234E-3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6.0866836080762599E-2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1.9751288308207465E-2</v>
      </c>
      <c r="J492" s="76">
        <f t="shared" si="70"/>
        <v>1.9751288308207465E-2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1.6813362231958326E-4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5.1789863415856597E-4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1.5285925774883742E-4</v>
      </c>
      <c r="J493" s="76">
        <f t="shared" si="70"/>
        <v>1.5285925774883742E-4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8.2129340322615392E-4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2.7825420501302097E-3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1.4775298286191414E-3</v>
      </c>
      <c r="J494" s="76">
        <f t="shared" si="70"/>
        <v>1.4775298286191414E-3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6.0353450999421779E-3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0.32702541565417098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0.32702541565417098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2.8405948678466784E-5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4.7035990119239225E-4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4.7035990119239225E-4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1.6191051885815108E-4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5.4874353250251532E-3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5.4874353250251532E-3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1.8645382167246271E-4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1.2089754849814026E-2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1.2089754849814026E-2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1.9151184982131597E-4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9.9051116101053494E-3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9.9051116101053494E-3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6.9494952959593638E-5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4.7082969620030604E-4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4.7082969620030604E-4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4.9622766999676197E-4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1.1798886154693104E-2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1.1798886154693104E-2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4.6437866261898574E-3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5.2950827557743746E-2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8.7455504773708333E-3</v>
      </c>
      <c r="J502" s="76">
        <f t="shared" si="70"/>
        <v>8.7455504773708333E-3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1.0889819581718008E-4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4.3450380131054853E-3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4.3450380131054853E-3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3.3218515323098425E-4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6.4654573726420821E-3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6.4654573726420821E-3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1.1552184908154068E-2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0.22302648183682244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0.22302648183682244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2021-09-13T13:56:11Z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447837293148040</vt:r8>
  </property>
</Properties>
</file>